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76" yWindow="36" windowWidth="11676" windowHeight="10716"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14" i="66" l="1"/>
  <c r="C14" i="66"/>
  <c r="E10" i="12" l="1"/>
  <c r="E8" i="12"/>
  <c r="I7" i="35"/>
  <c r="G7" i="35"/>
  <c r="E7" i="35"/>
  <c r="I7" i="21"/>
  <c r="G7" i="21"/>
  <c r="E7" i="21"/>
  <c r="S49" i="76"/>
  <c r="S48" i="76"/>
  <c r="T24" i="76"/>
  <c r="R24" i="76"/>
  <c r="R10" i="76"/>
  <c r="R9" i="76"/>
  <c r="I7" i="39"/>
  <c r="G7" i="39"/>
  <c r="E7" i="39"/>
  <c r="I40" i="39"/>
  <c r="G40" i="39"/>
  <c r="E40" i="39"/>
  <c r="C40" i="39"/>
  <c r="I9" i="39"/>
  <c r="G9" i="39"/>
  <c r="E9" i="39"/>
  <c r="D72" i="39"/>
  <c r="E72" i="39" s="1"/>
  <c r="F72" i="39" s="1"/>
  <c r="G72" i="39" s="1"/>
  <c r="H72" i="39" s="1"/>
  <c r="I72" i="39" s="1"/>
  <c r="J72" i="39" s="1"/>
  <c r="K72" i="39" s="1"/>
  <c r="L72" i="39" s="1"/>
  <c r="M72" i="39" s="1"/>
  <c r="N72" i="39" s="1"/>
  <c r="E59" i="39"/>
  <c r="Q73" i="73"/>
  <c r="Q60" i="73"/>
  <c r="D60" i="73"/>
  <c r="Q59" i="73"/>
  <c r="K59" i="73"/>
  <c r="P75" i="73" s="1"/>
  <c r="F58" i="73"/>
  <c r="Q52" i="73"/>
  <c r="J50" i="73"/>
  <c r="M47" i="73"/>
  <c r="F34" i="73"/>
  <c r="F61" i="73" s="1"/>
  <c r="F33" i="73"/>
  <c r="F60" i="73" s="1"/>
  <c r="F32" i="73"/>
  <c r="F59" i="73" s="1"/>
  <c r="F31" i="73"/>
  <c r="F28" i="73"/>
  <c r="C28" i="73" s="1"/>
  <c r="F23" i="73"/>
  <c r="D24" i="73" s="1"/>
  <c r="F21" i="73"/>
  <c r="M20" i="73"/>
  <c r="F20" i="73"/>
  <c r="M19" i="73"/>
  <c r="M18" i="73"/>
  <c r="F18" i="73"/>
  <c r="M17" i="73"/>
  <c r="F17" i="73"/>
  <c r="F15" i="73"/>
  <c r="G1" i="73"/>
  <c r="G22" i="6"/>
  <c r="G21" i="6"/>
  <c r="G20" i="6"/>
  <c r="F19" i="6"/>
  <c r="O13" i="3"/>
  <c r="M13" i="3"/>
  <c r="K13" i="3"/>
  <c r="I13" i="3"/>
  <c r="AN13" i="3"/>
  <c r="AL13" i="3"/>
  <c r="AJ13" i="3"/>
  <c r="AH13" i="3"/>
  <c r="AF13" i="3"/>
  <c r="A3" i="3"/>
  <c r="AE23" i="72"/>
  <c r="AF23" i="72" s="1"/>
  <c r="AF22" i="72"/>
  <c r="AF21" i="72"/>
  <c r="AF20" i="72"/>
  <c r="AF19" i="72"/>
  <c r="AE19" i="72"/>
  <c r="AF18" i="72"/>
  <c r="AF17" i="72"/>
  <c r="AF16" i="72"/>
  <c r="AF25" i="72" s="1"/>
  <c r="AE16" i="72"/>
  <c r="AF15" i="72"/>
  <c r="AF14" i="72"/>
  <c r="AF13" i="72"/>
  <c r="AF12" i="72"/>
  <c r="I6" i="72"/>
  <c r="B6" i="72"/>
  <c r="B4" i="72"/>
  <c r="B8" i="72" s="1"/>
  <c r="G2" i="72"/>
  <c r="G1" i="72"/>
  <c r="D22" i="73" l="1"/>
  <c r="D23" i="73"/>
  <c r="J51" i="73"/>
  <c r="P62" i="73"/>
  <c r="B7" i="72"/>
  <c r="I7" i="72"/>
  <c r="B9" i="72"/>
  <c r="B3" i="69"/>
  <c r="C7" i="69" s="1"/>
  <c r="F40" i="73"/>
  <c r="F13" i="73"/>
  <c r="J36" i="73"/>
  <c r="F42" i="73"/>
  <c r="F43" i="73"/>
  <c r="M8" i="73"/>
  <c r="M29" i="73"/>
  <c r="M28" i="73"/>
  <c r="F26" i="73"/>
  <c r="M21" i="73"/>
  <c r="M6" i="73"/>
  <c r="F6" i="73"/>
  <c r="F16" i="73"/>
  <c r="F38" i="73"/>
  <c r="L48" i="73"/>
  <c r="F9" i="73"/>
  <c r="F35" i="73"/>
  <c r="M24" i="73"/>
  <c r="J15" i="73"/>
  <c r="F7" i="73"/>
  <c r="M27" i="73"/>
  <c r="F8" i="73"/>
  <c r="M9" i="73"/>
  <c r="C14" i="73"/>
  <c r="L47" i="73"/>
  <c r="M26" i="73"/>
  <c r="M22" i="73"/>
  <c r="F37" i="73"/>
  <c r="F36" i="73"/>
  <c r="M23" i="73"/>
  <c r="I54" i="73" l="1"/>
  <c r="C6" i="73"/>
  <c r="C15" i="73"/>
  <c r="C18" i="73"/>
  <c r="F49" i="73"/>
  <c r="M7" i="73"/>
  <c r="J6" i="73" s="1"/>
  <c r="L56" i="73"/>
  <c r="J53" i="73"/>
  <c r="J57" i="73"/>
  <c r="J55" i="73" s="1"/>
  <c r="J58" i="73" s="1"/>
  <c r="Q51" i="73" s="1"/>
  <c r="F48" i="73"/>
  <c r="Q72" i="73"/>
  <c r="F65" i="73"/>
  <c r="J20" i="73"/>
  <c r="F50" i="73"/>
  <c r="F63" i="73"/>
  <c r="L59" i="73"/>
  <c r="L58" i="73"/>
  <c r="C27" i="73"/>
  <c r="C34" i="73"/>
  <c r="F62" i="73"/>
  <c r="C61" i="73" s="1"/>
  <c r="F64" i="73"/>
  <c r="F67" i="73"/>
  <c r="F70" i="73"/>
  <c r="G4" i="72"/>
  <c r="G3" i="72"/>
  <c r="G5" i="72"/>
  <c r="C5" i="69"/>
  <c r="C6" i="69"/>
  <c r="C16" i="73"/>
  <c r="C17" i="73"/>
  <c r="C19" i="73" l="1"/>
  <c r="Q75" i="73"/>
  <c r="Q62" i="73"/>
  <c r="J19" i="73"/>
  <c r="J18" i="73"/>
  <c r="Q61" i="73"/>
  <c r="Q74" i="73"/>
  <c r="C48" i="73"/>
  <c r="Q53" i="73"/>
  <c r="F1" i="73"/>
  <c r="C33" i="73"/>
  <c r="C32" i="73"/>
  <c r="G6" i="72"/>
  <c r="G7" i="72" s="1"/>
  <c r="C13" i="46"/>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J17" i="73" l="1"/>
  <c r="C31" i="73"/>
  <c r="C60" i="73"/>
  <c r="C20" i="73"/>
  <c r="C26" i="73" s="1"/>
  <c r="M37" i="46"/>
  <c r="Q37" i="46"/>
  <c r="O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D13" i="70"/>
  <c r="AC13" i="70"/>
  <c r="AB13" i="70"/>
  <c r="AA13" i="70"/>
  <c r="Z13" i="70"/>
  <c r="Y13" i="70"/>
  <c r="AD12" i="70"/>
  <c r="AC12" i="70"/>
  <c r="AB12" i="70"/>
  <c r="AA12" i="70"/>
  <c r="Z12" i="70"/>
  <c r="Y12" i="70"/>
  <c r="AD11" i="70"/>
  <c r="AC11" i="70"/>
  <c r="AB11" i="70"/>
  <c r="AA11" i="70"/>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AD25" i="70" s="1"/>
  <c r="N24" i="70"/>
  <c r="M24" i="70"/>
  <c r="P24" i="70" s="1"/>
  <c r="L24" i="70"/>
  <c r="S24" i="70" s="1"/>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P12"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P8" i="70"/>
  <c r="O8" i="70"/>
  <c r="N8" i="70"/>
  <c r="U8" i="70" s="1"/>
  <c r="M8" i="70"/>
  <c r="L8" i="70"/>
  <c r="K8" i="70"/>
  <c r="I8" i="70"/>
  <c r="O7" i="70"/>
  <c r="N7" i="70"/>
  <c r="U7" i="70" s="1"/>
  <c r="M7" i="70"/>
  <c r="P7" i="70" s="1"/>
  <c r="L7" i="70"/>
  <c r="K7" i="70"/>
  <c r="R7" i="70" s="1"/>
  <c r="I7" i="70"/>
  <c r="O6" i="70"/>
  <c r="N6" i="70"/>
  <c r="M6" i="70"/>
  <c r="P6" i="70" s="1"/>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L3" i="70" l="1"/>
  <c r="U22" i="70"/>
  <c r="T20" i="70"/>
  <c r="W20" i="70" s="1"/>
  <c r="Z20" i="70"/>
  <c r="AB20" i="70"/>
  <c r="AA20" i="70"/>
  <c r="AD20" i="70" s="1"/>
  <c r="T9" i="70"/>
  <c r="W9" i="70" s="1"/>
  <c r="T11" i="70"/>
  <c r="W11" i="70" s="1"/>
  <c r="T25" i="70"/>
  <c r="W25" i="70" s="1"/>
  <c r="T26" i="70"/>
  <c r="W26" i="70" s="1"/>
  <c r="T28" i="70"/>
  <c r="W28" i="70" s="1"/>
  <c r="V7" i="70"/>
  <c r="R8" i="70"/>
  <c r="T8" i="70"/>
  <c r="W8" i="70" s="1"/>
  <c r="V8" i="70"/>
  <c r="P10" i="70"/>
  <c r="T27" i="70"/>
  <c r="W27" i="70" s="1"/>
  <c r="T29" i="70"/>
  <c r="W2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AA38" i="59" s="1"/>
  <c r="O38" i="59"/>
  <c r="C39" i="59"/>
  <c r="C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36" i="59"/>
  <c r="F37" i="59" s="1"/>
  <c r="V37" i="59" s="1"/>
  <c r="F44" i="59"/>
  <c r="F45" i="59" s="1"/>
  <c r="V45" i="59" s="1"/>
  <c r="F56" i="59"/>
  <c r="F57" i="59" s="1"/>
  <c r="V57" i="59" s="1"/>
  <c r="F64" i="59"/>
  <c r="F65" i="59" s="1"/>
  <c r="V65" i="59" s="1"/>
  <c r="D31" i="59"/>
  <c r="D39" i="59"/>
  <c r="C52" i="59"/>
  <c r="C53" i="59" s="1"/>
  <c r="C60" i="59"/>
  <c r="D60" i="59" s="1"/>
  <c r="E67" i="59"/>
  <c r="P66" i="59" s="1"/>
  <c r="B67" i="59"/>
  <c r="N66" i="59" s="1"/>
  <c r="Q68" i="59"/>
  <c r="T69" i="59"/>
  <c r="D69"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D84" i="59"/>
  <c r="C83" i="59"/>
  <c r="D83" i="59" s="1"/>
  <c r="D76" i="59"/>
  <c r="C75" i="59"/>
  <c r="D75" i="59"/>
  <c r="N67" i="59"/>
  <c r="C61" i="59"/>
  <c r="T61" i="59" s="1"/>
  <c r="D52" i="59"/>
  <c r="D6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s="1"/>
  <c r="R157" i="31"/>
  <c r="R158" i="31"/>
  <c r="S158" i="3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18" i="20"/>
  <c r="B73" i="46"/>
  <c r="C17" i="20"/>
  <c r="B61" i="46"/>
  <c r="C16" i="20"/>
  <c r="B50" i="46"/>
  <c r="C15" i="20"/>
  <c r="B72" i="46"/>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c r="H35" i="21"/>
  <c r="AB35" i="21"/>
  <c r="J8" i="21"/>
  <c r="AC8" i="21" s="1"/>
  <c r="J9" i="21"/>
  <c r="AC9" i="21" s="1"/>
  <c r="H8" i="21"/>
  <c r="AB8" i="21" s="1"/>
  <c r="H9" i="21"/>
  <c r="AB9" i="21" s="1"/>
  <c r="H10" i="21"/>
  <c r="U10" i="21" s="1"/>
  <c r="H39" i="21"/>
  <c r="AB39" i="21" s="1"/>
  <c r="J34" i="21"/>
  <c r="W34" i="21" s="1"/>
  <c r="H36" i="21"/>
  <c r="U36" i="21" s="1"/>
  <c r="F35" i="21"/>
  <c r="AA35" i="2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H39" i="37"/>
  <c r="AB39" i="37" s="1"/>
  <c r="AB27" i="35"/>
  <c r="W10" i="40"/>
  <c r="U11" i="40"/>
  <c r="U36" i="40"/>
  <c r="S40" i="39"/>
  <c r="F11" i="21"/>
  <c r="S11" i="21" s="1"/>
  <c r="AC40" i="21"/>
  <c r="AA38"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S46" i="33"/>
  <c r="U36" i="37"/>
  <c r="AC13" i="36"/>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S27" i="37"/>
  <c r="U39" i="37"/>
  <c r="AC8" i="37"/>
  <c r="S25" i="37"/>
  <c r="AC36" i="34"/>
  <c r="AB8" i="34"/>
  <c r="AC37" i="33"/>
  <c r="AA13" i="33"/>
  <c r="AC45" i="33"/>
  <c r="AC33" i="21"/>
  <c r="S39" i="33"/>
  <c r="F43" i="33"/>
  <c r="AA43" i="33"/>
  <c r="AA23" i="37"/>
  <c r="AB44" i="33"/>
  <c r="G107" i="37"/>
  <c r="H107" i="37"/>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c r="G94" i="37"/>
  <c r="H94" i="37" s="1"/>
  <c r="I94" i="37" s="1"/>
  <c r="J94" i="37" s="1"/>
  <c r="K94" i="37" s="1"/>
  <c r="L94" i="37" s="1"/>
  <c r="M94" i="37" s="1"/>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AZ134" i="3" s="1"/>
  <c r="BL135" i="3"/>
  <c r="AZ135" i="3" s="1"/>
  <c r="G136" i="3"/>
  <c r="BA138" i="3"/>
  <c r="AZ138" i="3" s="1"/>
  <c r="BL139" i="3"/>
  <c r="AZ139" i="3" s="1"/>
  <c r="G140" i="3"/>
  <c r="BA142" i="3"/>
  <c r="AZ142" i="3" s="1"/>
  <c r="BL143" i="3"/>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55" i="3"/>
  <c r="G537" i="3"/>
  <c r="BL181" i="3"/>
  <c r="AZ181" i="3" s="1"/>
  <c r="G182" i="3"/>
  <c r="BA184" i="3"/>
  <c r="AZ184" i="3" s="1"/>
  <c r="BL185" i="3"/>
  <c r="G186" i="3"/>
  <c r="BA188" i="3"/>
  <c r="AZ188" i="3" s="1"/>
  <c r="BL189" i="3"/>
  <c r="AZ189" i="3" s="1"/>
  <c r="G190" i="3"/>
  <c r="BA192" i="3"/>
  <c r="AZ192" i="3" s="1"/>
  <c r="BL193" i="3"/>
  <c r="AZ193" i="3" s="1"/>
  <c r="G194" i="3"/>
  <c r="BA196" i="3"/>
  <c r="AZ196" i="3"/>
  <c r="BL197" i="3"/>
  <c r="AZ197" i="3"/>
  <c r="G198" i="3"/>
  <c r="BA200" i="3"/>
  <c r="AZ200" i="3" s="1"/>
  <c r="BL201" i="3"/>
  <c r="AZ201" i="3" s="1"/>
  <c r="AZ66" i="3"/>
  <c r="AZ74" i="3"/>
  <c r="AZ185" i="3"/>
  <c r="AZ84" i="3"/>
  <c r="AZ90" i="3"/>
  <c r="AZ94"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43" i="3"/>
  <c r="BA358" i="3"/>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66" i="3"/>
  <c r="AZ174" i="3"/>
  <c r="AZ179"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209" i="3"/>
  <c r="AZ213" i="3"/>
  <c r="AZ217" i="3"/>
  <c r="AZ221" i="3"/>
  <c r="AZ225" i="3"/>
  <c r="AZ229" i="3"/>
  <c r="AZ233" i="3"/>
  <c r="AZ237" i="3"/>
  <c r="AZ241" i="3"/>
  <c r="AZ321" i="3"/>
  <c r="AZ341" i="3"/>
  <c r="AZ353" i="3"/>
  <c r="G368" i="3"/>
  <c r="BA370" i="3"/>
  <c r="AZ370" i="3" s="1"/>
  <c r="BL371" i="3"/>
  <c r="G372" i="3"/>
  <c r="BA374" i="3"/>
  <c r="AZ374" i="3" s="1"/>
  <c r="BL375" i="3"/>
  <c r="G376" i="3"/>
  <c r="BA378" i="3"/>
  <c r="AZ378" i="3" s="1"/>
  <c r="BL379" i="3"/>
  <c r="AZ379" i="3" s="1"/>
  <c r="G380" i="3"/>
  <c r="BA382" i="3"/>
  <c r="BL383" i="3"/>
  <c r="AZ383" i="3" s="1"/>
  <c r="G384"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U38" i="21"/>
  <c r="BL571" i="3"/>
  <c r="BA571" i="3"/>
  <c r="AZ571" i="3" s="1"/>
  <c r="BL570" i="3"/>
  <c r="F42" i="21"/>
  <c r="AA42" i="21" s="1"/>
  <c r="AB40" i="33"/>
  <c r="U40" i="33"/>
  <c r="AA35" i="34"/>
  <c r="S35" i="34"/>
  <c r="E90" i="34"/>
  <c r="H27" i="34"/>
  <c r="AB27" i="34"/>
  <c r="AB8" i="35"/>
  <c r="U8" i="35"/>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c r="G72" i="35" s="1"/>
  <c r="H22" i="35"/>
  <c r="AB22" i="35" s="1"/>
  <c r="H23" i="35"/>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32" i="40"/>
  <c r="AA32" i="40" s="1"/>
  <c r="F61" i="46"/>
  <c r="AZ244" i="3"/>
  <c r="AZ247" i="3"/>
  <c r="AZ252" i="3"/>
  <c r="AZ255" i="3"/>
  <c r="F72" i="46"/>
  <c r="H74" i="46" s="1"/>
  <c r="AZ167" i="3"/>
  <c r="AZ32" i="3"/>
  <c r="AZ48" i="3"/>
  <c r="AZ71" i="3"/>
  <c r="AZ79" i="3"/>
  <c r="AZ99" i="3"/>
  <c r="J13" i="40"/>
  <c r="W13" i="40" s="1"/>
  <c r="AB14" i="40"/>
  <c r="AC14" i="40"/>
  <c r="S33" i="40"/>
  <c r="S47" i="39"/>
  <c r="AB37" i="34"/>
  <c r="AC41" i="40"/>
  <c r="W41" i="40"/>
  <c r="U41" i="40"/>
  <c r="J23" i="40"/>
  <c r="AC23" i="40" s="1"/>
  <c r="G91" i="40"/>
  <c r="F23" i="40"/>
  <c r="S23" i="40" s="1"/>
  <c r="AC15" i="40"/>
  <c r="AB16" i="39"/>
  <c r="W14" i="39"/>
  <c r="U23" i="35"/>
  <c r="AB23" i="35"/>
  <c r="H20" i="35"/>
  <c r="U20" i="35" s="1"/>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AB19" i="39"/>
  <c r="U46" i="34"/>
  <c r="AC30" i="34"/>
  <c r="AA14" i="34"/>
  <c r="W12" i="34"/>
  <c r="U29" i="33"/>
  <c r="AC13" i="33"/>
  <c r="U17" i="34"/>
  <c r="AA11" i="34"/>
  <c r="W32" i="33"/>
  <c r="H15" i="33"/>
  <c r="U15" i="33" s="1"/>
  <c r="AA11" i="33"/>
  <c r="AA40" i="21"/>
  <c r="U17"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W23" i="40"/>
  <c r="B11" i="1"/>
  <c r="E11" i="1" s="1"/>
  <c r="K11" i="1"/>
  <c r="M11" i="1" s="1"/>
  <c r="B9" i="1"/>
  <c r="E9" i="1" s="1"/>
  <c r="B7" i="1"/>
  <c r="E7" i="1" s="1"/>
  <c r="AP6"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U35" i="21"/>
  <c r="W43" i="21"/>
  <c r="AA37" i="21"/>
  <c r="AB37" i="21"/>
  <c r="W28" i="21"/>
  <c r="AC46" i="21"/>
  <c r="AC26" i="21"/>
  <c r="F85" i="21"/>
  <c r="G85" i="21"/>
  <c r="J23" i="21"/>
  <c r="W23" i="21" s="1"/>
  <c r="F23" i="21"/>
  <c r="S23" i="21" s="1"/>
  <c r="H23" i="21"/>
  <c r="AB23" i="21" s="1"/>
  <c r="F15" i="21"/>
  <c r="S15" i="21" s="1"/>
  <c r="F77" i="21"/>
  <c r="G77"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A21" i="39"/>
  <c r="AC38" i="39"/>
  <c r="S29" i="39"/>
  <c r="S14" i="39"/>
  <c r="AB15" i="39"/>
  <c r="U11" i="39"/>
  <c r="AB38" i="39"/>
  <c r="U31" i="39"/>
  <c r="AB31" i="39"/>
  <c r="S38" i="39"/>
  <c r="S22" i="31"/>
  <c r="D18" i="9"/>
  <c r="M44" i="9" s="1"/>
  <c r="M43" i="9"/>
  <c r="D96" i="9"/>
  <c r="M18" i="15"/>
  <c r="A18" i="64"/>
  <c r="B74" i="63" s="1"/>
  <c r="C53" i="10"/>
  <c r="A25" i="64" s="1"/>
  <c r="A18" i="51"/>
  <c r="B14" i="63" s="1"/>
  <c r="BA16" i="3"/>
  <c r="BA17" i="3"/>
  <c r="AZ17" i="3" s="1"/>
  <c r="K1" i="12"/>
  <c r="I4" i="6"/>
  <c r="G3" i="46" s="1"/>
  <c r="Z7" i="46" s="1"/>
  <c r="AZ15" i="3"/>
  <c r="BK5" i="3"/>
  <c r="BO5" i="3"/>
  <c r="BP5" i="3"/>
  <c r="BN5" i="3"/>
  <c r="BL18" i="3"/>
  <c r="AZ18" i="3" s="1"/>
  <c r="BC5" i="3"/>
  <c r="BD5" i="3"/>
  <c r="BR5" i="3"/>
  <c r="BS5" i="3"/>
  <c r="BQ5" i="3"/>
  <c r="BL16" i="3"/>
  <c r="BM5" i="3"/>
  <c r="G28" i="12"/>
  <c r="D24" i="44"/>
  <c r="D26" i="44"/>
  <c r="F50" i="46"/>
  <c r="H52" i="46" s="1"/>
  <c r="M5" i="46"/>
  <c r="C6" i="46" s="1"/>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4"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B20" i="55" s="1"/>
  <c r="B70" i="63" s="1"/>
  <c r="G66" i="36"/>
  <c r="J18" i="36"/>
  <c r="W18" i="36" s="1"/>
  <c r="AC18" i="36"/>
  <c r="L20" i="6"/>
  <c r="B21" i="55"/>
  <c r="B72" i="63" s="1"/>
  <c r="C45" i="9"/>
  <c r="B7" i="66" s="1"/>
  <c r="O40" i="9"/>
  <c r="K31" i="9" s="1"/>
  <c r="K32" i="9" s="1"/>
  <c r="N76" i="9"/>
  <c r="C46" i="9"/>
  <c r="K33" i="9" s="1"/>
  <c r="K34" i="9" s="1"/>
  <c r="O41" i="9"/>
  <c r="B8" i="66"/>
  <c r="R8" i="54"/>
  <c r="B54" i="63" s="1"/>
  <c r="H61" i="4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C20" i="59" s="1"/>
  <c r="C19" i="59" s="1"/>
  <c r="C18" i="59" s="1"/>
  <c r="B22" i="59"/>
  <c r="B21" i="59" s="1"/>
  <c r="D22" i="59"/>
  <c r="D20" i="59"/>
  <c r="C24" i="46"/>
  <c r="N5" i="65"/>
  <c r="J15" i="15"/>
  <c r="M28" i="15"/>
  <c r="J36" i="15"/>
  <c r="F13" i="67"/>
  <c r="F11" i="67"/>
  <c r="M26" i="15"/>
  <c r="L48" i="15"/>
  <c r="M8" i="15"/>
  <c r="B12" i="67"/>
  <c r="I7" i="65"/>
  <c r="F9" i="15"/>
  <c r="F43" i="15"/>
  <c r="E9" i="67"/>
  <c r="F10" i="67"/>
  <c r="F13" i="15"/>
  <c r="N4" i="65"/>
  <c r="F42" i="15"/>
  <c r="F7" i="15"/>
  <c r="E13" i="67"/>
  <c r="F37" i="15"/>
  <c r="E8" i="67"/>
  <c r="F14" i="67"/>
  <c r="E14" i="67"/>
  <c r="M23" i="15"/>
  <c r="F36" i="15"/>
  <c r="I3" i="65"/>
  <c r="I5" i="65"/>
  <c r="J5" i="65"/>
  <c r="F26" i="15"/>
  <c r="B14" i="67"/>
  <c r="B9" i="67"/>
  <c r="B13" i="67"/>
  <c r="F38" i="15"/>
  <c r="F12" i="67"/>
  <c r="N6" i="65"/>
  <c r="B11" i="67"/>
  <c r="M6" i="15"/>
  <c r="J3" i="65"/>
  <c r="I4" i="65"/>
  <c r="J4" i="65"/>
  <c r="F9" i="67"/>
  <c r="E11" i="67"/>
  <c r="F6" i="15"/>
  <c r="M9" i="15"/>
  <c r="I6" i="65"/>
  <c r="F40" i="15"/>
  <c r="L47" i="15"/>
  <c r="F8" i="15"/>
  <c r="E12" i="67"/>
  <c r="E10" i="67"/>
  <c r="F8" i="67"/>
  <c r="B10" i="67"/>
  <c r="J7" i="65"/>
  <c r="N7" i="65"/>
  <c r="M29" i="15"/>
  <c r="F16" i="15"/>
  <c r="M24" i="15"/>
  <c r="N3" i="65"/>
  <c r="M22" i="15"/>
  <c r="J6" i="65"/>
  <c r="B8" i="67"/>
  <c r="AA29" i="35" l="1"/>
  <c r="W20" i="35"/>
  <c r="AB20" i="35"/>
  <c r="AA20" i="35"/>
  <c r="S16" i="35"/>
  <c r="W14" i="35"/>
  <c r="AA14" i="35"/>
  <c r="AB14" i="35"/>
  <c r="J26" i="35"/>
  <c r="H26" i="35"/>
  <c r="F26" i="35"/>
  <c r="AA36" i="21"/>
  <c r="AB36" i="21"/>
  <c r="AB34" i="21"/>
  <c r="S34" i="21"/>
  <c r="S42" i="21"/>
  <c r="W42" i="21"/>
  <c r="U39" i="21"/>
  <c r="W32" i="21"/>
  <c r="AB32" i="21"/>
  <c r="AC23" i="21"/>
  <c r="U23" i="21"/>
  <c r="U19" i="21"/>
  <c r="S19" i="21"/>
  <c r="U15" i="21"/>
  <c r="AA15" i="21"/>
  <c r="AA23" i="21"/>
  <c r="S21" i="21"/>
  <c r="AC19" i="21"/>
  <c r="W17" i="21"/>
  <c r="AA17" i="21"/>
  <c r="AC15" i="21"/>
  <c r="W8" i="21"/>
  <c r="S8" i="21"/>
  <c r="P75" i="15"/>
  <c r="U41" i="39"/>
  <c r="S41" i="39"/>
  <c r="AB43" i="39"/>
  <c r="U27" i="39"/>
  <c r="S27" i="39"/>
  <c r="W25" i="39"/>
  <c r="AB25" i="39"/>
  <c r="S25" i="39"/>
  <c r="W23" i="39"/>
  <c r="W29" i="39"/>
  <c r="AB29" i="39"/>
  <c r="W27" i="39"/>
  <c r="U23" i="39"/>
  <c r="AC21" i="39"/>
  <c r="AC19" i="39"/>
  <c r="AC17" i="39"/>
  <c r="S17" i="39"/>
  <c r="AB17" i="39"/>
  <c r="AC44" i="39"/>
  <c r="U42" i="39"/>
  <c r="W43" i="39"/>
  <c r="W41" i="39"/>
  <c r="K9" i="1"/>
  <c r="M9" i="1" s="1"/>
  <c r="K7" i="1"/>
  <c r="M7" i="1" s="1"/>
  <c r="F3" i="35"/>
  <c r="G1" i="44"/>
  <c r="K1" i="43"/>
  <c r="F29" i="6"/>
  <c r="F30" i="6" s="1"/>
  <c r="F20" i="59"/>
  <c r="F19" i="59" s="1"/>
  <c r="F18" i="59" s="1"/>
  <c r="F17" i="59" s="1"/>
  <c r="V21" i="59"/>
  <c r="B20" i="59"/>
  <c r="B19" i="59" s="1"/>
  <c r="B18" i="59" s="1"/>
  <c r="S21" i="59"/>
  <c r="AB12" i="37"/>
  <c r="U12" i="37"/>
  <c r="AA12" i="21"/>
  <c r="S12" i="21"/>
  <c r="AA28" i="34"/>
  <c r="S28" i="34"/>
  <c r="S31" i="33"/>
  <c r="AA31" i="33"/>
  <c r="U45" i="33"/>
  <c r="AB45" i="33"/>
  <c r="W23" i="35"/>
  <c r="AC23" i="35"/>
  <c r="C17" i="59"/>
  <c r="D18" i="59"/>
  <c r="D19" i="59"/>
  <c r="D21" i="59"/>
  <c r="T21" i="59"/>
  <c r="G29" i="6"/>
  <c r="S17" i="34"/>
  <c r="S23" i="39"/>
  <c r="W40" i="40"/>
  <c r="AZ496" i="3"/>
  <c r="AZ504" i="3"/>
  <c r="AZ506" i="3"/>
  <c r="AZ523" i="3"/>
  <c r="AZ537" i="3"/>
  <c r="AZ548" i="3"/>
  <c r="AZ567" i="3"/>
  <c r="AZ362" i="3"/>
  <c r="AZ352" i="3"/>
  <c r="AZ344" i="3"/>
  <c r="AZ304" i="3"/>
  <c r="AZ359" i="3"/>
  <c r="AZ358" i="3"/>
  <c r="AZ323" i="3"/>
  <c r="U27" i="33"/>
  <c r="AB27" i="33"/>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Z526" i="3"/>
  <c r="AZ534" i="3"/>
  <c r="AZ542" i="3"/>
  <c r="E5" i="6"/>
  <c r="D12" i="11" s="1"/>
  <c r="C12" i="11" s="1"/>
  <c r="BF5" i="3"/>
  <c r="B76" i="46"/>
  <c r="B94" i="46"/>
  <c r="B8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A30" i="51"/>
  <c r="B22" i="63" s="1"/>
  <c r="A30" i="64"/>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BL38" i="3"/>
  <c r="AZ38" i="3" s="1"/>
  <c r="BL40" i="3"/>
  <c r="AZ40" i="3" s="1"/>
  <c r="BA41" i="3"/>
  <c r="AZ41" i="3" s="1"/>
  <c r="BL42" i="3"/>
  <c r="BA47" i="3"/>
  <c r="AZ47" i="3" s="1"/>
  <c r="BA51" i="3"/>
  <c r="AZ51" i="3" s="1"/>
  <c r="BL52" i="3"/>
  <c r="AZ52" i="3" s="1"/>
  <c r="BA53" i="3"/>
  <c r="AZ53" i="3" s="1"/>
  <c r="BL54" i="3"/>
  <c r="BL56" i="3"/>
  <c r="AZ56" i="3" s="1"/>
  <c r="BL59" i="3"/>
  <c r="AZ59" i="3" s="1"/>
  <c r="BA63" i="3"/>
  <c r="AZ63" i="3" s="1"/>
  <c r="BL64" i="3"/>
  <c r="BA65" i="3"/>
  <c r="AZ65" i="3" s="1"/>
  <c r="BL70" i="3"/>
  <c r="AZ70" i="3" s="1"/>
  <c r="BA72" i="3"/>
  <c r="AZ72" i="3" s="1"/>
  <c r="BL73" i="3"/>
  <c r="AZ73" i="3" s="1"/>
  <c r="BA78" i="3"/>
  <c r="AZ78" i="3" s="1"/>
  <c r="BA82" i="3"/>
  <c r="AZ82" i="3" s="1"/>
  <c r="BL83" i="3"/>
  <c r="BA86" i="3"/>
  <c r="AZ86" i="3" s="1"/>
  <c r="BL87" i="3"/>
  <c r="BA88" i="3"/>
  <c r="AZ88" i="3" s="1"/>
  <c r="BL89" i="3"/>
  <c r="BL91" i="3"/>
  <c r="AZ91" i="3" s="1"/>
  <c r="BA92" i="3"/>
  <c r="AZ92" i="3" s="1"/>
  <c r="BL93" i="3"/>
  <c r="AZ93" i="3" s="1"/>
  <c r="BA98" i="3"/>
  <c r="AZ98" i="3" s="1"/>
  <c r="BA102" i="3"/>
  <c r="AZ102" i="3" s="1"/>
  <c r="BL103" i="3"/>
  <c r="BA104" i="3"/>
  <c r="AZ104" i="3" s="1"/>
  <c r="BL105" i="3"/>
  <c r="BL107" i="3"/>
  <c r="AZ107" i="3" s="1"/>
  <c r="BA108" i="3"/>
  <c r="AZ108" i="3" s="1"/>
  <c r="BL109" i="3"/>
  <c r="BA112" i="3"/>
  <c r="AZ112" i="3" s="1"/>
  <c r="D43" i="59"/>
  <c r="C44" i="59"/>
  <c r="C56" i="59"/>
  <c r="D55" i="59"/>
  <c r="C64" i="59"/>
  <c r="D63" i="59"/>
  <c r="BL243" i="3"/>
  <c r="BL245" i="3"/>
  <c r="AZ245" i="3" s="1"/>
  <c r="BA246" i="3"/>
  <c r="AZ246" i="3" s="1"/>
  <c r="BL249" i="3"/>
  <c r="AZ249" i="3" s="1"/>
  <c r="BA250" i="3"/>
  <c r="AZ250" i="3" s="1"/>
  <c r="BL251" i="3"/>
  <c r="BL253" i="3"/>
  <c r="AZ253" i="3" s="1"/>
  <c r="BA254" i="3"/>
  <c r="AZ254" i="3" s="1"/>
  <c r="BL257" i="3"/>
  <c r="AZ257" i="3" s="1"/>
  <c r="AZ264" i="3"/>
  <c r="AZ294" i="3"/>
  <c r="AZ132" i="3"/>
  <c r="AZ148" i="3"/>
  <c r="AZ159" i="3"/>
  <c r="AZ171" i="3"/>
  <c r="AZ204" i="3"/>
  <c r="AZ22" i="3"/>
  <c r="AZ26" i="3"/>
  <c r="AZ36" i="3"/>
  <c r="AZ42" i="3"/>
  <c r="AZ64" i="3"/>
  <c r="AZ83" i="3"/>
  <c r="AZ87" i="3"/>
  <c r="AZ89" i="3"/>
  <c r="AZ103" i="3"/>
  <c r="AZ105" i="3"/>
  <c r="AZ109" i="3"/>
  <c r="D53" i="59"/>
  <c r="T53" i="59"/>
  <c r="D32" i="59"/>
  <c r="C33" i="59"/>
  <c r="D40" i="59"/>
  <c r="C41" i="59"/>
  <c r="P16" i="4"/>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5" i="59"/>
  <c r="Z5" i="59" s="1"/>
  <c r="Y8" i="59"/>
  <c r="Z8" i="59" s="1"/>
  <c r="Y10" i="59"/>
  <c r="Z10" i="59" s="1"/>
  <c r="Y11" i="59"/>
  <c r="Z11" i="59" s="1"/>
  <c r="Q66" i="59"/>
  <c r="X24" i="59"/>
  <c r="U29" i="59"/>
  <c r="E28" i="59"/>
  <c r="E27" i="59" s="1"/>
  <c r="Y25" i="59"/>
  <c r="Z25" i="59" s="1"/>
  <c r="AB25" i="59"/>
  <c r="X19" i="59"/>
  <c r="X18" i="59"/>
  <c r="Y18" i="59"/>
  <c r="Z18" i="59" s="1"/>
  <c r="AB19" i="59"/>
  <c r="X15" i="59"/>
  <c r="X5" i="59"/>
  <c r="X7" i="59"/>
  <c r="X6" i="59"/>
  <c r="X8" i="59"/>
  <c r="X10" i="59"/>
  <c r="X11" i="59"/>
  <c r="AA5" i="59"/>
  <c r="AA6" i="59"/>
  <c r="AA8" i="59"/>
  <c r="AA7" i="59"/>
  <c r="AA10" i="59"/>
  <c r="AB6" i="59"/>
  <c r="AB5" i="59"/>
  <c r="AB7" i="59"/>
  <c r="AB8" i="59"/>
  <c r="AB10" i="59"/>
  <c r="AB11" i="59"/>
  <c r="D29" i="59"/>
  <c r="T29" i="59"/>
  <c r="C28" i="59"/>
  <c r="V29" i="59"/>
  <c r="F28" i="59"/>
  <c r="F27" i="59" s="1"/>
  <c r="X22" i="59"/>
  <c r="AA24" i="59"/>
  <c r="Y24" i="59"/>
  <c r="Z24" i="59" s="1"/>
  <c r="AB24" i="59"/>
  <c r="AA19" i="59"/>
  <c r="AA18" i="59"/>
  <c r="AB18" i="59"/>
  <c r="Y15" i="59"/>
  <c r="Z15" i="59" s="1"/>
  <c r="AB15" i="59"/>
  <c r="D25" i="59"/>
  <c r="K76" i="9"/>
  <c r="AA22" i="59"/>
  <c r="Y19" i="59"/>
  <c r="Z19" i="59" s="1"/>
  <c r="AA16" i="59"/>
  <c r="X17" i="59"/>
  <c r="AB13" i="59"/>
  <c r="AA14" i="59"/>
  <c r="AA12" i="59"/>
  <c r="X12" i="59"/>
  <c r="X14" i="59"/>
  <c r="Y12" i="59"/>
  <c r="Z12" i="59" s="1"/>
  <c r="Y14" i="59"/>
  <c r="Z14" i="59" s="1"/>
  <c r="B29" i="59"/>
  <c r="X25" i="59"/>
  <c r="AB16" i="59"/>
  <c r="AB12" i="59"/>
  <c r="AB14" i="59"/>
  <c r="AA13" i="59"/>
  <c r="AA11" i="59"/>
  <c r="AA15" i="59"/>
  <c r="X13" i="59"/>
  <c r="Y13" i="59"/>
  <c r="Z13" i="59" s="1"/>
  <c r="D65" i="46"/>
  <c r="D50" i="46"/>
  <c r="F36" i="44"/>
  <c r="M22" i="44"/>
  <c r="M20" i="15"/>
  <c r="E29" i="6"/>
  <c r="K15" i="1" s="1"/>
  <c r="BL13" i="3"/>
  <c r="L19" i="6"/>
  <c r="L27" i="6" s="1"/>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M28" i="44"/>
  <c r="F9" i="44"/>
  <c r="F18" i="44"/>
  <c r="F40" i="44"/>
  <c r="M25" i="44"/>
  <c r="M10" i="44"/>
  <c r="F11" i="44"/>
  <c r="M11" i="44"/>
  <c r="M8" i="44"/>
  <c r="E2" i="65"/>
  <c r="F15" i="44"/>
  <c r="F10" i="44"/>
  <c r="F8" i="44"/>
  <c r="C16" i="15"/>
  <c r="L48" i="44"/>
  <c r="F38" i="44"/>
  <c r="F39" i="44"/>
  <c r="M31" i="44"/>
  <c r="M30" i="44"/>
  <c r="E3" i="65"/>
  <c r="L49" i="44"/>
  <c r="J17" i="44"/>
  <c r="M26" i="44"/>
  <c r="M24" i="44"/>
  <c r="F45" i="44"/>
  <c r="F28" i="44"/>
  <c r="F43" i="44"/>
  <c r="AB26" i="35" l="1"/>
  <c r="U26" i="35"/>
  <c r="AA26" i="35"/>
  <c r="S26" i="35"/>
  <c r="W26" i="35"/>
  <c r="AC26" i="35"/>
  <c r="M11" i="73"/>
  <c r="J10" i="73" s="1"/>
  <c r="J5" i="73" s="1"/>
  <c r="F11" i="73"/>
  <c r="C8" i="44"/>
  <c r="C34" i="44" s="1"/>
  <c r="C29" i="44"/>
  <c r="Q73" i="44"/>
  <c r="M9" i="44"/>
  <c r="J8" i="44" s="1"/>
  <c r="J20" i="44" s="1"/>
  <c r="L60" i="44"/>
  <c r="Q76" i="44" s="1"/>
  <c r="L59" i="44"/>
  <c r="Q75" i="44" s="1"/>
  <c r="I55" i="44"/>
  <c r="L57" i="44"/>
  <c r="J54" i="44"/>
  <c r="F1" i="44" s="1"/>
  <c r="J58" i="44"/>
  <c r="J56" i="44" s="1"/>
  <c r="J59" i="44" s="1"/>
  <c r="Q52" i="44" s="1"/>
  <c r="D21" i="12"/>
  <c r="C21" i="12" s="1"/>
  <c r="G30" i="6"/>
  <c r="G31" i="6" s="1"/>
  <c r="E15" i="6"/>
  <c r="E61" i="40" s="1"/>
  <c r="O23" i="46"/>
  <c r="B16" i="59"/>
  <c r="B15" i="59" s="1"/>
  <c r="B14" i="59" s="1"/>
  <c r="B13" i="59" s="1"/>
  <c r="S17" i="59"/>
  <c r="B28" i="59"/>
  <c r="B27" i="59" s="1"/>
  <c r="S29" i="59"/>
  <c r="C36" i="59"/>
  <c r="D35" i="59"/>
  <c r="D44" i="59"/>
  <c r="C45" i="59"/>
  <c r="AA23" i="36"/>
  <c r="S23" i="36"/>
  <c r="AC23" i="36"/>
  <c r="W23" i="36"/>
  <c r="W12" i="36"/>
  <c r="AC12" i="36"/>
  <c r="C16" i="59"/>
  <c r="T17" i="59"/>
  <c r="E16" i="59"/>
  <c r="E15" i="59" s="1"/>
  <c r="E14" i="59" s="1"/>
  <c r="E13" i="59" s="1"/>
  <c r="U17" i="59"/>
  <c r="C27" i="59"/>
  <c r="D27" i="59" s="1"/>
  <c r="D28" i="59"/>
  <c r="C67" i="59"/>
  <c r="D68" i="59"/>
  <c r="O68" i="59"/>
  <c r="D41" i="59"/>
  <c r="T41" i="59"/>
  <c r="D33" i="59"/>
  <c r="T33" i="59"/>
  <c r="D64" i="59"/>
  <c r="C65" i="59"/>
  <c r="D56" i="59"/>
  <c r="C57" i="59"/>
  <c r="AB23" i="36"/>
  <c r="U23" i="36"/>
  <c r="U12" i="36"/>
  <c r="AB12" i="36"/>
  <c r="F16" i="59"/>
  <c r="F15" i="59" s="1"/>
  <c r="F14" i="59" s="1"/>
  <c r="F13" i="59" s="1"/>
  <c r="V17" i="59"/>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F24" i="73" s="1"/>
  <c r="E64" i="40"/>
  <c r="D66" i="40"/>
  <c r="AC7" i="33"/>
  <c r="V48" i="33" s="1"/>
  <c r="I48" i="33" s="1"/>
  <c r="W7" i="33"/>
  <c r="S7" i="34"/>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10" i="1"/>
  <c r="AE11" i="1"/>
  <c r="AE9" i="1"/>
  <c r="C18" i="44"/>
  <c r="AE7" i="1"/>
  <c r="F46" i="44"/>
  <c r="W7" i="21" l="1"/>
  <c r="J60" i="44"/>
  <c r="J61" i="44" s="1"/>
  <c r="Q50" i="44" s="1"/>
  <c r="Q62" i="44"/>
  <c r="Q63" i="44"/>
  <c r="J7" i="44"/>
  <c r="C24" i="73"/>
  <c r="C23" i="73"/>
  <c r="C52" i="73"/>
  <c r="C47" i="73" s="1"/>
  <c r="C10" i="73"/>
  <c r="C5" i="73" s="1"/>
  <c r="J24" i="73"/>
  <c r="J26" i="73"/>
  <c r="Q54" i="44"/>
  <c r="C7" i="44"/>
  <c r="C40" i="44" s="1"/>
  <c r="E66" i="39"/>
  <c r="AB7" i="34"/>
  <c r="T49" i="34" s="1"/>
  <c r="G49" i="34" s="1"/>
  <c r="V13" i="59"/>
  <c r="F12" i="59"/>
  <c r="F11" i="59" s="1"/>
  <c r="D45" i="59"/>
  <c r="T45" i="59"/>
  <c r="D57" i="59"/>
  <c r="T57" i="59"/>
  <c r="D65" i="59"/>
  <c r="T65" i="59"/>
  <c r="D67" i="59"/>
  <c r="O67" i="59"/>
  <c r="O66" i="59"/>
  <c r="D16" i="59"/>
  <c r="C15" i="59"/>
  <c r="D36" i="59"/>
  <c r="C37"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F41" i="73"/>
  <c r="F41" i="15"/>
  <c r="M29" i="44"/>
  <c r="M27" i="15"/>
  <c r="F68" i="73" l="1"/>
  <c r="J29" i="73"/>
  <c r="F68" i="15"/>
  <c r="C29" i="73"/>
  <c r="C38" i="73"/>
  <c r="C36" i="73"/>
  <c r="C59" i="73"/>
  <c r="C58" i="73" s="1"/>
  <c r="C65" i="73"/>
  <c r="D22" i="12"/>
  <c r="C22" i="12" s="1"/>
  <c r="C20" i="12" s="1"/>
  <c r="D37" i="59"/>
  <c r="T37" i="59"/>
  <c r="D15" i="59"/>
  <c r="C14"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I43" i="35"/>
  <c r="J43" i="35" s="1"/>
  <c r="G46" i="37"/>
  <c r="H46" i="37" s="1"/>
  <c r="G47" i="37"/>
  <c r="H47" i="37" s="1"/>
  <c r="B3" i="11"/>
  <c r="C17" i="15"/>
  <c r="F7" i="67"/>
  <c r="C56" i="73" l="1"/>
  <c r="C63" i="73" s="1"/>
  <c r="J59" i="73"/>
  <c r="J60" i="73" s="1"/>
  <c r="Q49" i="73" s="1"/>
  <c r="C13" i="73"/>
  <c r="Q71" i="73" s="1"/>
  <c r="Q50" i="73"/>
  <c r="J14" i="73"/>
  <c r="J13" i="73" s="1"/>
  <c r="J23" i="73" s="1"/>
  <c r="D14" i="59"/>
  <c r="C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J35" i="73" l="1"/>
  <c r="C55" i="73"/>
  <c r="C64" i="73" s="1"/>
  <c r="C57" i="73" s="1"/>
  <c r="C66" i="73" s="1"/>
  <c r="C67" i="73" s="1"/>
  <c r="C70" i="73" s="1"/>
  <c r="C37" i="73"/>
  <c r="C30" i="73" s="1"/>
  <c r="C39" i="73" s="1"/>
  <c r="C40" i="73" s="1"/>
  <c r="J22" i="73"/>
  <c r="J16" i="73" s="1"/>
  <c r="J25" i="73" s="1"/>
  <c r="T13" i="59"/>
  <c r="C12" i="59"/>
  <c r="D13"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F37" i="44"/>
  <c r="F35" i="15"/>
  <c r="M23" i="44"/>
  <c r="M21" i="15"/>
  <c r="C16" i="44"/>
  <c r="Q70" i="73" l="1"/>
  <c r="Q69" i="73" s="1"/>
  <c r="J39" i="73"/>
  <c r="J40" i="73" s="1"/>
  <c r="L57" i="73"/>
  <c r="L60" i="73" s="1"/>
  <c r="Q66" i="73"/>
  <c r="Q57" i="73"/>
  <c r="Q48" i="73"/>
  <c r="Q54" i="73" s="1"/>
  <c r="C43" i="73"/>
  <c r="J42" i="73"/>
  <c r="J43" i="73" s="1"/>
  <c r="C46" i="73"/>
  <c r="C11" i="59"/>
  <c r="D12"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L51" i="73"/>
  <c r="Q68" i="73" l="1"/>
  <c r="L46" i="73"/>
  <c r="B2" i="73" s="1"/>
  <c r="Q58" i="73"/>
  <c r="Q63" i="73" s="1"/>
  <c r="Q67" i="73"/>
  <c r="Q76" i="73" s="1"/>
  <c r="F7" i="36"/>
  <c r="S7" i="36" s="1"/>
  <c r="C10" i="59"/>
  <c r="D11"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B3" i="73" l="1"/>
  <c r="F8" i="12" s="1"/>
  <c r="F10" i="12"/>
  <c r="AA7" i="36"/>
  <c r="R36" i="36" s="1"/>
  <c r="E36" i="36" s="1"/>
  <c r="I41" i="36" s="1"/>
  <c r="J41" i="36" s="1"/>
  <c r="C9" i="59"/>
  <c r="D10" i="59"/>
  <c r="E5" i="59"/>
  <c r="U5" i="59" s="1"/>
  <c r="B5" i="59"/>
  <c r="C21" i="43"/>
  <c r="R37" i="36"/>
  <c r="K66" i="40"/>
  <c r="L64" i="40"/>
  <c r="G41" i="36"/>
  <c r="H41" i="36" s="1"/>
  <c r="G40" i="36"/>
  <c r="H40" i="36" s="1"/>
  <c r="I40" i="36"/>
  <c r="J40" i="36" s="1"/>
  <c r="L69" i="39"/>
  <c r="K71" i="39"/>
  <c r="C8" i="59" l="1"/>
  <c r="T9" i="59"/>
  <c r="D9" i="59"/>
  <c r="S5" i="59"/>
  <c r="L71" i="39"/>
  <c r="M69" i="39"/>
  <c r="M64" i="40"/>
  <c r="L66" i="40"/>
  <c r="E40" i="36"/>
  <c r="F40" i="36" s="1"/>
  <c r="E41" i="36"/>
  <c r="F41" i="36" s="1"/>
  <c r="C37" i="36"/>
  <c r="B3" i="36" s="1"/>
  <c r="B2" i="36" s="1"/>
  <c r="C36" i="36"/>
  <c r="D8" i="59" l="1"/>
  <c r="C7" i="59"/>
  <c r="N64" i="40"/>
  <c r="N66" i="40" s="1"/>
  <c r="M66" i="40"/>
  <c r="N69" i="39"/>
  <c r="N71" i="39" s="1"/>
  <c r="M71" i="39"/>
  <c r="D7" i="59" l="1"/>
  <c r="C6" i="59"/>
  <c r="J9" i="40"/>
  <c r="H9" i="40"/>
  <c r="F9" i="40"/>
  <c r="J9" i="39"/>
  <c r="H9" i="39"/>
  <c r="F9" i="39"/>
  <c r="C5" i="59" l="1"/>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D19" i="9"/>
  <c r="G19" i="9" l="1"/>
  <c r="L44" i="9"/>
  <c r="D22" i="9"/>
  <c r="B3" i="12"/>
  <c r="B5" i="12"/>
  <c r="B4" i="12"/>
  <c r="D20" i="9"/>
  <c r="D21" i="9"/>
  <c r="D27" i="9" l="1"/>
  <c r="D14" i="66"/>
  <c r="G14" i="66" s="1"/>
  <c r="B6" i="66" s="1"/>
  <c r="G21" i="9"/>
  <c r="G20" i="9"/>
  <c r="C32" i="9"/>
  <c r="N43" i="9"/>
  <c r="G22" i="9"/>
  <c r="C6" i="66" l="1"/>
  <c r="D6" i="66"/>
  <c r="E14" i="66"/>
  <c r="B5" i="66"/>
  <c r="F14" i="66"/>
  <c r="O38" i="9"/>
  <c r="C33" i="9"/>
  <c r="C34" i="9"/>
  <c r="O43" i="9"/>
  <c r="C42" i="9"/>
  <c r="C35" i="9"/>
  <c r="F42" i="9" s="1"/>
  <c r="D5" i="66" l="1"/>
  <c r="C5" i="66"/>
  <c r="D63" i="9"/>
  <c r="N68" i="9"/>
  <c r="C44" i="9"/>
  <c r="R5" i="54"/>
  <c r="B48" i="63" s="1"/>
  <c r="M38" i="9"/>
  <c r="K27" i="9" s="1"/>
  <c r="E42" i="9"/>
  <c r="P5" i="54" s="1"/>
  <c r="B46" i="63" s="1"/>
  <c r="K25" i="9"/>
  <c r="K26" i="9"/>
  <c r="N38" i="9"/>
  <c r="K28" i="9" s="1"/>
  <c r="D42" i="9"/>
  <c r="Q5" i="54" s="1"/>
  <c r="B47" i="63" s="1"/>
  <c r="N69" i="9" l="1"/>
  <c r="F44" i="9"/>
  <c r="O39" i="9"/>
  <c r="D44" i="9"/>
  <c r="E44" i="9"/>
  <c r="D71" i="9"/>
  <c r="D66" i="9" s="1"/>
  <c r="N72" i="9" s="1"/>
  <c r="C96" i="9"/>
  <c r="C91" i="9" s="1"/>
  <c r="C90" i="9"/>
  <c r="D70" i="9"/>
  <c r="C82" i="9"/>
  <c r="C81" i="9" s="1"/>
  <c r="C85" i="9" s="1"/>
  <c r="C86" i="9" s="1"/>
  <c r="D72" i="9" s="1"/>
  <c r="D73" i="9"/>
  <c r="N73" i="9" s="1"/>
  <c r="C103" i="9"/>
  <c r="C111" i="9"/>
  <c r="C104" i="9" s="1"/>
  <c r="R6" i="54" l="1"/>
  <c r="B50" i="63" s="1"/>
  <c r="K29" i="9"/>
  <c r="K30" i="9" s="1"/>
  <c r="M88" i="9"/>
  <c r="N88" i="9" s="1"/>
  <c r="M83" i="9"/>
  <c r="N83" i="9" s="1"/>
  <c r="M85" i="9"/>
  <c r="N85" i="9" s="1"/>
  <c r="M84" i="9"/>
  <c r="N84" i="9" s="1"/>
  <c r="M86" i="9"/>
  <c r="N86" i="9" s="1"/>
  <c r="M87" i="9"/>
  <c r="N87" i="9" s="1"/>
  <c r="C113" i="9"/>
  <c r="C97" i="9"/>
  <c r="N89" i="9" l="1"/>
  <c r="O89" i="9" s="1"/>
  <c r="C114" i="9"/>
  <c r="E114" i="9" s="1"/>
  <c r="E115" i="9" s="1"/>
  <c r="C98" i="9"/>
  <c r="E98" i="9" s="1"/>
  <c r="E99" i="9" s="1"/>
  <c r="C99" i="9" l="1"/>
  <c r="C115" i="9"/>
  <c r="D76" i="9" s="1"/>
  <c r="D74" i="9" s="1"/>
  <c r="N74" i="9" s="1"/>
  <c r="O77" i="9" s="1"/>
  <c r="Q77" i="9" s="1"/>
  <c r="O78" i="9" l="1"/>
  <c r="O79" i="9"/>
  <c r="O81" i="9"/>
  <c r="O80" i="9"/>
  <c r="B2" i="35" l="1"/>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<sst xmlns="http://schemas.openxmlformats.org/spreadsheetml/2006/main" count="8079" uniqueCount="3439">
  <si>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</si>
  <si>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</si>
  <si>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</si>
  <si>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</si>
  <si>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</si>
  <si>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</si>
  <si>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</si>
  <si>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</si>
  <si>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</si>
  <si>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</si>
  <si>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</si>
  <si>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</si>
  <si>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</si>
  <si>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</si>
  <si>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</si>
  <si>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</si>
  <si>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</si>
  <si>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</si>
  <si>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</si>
  <si>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</si>
  <si>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</si>
  <si>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</si>
  <si>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</si>
  <si>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</si>
  <si>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</si>
  <si>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</si>
  <si>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</si>
  <si>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</si>
  <si>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</si>
  <si>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</si>
  <si>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</si>
  <si>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</si>
  <si>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</si>
  <si>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</si>
  <si>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</si>
  <si>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</si>
  <si>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</si>
  <si>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</si>
  <si>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</si>
  <si>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</si>
  <si>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</si>
  <si>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</si>
  <si>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</si>
  <si>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</si>
  <si>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</si>
  <si>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</si>
  <si>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</si>
  <si>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</si>
  <si>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</si>
  <si>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</si>
  <si>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</si>
  <si>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</si>
  <si>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</si>
  <si>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</si>
  <si>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</si>
  <si>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</si>
  <si>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</si>
  <si>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</si>
  <si>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</si>
  <si>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</si>
  <si>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</si>
  <si>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</si>
  <si>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</si>
  <si>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</si>
  <si>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</si>
  <si>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</si>
  <si>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</si>
  <si>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</si>
  <si>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</si>
  <si>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</si>
  <si>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</si>
  <si>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</si>
  <si>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</si>
  <si>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</si>
  <si>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</si>
  <si>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</si>
  <si>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</si>
  <si>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</si>
  <si>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</si>
  <si>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</si>
  <si>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</si>
  <si>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</si>
  <si>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</si>
  <si>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</si>
  <si>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</si>
  <si>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</si>
  <si>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</si>
  <si>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</si>
  <si>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</si>
  <si>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</si>
  <si>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</si>
  <si>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</si>
  <si>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</si>
  <si>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</si>
  <si>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</si>
  <si>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</si>
  <si>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</si>
  <si>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</si>
  <si>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</si>
  <si>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</si>
  <si>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</si>
  <si>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</si>
  <si>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</si>
  <si>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</si>
  <si>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</si>
  <si>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</si>
  <si>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</si>
  <si>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</si>
  <si>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</si>
  <si>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</si>
  <si>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</si>
  <si>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</si>
  <si>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</si>
  <si>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</si>
  <si>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</si>
  <si>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</si>
  <si>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</si>
  <si>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</si>
  <si>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</si>
  <si>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</si>
  <si>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</si>
  <si>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</si>
  <si>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</si>
  <si>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</si>
  <si>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</si>
  <si>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</si>
  <si>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</si>
  <si>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</si>
  <si>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</si>
  <si>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</si>
  <si>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</si>
  <si>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</si>
  <si>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</si>
  <si>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</si>
  <si>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</si>
  <si>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</si>
  <si>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</si>
  <si>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</si>
  <si>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</si>
  <si>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</si>
  <si>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</si>
  <si>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</si>
  <si>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</si>
  <si>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</si>
  <si>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</si>
  <si>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</si>
  <si>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</si>
  <si>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</si>
  <si>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</si>
  <si>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</si>
  <si>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</si>
  <si>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</si>
  <si>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</si>
  <si>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</si>
  <si>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</si>
  <si>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</si>
  <si>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</si>
  <si>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</si>
  <si>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</si>
  <si>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</si>
  <si>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</si>
  <si>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</si>
  <si>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</si>
  <si>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</si>
  <si>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</si>
  <si>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</si>
  <si>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</si>
  <si>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</si>
  <si>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</si>
  <si>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</si>
  <si>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</si>
  <si>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</si>
  <si>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</si>
  <si>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</si>
  <si>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</si>
  <si>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</si>
  <si>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</si>
  <si>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</si>
  <si>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</si>
  <si>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</si>
  <si>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</si>
  <si>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</si>
  <si>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</si>
  <si>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</si>
  <si>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</si>
  <si>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</si>
  <si>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</si>
  <si>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</si>
  <si>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</si>
  <si>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</si>
  <si>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</si>
  <si>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</si>
  <si>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</si>
  <si>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</si>
  <si>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</si>
  <si>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</si>
  <si>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</si>
  <si>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</si>
  <si>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</si>
  <si>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</si>
  <si>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</si>
  <si>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</si>
  <si>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</si>
  <si>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</si>
  <si>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</si>
  <si>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</si>
  <si>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</si>
  <si>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</si>
  <si>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</si>
  <si>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</si>
  <si>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</si>
  <si>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</si>
  <si>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</si>
  <si>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</si>
  <si>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</si>
  <si>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</si>
  <si>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</si>
  <si>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</si>
  <si>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</si>
  <si>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</si>
  <si>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</si>
  <si>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</si>
  <si>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</si>
  <si>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</si>
  <si>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</si>
  <si>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</si>
  <si>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</si>
  <si>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</si>
  <si>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</si>
  <si>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</si>
  <si>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</si>
  <si>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</si>
  <si>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</si>
  <si>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</si>
  <si>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</si>
  <si>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</si>
  <si>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</si>
  <si>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</si>
  <si>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</si>
  <si>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</si>
  <si>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</si>
  <si>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</si>
  <si>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</si>
  <si>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</si>
  <si>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</si>
  <si>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</si>
  <si>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</si>
  <si>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</si>
  <si>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</si>
  <si>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</si>
  <si>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</si>
  <si>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</si>
  <si>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</si>
  <si>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</si>
  <si>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</si>
  <si>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</si>
  <si>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</si>
  <si>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</si>
  <si>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</si>
  <si>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</si>
  <si>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</si>
  <si>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</si>
  <si>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</si>
  <si>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</si>
  <si>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</si>
  <si>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</si>
  <si>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</si>
  <si>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</si>
  <si>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</si>
  <si>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</si>
  <si>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</si>
  <si>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</si>
  <si>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</si>
  <si>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</si>
  <si>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</si>
  <si>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</si>
  <si>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</si>
  <si>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</si>
  <si>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</si>
  <si>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</si>
  <si>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</si>
  <si>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</si>
  <si>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</si>
  <si>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</si>
  <si>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</si>
  <si>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</si>
  <si>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</si>
  <si>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</si>
  <si>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</si>
  <si>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</si>
  <si>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</si>
  <si>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</si>
  <si>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</si>
  <si>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</si>
  <si>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</si>
  <si>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</si>
  <si>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</si>
  <si>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</si>
  <si>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</si>
  <si>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</si>
  <si>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</si>
  <si>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</si>
  <si>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</si>
  <si>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</si>
  <si>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</si>
  <si>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</si>
  <si>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</si>
  <si>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</si>
  <si>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</si>
  <si>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</si>
  <si>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</si>
  <si>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</si>
  <si>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</si>
  <si>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</si>
  <si>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</si>
  <si>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</si>
  <si>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</si>
  <si>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</si>
  <si>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</si>
  <si>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</si>
  <si>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</si>
  <si>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</si>
  <si>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</si>
  <si>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</si>
  <si>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</si>
  <si>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</si>
  <si>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</si>
  <si>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</si>
  <si>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</si>
  <si>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</si>
  <si>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</si>
  <si>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</si>
  <si>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</si>
  <si>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</si>
  <si>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</si>
  <si>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</si>
  <si>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</si>
  <si>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</si>
  <si>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</si>
  <si>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</si>
  <si>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</si>
  <si>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</si>
  <si>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</si>
  <si>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</si>
  <si>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</si>
  <si>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</si>
  <si>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</si>
  <si>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</si>
  <si>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</si>
  <si>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</si>
  <si>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</si>
  <si>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</si>
  <si>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</si>
  <si>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</si>
  <si>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</si>
  <si>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</si>
  <si>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</si>
  <si>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</si>
  <si>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</si>
  <si>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</si>
  <si>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</si>
  <si>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</si>
  <si>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</si>
  <si>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</si>
  <si>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</si>
  <si>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</si>
  <si>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</si>
  <si>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</si>
  <si>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</si>
  <si>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</si>
  <si>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</si>
  <si>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</si>
  <si>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</si>
  <si>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</si>
  <si>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</si>
  <si>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</si>
  <si>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</si>
  <si>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</si>
  <si>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</si>
  <si>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</si>
  <si>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</si>
  <si>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</si>
  <si>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</si>
  <si>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</si>
  <si>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</si>
  <si>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</si>
  <si>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</si>
  <si>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</si>
  <si>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</si>
  <si>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</si>
  <si>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</si>
  <si>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</si>
  <si>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</si>
  <si>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</si>
  <si>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</si>
  <si>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</si>
  <si>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</si>
  <si>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</si>
  <si>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</si>
  <si>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</si>
  <si>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</si>
  <si>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</si>
  <si>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</si>
  <si>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</si>
  <si>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</si>
  <si>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</si>
  <si>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</si>
  <si>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</si>
  <si>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</si>
  <si>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</si>
  <si>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</si>
  <si>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</si>
  <si>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</si>
  <si>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</si>
  <si>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</si>
  <si>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</si>
  <si>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</si>
  <si>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</si>
  <si>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</si>
  <si>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</si>
  <si>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</si>
  <si>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</si>
  <si>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</si>
  <si>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</si>
  <si>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</si>
  <si>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</si>
  <si>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</si>
  <si>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</si>
  <si>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</si>
  <si>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</si>
  <si>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</si>
  <si>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</si>
  <si>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</si>
  <si>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</si>
  <si>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</si>
  <si>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</si>
  <si>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</si>
  <si>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</si>
  <si>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</si>
  <si>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</si>
  <si>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</si>
  <si>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</si>
  <si>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</si>
  <si>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</si>
  <si>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</si>
  <si>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</si>
  <si>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</si>
  <si>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</si>
  <si>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</si>
  <si>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</si>
  <si>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</si>
  <si>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</si>
  <si>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</si>
  <si>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</si>
  <si>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</si>
  <si>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</si>
  <si>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</si>
  <si>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</si>
  <si>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</si>
  <si>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</si>
  <si>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</si>
  <si>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</si>
  <si>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</si>
  <si>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</si>
  <si>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</si>
  <si>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</si>
  <si>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</si>
  <si>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</si>
  <si>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</si>
  <si>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</si>
  <si>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</si>
  <si>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</si>
  <si>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</si>
  <si>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</si>
  <si>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</si>
  <si>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</si>
  <si>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</si>
  <si>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</si>
  <si>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</si>
  <si>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</si>
  <si>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</si>
  <si>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</si>
  <si>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</si>
  <si>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</si>
  <si>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</si>
  <si>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</si>
  <si>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</si>
  <si>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</si>
  <si>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</si>
  <si>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</si>
  <si>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</si>
  <si>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</si>
  <si>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</si>
  <si>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</si>
  <si>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</si>
  <si>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</si>
  <si>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</si>
  <si>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</si>
  <si>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</si>
  <si>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</si>
  <si>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</si>
  <si>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</si>
  <si>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</si>
  <si>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</si>
  <si>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</si>
  <si>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</si>
  <si>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</si>
  <si>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</si>
  <si>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</si>
  <si>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</si>
  <si>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</si>
  <si>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</si>
  <si>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</si>
  <si>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</si>
  <si>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</si>
  <si>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</si>
  <si>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</si>
  <si>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</si>
  <si>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</si>
  <si>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</si>
  <si>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</si>
  <si>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</si>
  <si>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</si>
  <si>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</si>
  <si>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</si>
  <si>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</si>
  <si>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</si>
  <si>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</si>
  <si>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</si>
  <si>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</si>
  <si>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</si>
  <si>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</si>
  <si>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</si>
  <si>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</si>
  <si>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</si>
  <si>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</si>
  <si>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</si>
  <si>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</si>
  <si>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</si>
  <si>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</si>
  <si>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</si>
  <si>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</si>
  <si>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</si>
  <si>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</si>
  <si>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</si>
  <si>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</si>
  <si>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</si>
  <si>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</si>
  <si>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</si>
  <si>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</si>
  <si>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</si>
  <si>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</si>
  <si>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</si>
  <si>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</si>
  <si>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</si>
  <si>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</si>
  <si>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</si>
  <si>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</si>
  <si>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</si>
  <si>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</si>
  <si>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</si>
  <si>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</si>
  <si>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</si>
  <si>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</si>
  <si>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</si>
  <si>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</si>
  <si>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</si>
  <si>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</si>
  <si>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</si>
  <si>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</si>
  <si>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</si>
  <si>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</si>
  <si>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</si>
  <si>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</si>
  <si>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</si>
  <si>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</si>
  <si>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</si>
  <si>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</si>
  <si>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</si>
  <si>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</si>
  <si>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</si>
  <si>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</si>
  <si>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</si>
  <si>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</si>
  <si>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</si>
  <si>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</si>
  <si>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</si>
  <si>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</si>
  <si>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</si>
  <si>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</si>
  <si>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</si>
  <si>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</si>
  <si>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</si>
  <si>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</si>
  <si>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</si>
  <si>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</si>
  <si>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</si>
  <si>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</si>
  <si>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</si>
  <si>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</si>
  <si>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</si>
  <si>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</si>
  <si>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</si>
  <si>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</si>
  <si>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</si>
  <si>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</si>
  <si>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</si>
  <si>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</si>
  <si>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</si>
  <si>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</si>
  <si>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</si>
  <si>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</si>
  <si>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</si>
  <si>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</si>
  <si>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</si>
  <si>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</si>
  <si>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</si>
  <si>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</si>
  <si>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</si>
  <si>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</si>
  <si>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</si>
  <si>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</si>
  <si>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</si>
  <si>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</si>
  <si>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</si>
  <si>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</si>
  <si>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</si>
  <si>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</si>
  <si>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</si>
  <si>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</si>
  <si>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</si>
  <si>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</si>
  <si>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</si>
  <si>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</si>
  <si>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</si>
  <si>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</si>
  <si>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</si>
  <si>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</si>
  <si>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</si>
  <si>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</si>
  <si>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</si>
  <si>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</si>
  <si>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</si>
  <si>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</si>
  <si>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</si>
  <si>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</si>
  <si>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</si>
  <si>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</si>
  <si>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</si>
  <si>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</si>
  <si>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</si>
  <si>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</si>
  <si>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</si>
  <si>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</si>
  <si>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</si>
  <si>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</si>
  <si>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</si>
  <si>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</si>
  <si>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</si>
  <si>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</si>
  <si>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</si>
  <si>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</si>
  <si>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</si>
  <si>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</si>
  <si>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</si>
  <si>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</si>
  <si>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</si>
  <si>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</si>
  <si>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</si>
  <si>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</si>
  <si>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</si>
  <si>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</si>
  <si>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</si>
  <si>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</si>
  <si>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</si>
  <si>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</si>
  <si>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</si>
  <si>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</si>
  <si>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</si>
  <si>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</si>
  <si>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</si>
  <si>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</si>
  <si>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</si>
  <si>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</si>
  <si>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</si>
  <si>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</si>
  <si>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</si>
  <si>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</si>
  <si>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</si>
  <si>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</si>
  <si>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</si>
  <si>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</si>
  <si>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</si>
  <si>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</si>
  <si>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</si>
  <si>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</si>
  <si>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</si>
  <si>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</si>
  <si>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</si>
  <si>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</si>
  <si>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</si>
  <si>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</si>
  <si>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</si>
  <si>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</si>
  <si>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</si>
  <si>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</si>
  <si>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</si>
  <si>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</si>
  <si>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</si>
  <si>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</si>
  <si>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</si>
  <si>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</si>
  <si>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</si>
  <si>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</si>
  <si>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</si>
  <si>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</si>
  <si>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</si>
  <si>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</si>
  <si>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</si>
  <si>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</si>
  <si>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</si>
  <si>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</si>
  <si>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</si>
  <si>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</si>
  <si>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</si>
  <si>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</si>
  <si>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</si>
  <si>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</si>
  <si>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</si>
  <si>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</si>
  <si>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</si>
  <si>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</si>
  <si>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</si>
  <si>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</si>
  <si>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</si>
  <si>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</si>
  <si>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</si>
  <si>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</si>
  <si>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</si>
  <si>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</si>
  <si>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</si>
  <si>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</si>
  <si>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</si>
  <si>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</si>
  <si>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</si>
  <si>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</si>
  <si>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</si>
  <si>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</si>
  <si>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</si>
  <si>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</si>
  <si>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</si>
  <si>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</si>
  <si>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</si>
  <si>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</si>
  <si>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</si>
  <si>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</si>
  <si>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</si>
  <si>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</si>
  <si>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</si>
  <si>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</si>
  <si>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</si>
  <si>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</si>
  <si>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</si>
  <si>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</si>
  <si>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</si>
  <si>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</si>
  <si>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</si>
  <si>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</si>
  <si>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</si>
  <si>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</si>
  <si>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</si>
  <si>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</si>
  <si>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</si>
  <si>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</si>
  <si>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</si>
  <si>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</si>
  <si>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</si>
  <si>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</si>
  <si>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</si>
  <si>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</si>
  <si>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</si>
  <si>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</si>
  <si>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</si>
  <si>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</si>
  <si>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</si>
  <si>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</si>
  <si>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</si>
  <si>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</si>
  <si>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</si>
  <si>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</si>
  <si>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</si>
  <si>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</si>
  <si>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</si>
  <si>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</si>
  <si>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</si>
  <si>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</si>
  <si>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</si>
  <si>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</si>
  <si>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</si>
  <si>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</si>
  <si>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</si>
  <si>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</si>
  <si>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</si>
  <si>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</si>
  <si>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</si>
  <si>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</si>
  <si>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</si>
  <si>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</si>
  <si>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</si>
  <si>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</si>
  <si>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</si>
  <si>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</si>
  <si>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</si>
  <si>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</si>
  <si>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</si>
  <si>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</si>
  <si>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</si>
  <si>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</si>
  <si>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</si>
  <si>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</si>
  <si>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</si>
  <si>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</si>
  <si>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</si>
  <si>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</si>
  <si>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</si>
  <si>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</si>
  <si>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</si>
  <si>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</si>
  <si>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</si>
  <si>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</si>
  <si>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</si>
  <si>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</si>
  <si>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</si>
  <si>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</si>
  <si>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</si>
  <si>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</si>
  <si>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</si>
  <si>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</si>
  <si>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</si>
  <si>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</si>
  <si>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</si>
  <si>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</si>
  <si>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</si>
  <si>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</si>
  <si>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</si>
  <si>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</si>
  <si>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</si>
  <si>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</si>
  <si>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</si>
  <si>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</si>
  <si>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</si>
  <si>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</si>
  <si>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</si>
  <si>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</si>
  <si>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</si>
  <si>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</si>
  <si>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</si>
  <si>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</si>
  <si>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</si>
  <si>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</si>
  <si>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</si>
  <si>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</si>
  <si>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</si>
  <si>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</si>
  <si>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</si>
  <si>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</si>
  <si>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</si>
  <si>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</si>
  <si>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</si>
  <si>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</si>
  <si>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</si>
  <si>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</si>
  <si>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</si>
  <si>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</si>
  <si>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</si>
  <si>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</si>
  <si>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</si>
  <si>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</si>
  <si>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</si>
  <si>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</si>
  <si>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</si>
  <si>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</si>
  <si>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</si>
  <si>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</si>
  <si>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</si>
  <si>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</si>
  <si>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</si>
  <si>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</si>
  <si>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</si>
  <si>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</si>
  <si>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</si>
  <si>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</si>
  <si>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</si>
  <si>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</si>
  <si>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</si>
  <si>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</si>
  <si>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</si>
  <si>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</si>
  <si>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</si>
  <si>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</si>
  <si>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</si>
  <si>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</si>
  <si>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</si>
  <si>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</si>
  <si>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</si>
  <si>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</si>
  <si>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</si>
  <si>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</si>
  <si>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</si>
  <si>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</si>
  <si>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</si>
  <si>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</si>
  <si>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</si>
  <si>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</si>
  <si>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</si>
  <si>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</si>
  <si>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</si>
  <si>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</si>
  <si>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</si>
  <si>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</si>
  <si>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</si>
  <si>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</si>
  <si>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</si>
  <si>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</si>
  <si>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</si>
  <si>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</si>
  <si>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</si>
  <si>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</si>
  <si>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</si>
  <si>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</si>
  <si>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</si>
  <si>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</si>
  <si>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</si>
  <si>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</si>
  <si>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</si>
  <si>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</si>
  <si>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</si>
  <si>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</si>
  <si>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</si>
  <si>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</si>
  <si>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</si>
  <si>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</si>
  <si>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</si>
  <si>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</si>
  <si>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</si>
  <si>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</si>
  <si>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</si>
  <si>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</si>
  <si>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</si>
  <si>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</si>
  <si>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</si>
  <si>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</si>
  <si>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</si>
  <si>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</si>
  <si>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</si>
  <si>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</si>
  <si>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</si>
  <si>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</si>
  <si>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</si>
  <si>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</si>
  <si>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</si>
  <si>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</si>
  <si>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</si>
  <si>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</si>
  <si>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</si>
  <si>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</si>
  <si>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</si>
  <si>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</si>
  <si>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</si>
  <si>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</si>
  <si>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</si>
  <si>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</si>
  <si>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</si>
  <si>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</si>
  <si>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</si>
  <si>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</si>
  <si>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</si>
  <si>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</si>
  <si>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</si>
  <si>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</si>
  <si>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</si>
  <si>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</si>
  <si>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</si>
  <si>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</si>
  <si>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</si>
  <si>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</si>
  <si>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</si>
  <si>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</si>
  <si>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</si>
  <si>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</si>
  <si>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</si>
  <si>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</si>
  <si>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</si>
  <si>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</si>
  <si>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</si>
  <si>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</si>
  <si>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</si>
  <si>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</si>
  <si>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</si>
  <si>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</si>
  <si>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</si>
  <si>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</si>
  <si>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</si>
  <si>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</si>
  <si>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</si>
  <si>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</si>
  <si>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</si>
  <si>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</si>
  <si>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</si>
  <si>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</si>
  <si>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</si>
  <si>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</si>
  <si>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</si>
  <si>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</si>
  <si>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</si>
  <si>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</si>
  <si>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</si>
  <si>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</si>
  <si>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</si>
  <si>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</si>
  <si>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</si>
  <si>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</si>
  <si>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</si>
  <si>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</si>
  <si>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</si>
  <si>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</si>
  <si>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</si>
  <si>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</si>
  <si>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</si>
  <si>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</si>
  <si>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</si>
  <si>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</si>
  <si>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</si>
  <si>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</si>
  <si>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</si>
  <si>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</si>
  <si>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</si>
  <si>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</si>
  <si>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</si>
  <si>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</si>
  <si>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</si>
  <si>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</si>
  <si>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</si>
  <si>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</si>
  <si>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</si>
  <si>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</si>
  <si>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</si>
  <si>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</si>
  <si>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</si>
  <si>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</si>
  <si>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</si>
  <si>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</si>
  <si>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</si>
  <si>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</si>
  <si>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</si>
  <si>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</si>
  <si>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</si>
  <si>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</si>
  <si>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</si>
  <si>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</si>
  <si>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</si>
  <si>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</si>
  <si>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</si>
  <si>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</si>
  <si>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</si>
  <si>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</si>
  <si>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</si>
  <si>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</si>
  <si>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</si>
  <si>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</si>
  <si>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</si>
  <si>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</si>
  <si>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</si>
  <si>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</si>
  <si>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</si>
  <si>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</si>
  <si>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</si>
  <si>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</si>
  <si>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</si>
  <si>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</si>
  <si>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</si>
  <si>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</si>
  <si>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</si>
  <si>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</si>
  <si>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</si>
  <si>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</si>
  <si>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</si>
  <si>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</si>
  <si>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</si>
  <si>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</si>
  <si>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</si>
  <si>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</si>
  <si>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</si>
  <si>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</si>
  <si>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</si>
  <si>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</si>
  <si>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</si>
  <si>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</si>
  <si>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</si>
  <si>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</si>
  <si>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</si>
  <si>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</si>
  <si>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</si>
  <si>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</si>
  <si>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</si>
  <si>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</si>
  <si>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</si>
  <si>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</si>
  <si>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</si>
  <si>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</si>
  <si>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</si>
  <si>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</si>
  <si>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</si>
  <si>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</si>
  <si>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</si>
  <si>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</si>
  <si>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</si>
  <si>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</si>
  <si>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</si>
  <si>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</si>
  <si>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</si>
  <si>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</si>
  <si>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</si>
  <si>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</si>
  <si>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</si>
  <si>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</si>
  <si>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</si>
  <si>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</si>
  <si>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</si>
  <si>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</si>
  <si>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</si>
  <si>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</si>
  <si>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</si>
  <si>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</si>
  <si>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</si>
  <si>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</si>
  <si>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</si>
  <si>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</si>
  <si>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</si>
  <si>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</si>
  <si>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</si>
  <si>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</si>
  <si>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</si>
  <si>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</si>
  <si>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</si>
  <si>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</si>
  <si>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</si>
  <si>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</si>
  <si>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</si>
  <si>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</si>
  <si>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</si>
  <si>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</si>
  <si>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</si>
  <si>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</si>
  <si>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</si>
  <si>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</si>
  <si>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</si>
  <si>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</si>
  <si>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</si>
  <si>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</si>
  <si>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</si>
  <si>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</si>
  <si>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</si>
  <si>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</si>
  <si>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</si>
  <si>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</si>
  <si>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</si>
  <si>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</si>
  <si>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</si>
  <si>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</si>
  <si>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</si>
  <si>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</si>
  <si>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</si>
  <si>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</si>
  <si>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</si>
  <si>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</si>
  <si>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</si>
  <si>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</si>
  <si>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</si>
  <si>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</si>
  <si>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</si>
  <si>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</si>
  <si>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</si>
  <si>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</si>
  <si>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</si>
  <si>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</si>
  <si>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</si>
  <si>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</si>
  <si>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</si>
  <si>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</si>
  <si>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</si>
  <si>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</si>
  <si>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</si>
  <si>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</si>
  <si>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</si>
  <si>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</si>
  <si>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</si>
  <si>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</si>
  <si>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</si>
  <si>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</si>
  <si>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</si>
  <si>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</si>
  <si>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</si>
  <si>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</si>
  <si>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</si>
  <si>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</si>
  <si>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</si>
  <si>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</si>
  <si>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</si>
  <si>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</si>
  <si>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</si>
  <si>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</si>
  <si>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</si>
  <si>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</si>
  <si>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</si>
  <si>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</si>
  <si>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</si>
  <si>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</si>
  <si>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</si>
  <si>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</si>
  <si>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</si>
  <si>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</si>
  <si>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</si>
  <si>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</si>
  <si>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</si>
  <si>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</si>
  <si>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</si>
  <si>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</si>
  <si>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</si>
  <si>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</si>
  <si>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</si>
  <si>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</si>
  <si>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</si>
  <si>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</si>
  <si>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</si>
  <si>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</si>
  <si>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</si>
  <si>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</si>
  <si>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</si>
  <si>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</si>
  <si>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</si>
  <si>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</si>
  <si>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</si>
  <si>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</si>
  <si>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</si>
  <si>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</si>
  <si>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</si>
  <si>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</si>
  <si>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</si>
  <si>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</si>
  <si>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</si>
  <si>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</si>
  <si>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</si>
  <si>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</si>
  <si>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</si>
  <si>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</si>
  <si>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</si>
  <si>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</si>
  <si>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</si>
  <si>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</si>
  <si>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</si>
  <si>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</si>
  <si>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</si>
  <si>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</si>
  <si>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</si>
  <si>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</si>
  <si>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</si>
  <si>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</si>
  <si>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</si>
  <si>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</si>
  <si>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</si>
  <si>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</si>
  <si>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</si>
  <si>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</si>
  <si>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</si>
  <si>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</si>
  <si>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</si>
  <si>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</si>
  <si>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</si>
  <si>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</si>
  <si>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</si>
  <si>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</si>
  <si>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</si>
  <si>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</si>
  <si>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</si>
  <si>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</si>
  <si>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</si>
  <si>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</si>
  <si>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</si>
  <si>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</si>
  <si>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</si>
  <si>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</si>
  <si>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</si>
  <si>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</si>
  <si>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</si>
  <si>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</si>
  <si>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</si>
  <si>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</si>
  <si>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</si>
  <si>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</si>
  <si>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</si>
  <si>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</si>
  <si>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</si>
  <si>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</si>
  <si>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</si>
  <si>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</si>
  <si>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</si>
  <si>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</si>
  <si>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</si>
  <si>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</si>
  <si>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</si>
  <si>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</si>
  <si>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</si>
  <si>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</si>
  <si>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</si>
  <si>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</si>
  <si>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</si>
  <si>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</si>
  <si>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</si>
  <si>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</si>
  <si>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</si>
  <si>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</si>
  <si>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</si>
  <si>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</si>
  <si>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</si>
  <si>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</si>
  <si>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</si>
  <si>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</si>
  <si>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</si>
  <si>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</si>
  <si>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</si>
  <si>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</si>
  <si>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</si>
  <si>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</si>
  <si>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</si>
  <si>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</si>
  <si>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</si>
  <si>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</si>
  <si>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</si>
  <si>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</si>
  <si>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</si>
  <si>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</si>
  <si>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</si>
  <si>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</si>
  <si>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</si>
  <si>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</si>
  <si>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</si>
  <si>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</si>
  <si>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</si>
  <si>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</si>
  <si>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</si>
  <si>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</si>
  <si>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</si>
  <si>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</si>
  <si>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</si>
  <si>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</si>
  <si>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</si>
  <si>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</si>
  <si>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</si>
  <si>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</si>
  <si>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</si>
  <si>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</si>
  <si>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</si>
  <si>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</si>
  <si>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</si>
  <si>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</si>
  <si>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</si>
  <si>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</si>
  <si>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</si>
  <si>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</si>
  <si>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</si>
  <si>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</si>
  <si>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</si>
  <si>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</si>
  <si>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</si>
  <si>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</si>
  <si>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</si>
  <si>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</si>
  <si>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</si>
  <si>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</si>
  <si>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</si>
  <si>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</si>
  <si>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</si>
  <si>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</si>
  <si>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</si>
  <si>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</si>
  <si>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</si>
  <si>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</si>
  <si>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</si>
  <si>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</si>
  <si>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</si>
  <si>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</si>
  <si>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</si>
  <si>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</si>
  <si>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</si>
  <si>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</si>
  <si>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</si>
  <si>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</si>
  <si>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</si>
  <si>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</si>
  <si>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</si>
  <si>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</si>
  <si>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</si>
  <si>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</si>
  <si>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</si>
  <si>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</si>
  <si>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</si>
  <si>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</si>
  <si>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</si>
  <si>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</si>
  <si>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</si>
  <si>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</si>
  <si>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</si>
  <si>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</si>
  <si>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</si>
  <si>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</si>
  <si>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</si>
  <si>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</si>
  <si>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</si>
  <si>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</si>
  <si>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</si>
  <si>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</si>
  <si>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</si>
  <si>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</si>
  <si>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</si>
  <si>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</si>
  <si>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</si>
  <si>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</si>
  <si>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</si>
  <si>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</si>
  <si>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</si>
  <si>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</si>
  <si>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</si>
  <si>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</si>
  <si>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</si>
  <si>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</si>
  <si>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</si>
  <si>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</si>
  <si>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</si>
  <si>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</si>
  <si>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</si>
  <si>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</si>
  <si>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</si>
  <si>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</si>
  <si>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</si>
  <si>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</si>
  <si>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</si>
  <si>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</si>
  <si>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</si>
  <si>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</si>
  <si>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</si>
  <si>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</si>
  <si>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</si>
  <si>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</si>
  <si>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</si>
  <si>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</si>
  <si>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</si>
  <si>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</si>
  <si>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</si>
  <si>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</si>
  <si>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</si>
  <si>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</si>
  <si>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</si>
  <si>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</si>
  <si>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</si>
  <si>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</si>
  <si>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</si>
  <si>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</si>
  <si>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</si>
  <si>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</si>
  <si>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</si>
  <si>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</si>
  <si>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</si>
  <si>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</si>
  <si>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</si>
  <si>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</si>
  <si>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</si>
  <si>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</si>
  <si>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</si>
  <si>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</si>
  <si>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</si>
  <si>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</si>
  <si>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</si>
  <si>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</si>
  <si>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</si>
  <si>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</si>
  <si>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</si>
  <si>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</si>
  <si>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</si>
  <si>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</si>
  <si>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</si>
  <si>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</si>
  <si>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</si>
  <si>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</si>
  <si>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</si>
  <si>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</si>
  <si>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</si>
  <si>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</si>
  <si>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</si>
  <si>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</si>
  <si>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</si>
  <si>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</si>
  <si>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</si>
  <si>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</si>
  <si>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</si>
  <si>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</si>
  <si>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</si>
  <si>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</si>
  <si>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</si>
  <si>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</si>
  <si>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</si>
  <si>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</si>
  <si>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</si>
  <si>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</si>
  <si>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</si>
  <si>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</si>
  <si>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</si>
  <si>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</si>
  <si>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</si>
  <si>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</si>
  <si>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</si>
  <si>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</si>
  <si>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</si>
  <si>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</si>
  <si>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</si>
  <si>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</si>
  <si>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</si>
  <si>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</si>
  <si>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</si>
  <si>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</si>
  <si>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</si>
  <si>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</si>
  <si>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</si>
  <si>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</si>
  <si>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</si>
  <si>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</si>
  <si>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</si>
  <si>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</si>
  <si>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</si>
  <si>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</si>
  <si>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</si>
  <si>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</si>
  <si>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</si>
  <si>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</si>
  <si>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</si>
  <si>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</si>
  <si>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</si>
  <si>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</si>
  <si>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</si>
  <si>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</si>
  <si>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</si>
  <si>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</si>
  <si>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</si>
  <si>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</si>
  <si>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</si>
  <si>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</si>
  <si>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</si>
  <si>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</si>
  <si>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</si>
  <si>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</si>
  <si>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</si>
  <si>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</si>
  <si>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</si>
  <si>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</si>
  <si>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</si>
  <si>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</si>
  <si>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</si>
  <si>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</si>
  <si>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</si>
  <si>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</si>
  <si>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</si>
  <si>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</si>
  <si>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</si>
  <si>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</si>
  <si>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</si>
  <si>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</si>
  <si>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</si>
  <si>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</si>
  <si>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</si>
  <si>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</si>
  <si>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</si>
  <si>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</si>
  <si>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</si>
  <si>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</si>
  <si>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</si>
  <si>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</si>
  <si>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</si>
  <si>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</si>
  <si>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</si>
  <si>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</si>
  <si>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</si>
  <si>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</si>
  <si>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</si>
  <si>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</si>
  <si>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</si>
  <si>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</si>
  <si>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</si>
  <si>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</si>
  <si>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</si>
  <si>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</si>
  <si>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</si>
  <si>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</si>
  <si>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</si>
  <si>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</si>
  <si>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</si>
  <si>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</si>
  <si>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</si>
  <si>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</si>
  <si>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</si>
  <si>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</si>
  <si>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</si>
  <si>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</si>
  <si>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</si>
  <si>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</si>
  <si>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</si>
  <si>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</si>
  <si>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</si>
  <si>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</si>
  <si>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</si>
  <si>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</si>
  <si>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</si>
  <si>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</si>
  <si>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</si>
  <si>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</si>
  <si>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</si>
  <si>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</si>
  <si>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</si>
  <si>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</si>
  <si>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</si>
  <si>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</si>
  <si>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</si>
  <si>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</si>
  <si>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</si>
  <si>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</si>
  <si>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</si>
  <si>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</si>
  <si>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</si>
  <si>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</si>
  <si>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</si>
  <si>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</si>
  <si>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</si>
  <si>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</si>
  <si>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</si>
  <si>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</si>
  <si>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</si>
  <si>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</si>
  <si>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</si>
  <si>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</si>
  <si>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</si>
  <si>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</si>
  <si>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</si>
  <si>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</si>
  <si>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</si>
  <si>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</si>
  <si>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</si>
  <si>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</si>
  <si>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</si>
  <si>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</si>
  <si>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</si>
  <si>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</si>
  <si>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</si>
  <si>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</si>
  <si>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</si>
  <si>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</si>
  <si>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</si>
  <si>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</si>
  <si>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</si>
  <si>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</si>
  <si>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</si>
  <si>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</si>
  <si>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</si>
  <si>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</si>
  <si>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</si>
  <si>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</si>
  <si>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</si>
  <si>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</si>
  <si>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</si>
  <si>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</si>
  <si>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</si>
  <si>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</si>
  <si>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</si>
  <si>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</si>
  <si>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</si>
  <si>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</si>
  <si>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</si>
  <si>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</si>
  <si>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</si>
  <si>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</si>
  <si>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</si>
  <si>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</si>
  <si>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</si>
  <si>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</si>
  <si>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</si>
  <si>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</si>
  <si>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</si>
  <si>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</si>
  <si>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</si>
  <si>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</si>
  <si>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</si>
  <si>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</si>
  <si>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</si>
  <si>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</si>
  <si>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</si>
  <si>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</si>
  <si>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</si>
  <si>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</si>
  <si>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</si>
  <si>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</si>
  <si>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</si>
  <si>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</si>
  <si>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</si>
  <si>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</si>
  <si>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</si>
  <si>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</si>
  <si>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</si>
  <si>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</si>
  <si>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</si>
  <si>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</si>
  <si>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</si>
  <si>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</si>
  <si>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</si>
  <si>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</si>
  <si>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</si>
  <si>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</si>
  <si>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</si>
  <si>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</si>
  <si>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</si>
  <si>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</si>
  <si>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</si>
  <si>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</si>
  <si>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</si>
  <si>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</si>
  <si>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</si>
  <si>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</si>
  <si>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</si>
  <si>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</si>
  <si>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</si>
  <si>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</si>
  <si>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</si>
  <si>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</si>
  <si>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</si>
  <si>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</si>
  <si>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</si>
  <si>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</si>
  <si>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</si>
  <si>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</si>
  <si>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</si>
  <si>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</si>
  <si>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</si>
  <si>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</si>
  <si>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</si>
  <si>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</si>
  <si>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</si>
  <si>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</si>
  <si>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</si>
  <si>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</si>
  <si>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</si>
  <si>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</si>
  <si>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</si>
  <si>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</si>
  <si>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</si>
  <si>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</si>
  <si>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</si>
  <si>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</si>
  <si>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</si>
  <si>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</si>
  <si>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</si>
  <si>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</si>
  <si>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</si>
  <si>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</si>
  <si>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</si>
  <si>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</si>
  <si>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</si>
  <si>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</si>
  <si>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</si>
  <si>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</si>
  <si>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</si>
  <si>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</si>
  <si>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</si>
  <si>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</si>
  <si>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</si>
  <si>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</si>
  <si>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</si>
  <si>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</si>
  <si>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</si>
  <si>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</si>
  <si>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</si>
  <si>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</si>
  <si>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</si>
  <si>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</si>
  <si>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</si>
  <si>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</si>
  <si>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</si>
  <si>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</si>
  <si>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</si>
  <si>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</si>
  <si>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</si>
  <si>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</si>
  <si>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</si>
  <si>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</si>
  <si>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</si>
  <si>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</si>
  <si>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</si>
  <si>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</si>
  <si>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</si>
  <si>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</si>
  <si>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</si>
  <si>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</si>
  <si>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</si>
  <si>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</si>
  <si>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</si>
  <si>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</si>
  <si>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</si>
  <si>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</si>
  <si>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</si>
  <si>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</si>
  <si>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</si>
  <si>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</si>
  <si>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</si>
  <si>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</si>
  <si>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</si>
  <si>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</si>
  <si>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</si>
  <si>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</si>
  <si>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</si>
  <si>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</si>
  <si>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</si>
  <si>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</si>
  <si>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</si>
  <si>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</si>
  <si>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</si>
  <si>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</si>
  <si>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</si>
  <si>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</si>
  <si>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</si>
  <si>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</si>
  <si>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</si>
  <si>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</si>
  <si>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</si>
  <si>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</si>
  <si>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</si>
  <si>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</si>
  <si>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</si>
  <si>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</si>
  <si>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</si>
  <si>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</si>
  <si>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</si>
  <si>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</si>
  <si>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</si>
  <si>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</si>
  <si>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</si>
  <si>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</si>
  <si>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</si>
  <si>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</si>
  <si>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</si>
  <si>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</si>
  <si>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</si>
  <si>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</si>
  <si>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</si>
  <si>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</si>
  <si>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</si>
  <si>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</si>
  <si>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</si>
  <si>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</si>
  <si>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</si>
  <si>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</si>
  <si>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</si>
  <si>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</si>
  <si>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</si>
  <si>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</si>
  <si>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</si>
  <si>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</si>
  <si>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</si>
  <si>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</si>
  <si>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</si>
  <si>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</si>
  <si>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</si>
  <si>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</si>
  <si>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</si>
  <si>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</si>
  <si>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</si>
  <si>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</si>
  <si>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</si>
  <si>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</si>
  <si>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</si>
  <si>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</si>
  <si>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</si>
  <si>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</si>
  <si>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</si>
  <si>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</si>
  <si>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</si>
  <si>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</si>
  <si>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</si>
  <si>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</si>
  <si>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</si>
  <si>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</si>
  <si>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</si>
  <si>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</si>
  <si>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</si>
  <si>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</si>
  <si>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</si>
  <si>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</si>
  <si>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</si>
  <si>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</si>
  <si>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</si>
  <si>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</si>
  <si>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</si>
  <si>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</si>
  <si>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</si>
  <si>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</si>
  <si>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</si>
  <si>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</si>
  <si>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</si>
  <si>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</si>
  <si>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</si>
  <si>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</si>
  <si>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</si>
  <si>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</si>
  <si>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</si>
  <si>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</si>
  <si>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</si>
  <si>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</si>
  <si>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</si>
  <si>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</si>
  <si>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</si>
  <si>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</si>
  <si>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</si>
  <si>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</si>
  <si>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</si>
  <si>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</si>
  <si>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</si>
  <si>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</si>
  <si>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</si>
  <si>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</si>
  <si>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</si>
  <si>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</si>
  <si>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</si>
  <si>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</si>
  <si>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</si>
  <si>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</si>
  <si>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</si>
  <si>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</si>
  <si>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</si>
  <si>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</si>
  <si>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</si>
  <si>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</si>
  <si>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</si>
  <si>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</si>
  <si>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</si>
  <si>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</si>
  <si>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</si>
  <si>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</si>
  <si>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</si>
  <si>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</si>
  <si>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</si>
  <si>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</si>
  <si>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</si>
  <si>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</si>
  <si>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</si>
  <si>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</si>
  <si>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</si>
  <si>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</si>
  <si>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</si>
  <si>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</si>
  <si>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</si>
  <si>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</si>
  <si>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</si>
  <si>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</si>
  <si>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</si>
  <si>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</si>
  <si>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</si>
  <si>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</si>
  <si>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</si>
  <si>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</si>
  <si>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</si>
  <si>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</si>
  <si>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</si>
  <si>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</si>
  <si>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</si>
  <si>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</si>
  <si>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</si>
  <si>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</si>
  <si>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</si>
  <si>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</si>
  <si>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</si>
  <si>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</si>
  <si>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</si>
  <si>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</si>
  <si>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</si>
  <si>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</si>
  <si>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</si>
  <si>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</si>
  <si>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</si>
  <si>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</si>
  <si>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</si>
  <si>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</si>
  <si>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</si>
  <si>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</si>
  <si>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</si>
  <si>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</si>
  <si>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</si>
  <si>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</si>
  <si>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</si>
  <si>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</si>
  <si>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</si>
  <si>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</si>
  <si>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</si>
  <si>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</si>
  <si>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</si>
  <si>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</si>
  <si>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</si>
  <si>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</si>
  <si>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</si>
  <si>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</si>
  <si>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</si>
  <si>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</si>
  <si>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</si>
  <si>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</si>
  <si>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</si>
  <si>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</si>
  <si>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</si>
  <si>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</si>
  <si>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</si>
  <si>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</si>
  <si>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</si>
  <si>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</si>
  <si>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</si>
  <si>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</si>
  <si>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</si>
  <si>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</si>
  <si>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</si>
  <si>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</si>
  <si>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</si>
  <si>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</si>
  <si>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</si>
  <si>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</si>
  <si>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</si>
  <si>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</si>
  <si>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</si>
  <si>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</si>
  <si>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</si>
  <si>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</si>
  <si>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</si>
  <si>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</si>
  <si>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</si>
  <si>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</si>
  <si>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</si>
  <si>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</si>
  <si>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</si>
  <si>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</si>
  <si>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</si>
  <si>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</si>
  <si>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</si>
  <si>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</si>
  <si>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</si>
  <si>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</si>
  <si>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</si>
  <si>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</si>
  <si>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</si>
  <si>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</si>
  <si>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</si>
  <si>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</si>
  <si>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</si>
  <si>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</si>
  <si>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</si>
  <si>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</si>
  <si>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</si>
  <si>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</si>
  <si>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</si>
  <si>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</si>
  <si>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</si>
  <si>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</si>
  <si>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</si>
  <si>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</si>
  <si>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</si>
  <si>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</si>
  <si>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</si>
  <si>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</si>
  <si>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</si>
  <si>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</si>
  <si>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</si>
  <si>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</si>
  <si>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</si>
  <si>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</si>
  <si>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</si>
  <si>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</si>
  <si>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</si>
  <si>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</si>
  <si>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</si>
  <si>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</si>
  <si>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</si>
  <si>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</si>
  <si>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</si>
  <si>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</si>
  <si>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</si>
  <si>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</si>
  <si>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</si>
  <si>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</si>
  <si>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</si>
  <si>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</si>
  <si>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</si>
  <si>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</si>
  <si>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</si>
  <si>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</si>
  <si>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</si>
  <si>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</si>
  <si>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</si>
  <si>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</si>
  <si>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</si>
  <si>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</si>
  <si>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</si>
  <si>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</si>
  <si>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</si>
  <si>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</si>
  <si>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</si>
  <si>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</si>
  <si>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</si>
  <si>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</si>
  <si>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</si>
  <si>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</si>
  <si>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</si>
  <si>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</si>
  <si>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</si>
  <si>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</si>
  <si>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</si>
  <si>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</si>
  <si>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</si>
  <si>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</si>
  <si>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</si>
  <si>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</si>
  <si>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</si>
  <si>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</si>
  <si>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</si>
  <si>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</si>
  <si>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</si>
  <si>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</si>
  <si>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</si>
  <si>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</si>
  <si>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</si>
  <si>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</si>
  <si>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</si>
  <si>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</si>
  <si>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</si>
  <si>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</si>
  <si>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</si>
  <si>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</si>
  <si>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</si>
  <si>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</si>
  <si>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</si>
  <si>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</si>
  <si>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</si>
  <si>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</si>
  <si>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</si>
  <si>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</si>
  <si>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</si>
  <si>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</si>
  <si>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</si>
  <si>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</si>
  <si>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</si>
  <si>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</si>
  <si>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</si>
  <si>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</si>
  <si>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</si>
  <si>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</si>
  <si>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</si>
  <si>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</si>
  <si>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</si>
  <si>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</si>
  <si>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</si>
  <si>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</si>
  <si>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</si>
  <si>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</si>
  <si>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</si>
  <si>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</si>
  <si>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</si>
  <si>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</si>
  <si>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</si>
  <si>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</si>
  <si>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</si>
  <si>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</si>
  <si>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</si>
  <si>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</si>
  <si>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</si>
  <si>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</si>
  <si>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</si>
  <si>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</si>
  <si>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</si>
  <si>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</si>
  <si>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</si>
  <si>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</si>
  <si>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</si>
  <si>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</si>
  <si>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</si>
  <si>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</si>
  <si>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</si>
  <si>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</si>
  <si>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</si>
  <si>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</si>
  <si>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</si>
  <si>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</si>
  <si>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</si>
  <si>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</si>
  <si>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</si>
  <si>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</si>
  <si>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</si>
  <si>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</si>
  <si>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</si>
  <si>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</si>
  <si>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</si>
  <si>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</si>
  <si>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</si>
  <si>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</si>
  <si>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</si>
  <si>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</si>
  <si>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</si>
  <si>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</si>
  <si>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</si>
  <si>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</si>
  <si>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</si>
  <si>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</si>
  <si>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</si>
  <si>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</si>
  <si>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</si>
  <si>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</si>
  <si>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</si>
  <si>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</si>
  <si>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</si>
  <si>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</si>
  <si>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</si>
  <si>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</si>
  <si>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</si>
  <si>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</si>
  <si>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</si>
  <si>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</si>
  <si>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</si>
  <si>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</si>
  <si>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</si>
  <si>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</si>
  <si>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</si>
  <si>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</si>
  <si>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</si>
  <si>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</si>
  <si>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</si>
  <si>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</si>
  <si>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</si>
  <si>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</si>
  <si>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</si>
  <si>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</si>
  <si>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</si>
  <si>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</si>
  <si>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</si>
  <si>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</si>
  <si>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</si>
  <si>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</si>
  <si>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</si>
  <si>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</si>
  <si>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</si>
  <si>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</si>
  <si>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</si>
  <si>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</si>
  <si>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</si>
  <si>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</si>
  <si>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</si>
  <si>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</si>
  <si>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</si>
  <si>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</si>
  <si>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</si>
  <si>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</si>
  <si>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</si>
  <si>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</si>
  <si>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</si>
  <si>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</si>
  <si>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</si>
  <si>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</si>
  <si>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</si>
  <si>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</si>
  <si>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</si>
  <si>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</si>
  <si>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</si>
  <si>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</si>
  <si>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</si>
  <si>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</si>
  <si>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</si>
  <si>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</si>
  <si>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</si>
  <si>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</si>
  <si>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</si>
  <si>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</si>
  <si>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</si>
  <si>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</si>
  <si>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</si>
  <si>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</si>
  <si>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</si>
  <si>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</si>
  <si>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</si>
  <si>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</si>
  <si>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</si>
  <si>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</si>
  <si>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</si>
  <si>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</si>
  <si>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</si>
  <si>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</si>
  <si>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</si>
  <si>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</si>
  <si>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</si>
  <si>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</si>
  <si>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</si>
  <si>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</si>
  <si>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</si>
  <si>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</si>
  <si>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</si>
  <si>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</si>
  <si>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</si>
  <si>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</si>
  <si>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</si>
  <si>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</si>
  <si>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</si>
  <si>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</si>
  <si>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</si>
  <si>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</si>
  <si>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</si>
  <si>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</si>
  <si>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</si>
  <si>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</si>
  <si>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</si>
  <si>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</si>
  <si>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</si>
  <si>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</si>
  <si>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</si>
  <si>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</si>
  <si>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</si>
  <si>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</si>
  <si>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</si>
  <si>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</si>
  <si>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</si>
  <si>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</si>
  <si>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</si>
  <si>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</si>
  <si>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</si>
  <si>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</si>
  <si>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</si>
  <si>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</si>
  <si>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</si>
  <si>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</si>
  <si>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</si>
  <si>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</si>
  <si>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</si>
  <si>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</si>
  <si>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</si>
  <si>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</si>
  <si>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</si>
  <si>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</si>
  <si>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</si>
  <si>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</si>
  <si>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</si>
  <si>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</si>
  <si>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</si>
  <si>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</si>
  <si>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</si>
  <si>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</si>
  <si>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</si>
  <si>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</si>
  <si>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</si>
  <si>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</si>
  <si>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</si>
  <si>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</si>
  <si>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</si>
  <si>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</si>
  <si>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</si>
  <si>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</si>
  <si>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</si>
  <si>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</si>
  <si>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</si>
  <si>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</si>
  <si>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</si>
  <si>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</si>
  <si>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</si>
  <si>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</si>
  <si>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</si>
  <si>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</si>
  <si>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</si>
  <si>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</si>
  <si>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</si>
  <si>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</si>
  <si>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</si>
  <si>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</si>
  <si>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</si>
  <si>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</si>
  <si>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</si>
  <si>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</si>
  <si>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</si>
  <si>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</si>
  <si>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</si>
  <si>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</si>
  <si>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</si>
  <si>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</si>
  <si>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</si>
  <si>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</si>
  <si>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</si>
  <si>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</si>
  <si>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</si>
  <si>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</si>
  <si>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</si>
  <si>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</si>
  <si>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</si>
  <si>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</si>
  <si>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</si>
  <si>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</si>
  <si>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</si>
  <si>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</si>
  <si>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</si>
  <si>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</si>
  <si>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</si>
  <si>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</si>
  <si>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</si>
  <si>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</si>
  <si>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</si>
  <si>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</si>
  <si>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</si>
  <si>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</si>
  <si>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</si>
  <si>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</si>
  <si>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</si>
  <si>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</si>
  <si>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</si>
  <si>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</si>
  <si>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</si>
  <si>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</si>
  <si>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</si>
  <si>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</si>
  <si>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</si>
  <si>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</si>
  <si>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</si>
  <si>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</si>
  <si>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</si>
  <si>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</si>
  <si>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</si>
  <si>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</si>
  <si>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</si>
  <si>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</si>
  <si>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</si>
  <si>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</si>
  <si>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</si>
  <si>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</si>
  <si>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</si>
  <si>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</si>
  <si>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</si>
  <si>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</si>
  <si>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</si>
  <si>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</si>
  <si>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</si>
  <si>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</si>
  <si>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</si>
  <si>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</si>
  <si>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</si>
  <si>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</si>
  <si>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</si>
  <si>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</si>
  <si>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</si>
  <si>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</si>
  <si>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</si>
  <si>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</si>
  <si>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</si>
  <si>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</si>
  <si>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</si>
  <si>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</si>
  <si>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</si>
  <si>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</si>
  <si>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</si>
  <si>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</si>
  <si>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</si>
  <si>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</si>
  <si>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</si>
  <si>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</si>
  <si>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</si>
  <si>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</si>
  <si>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</si>
  <si>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</si>
  <si>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</si>
  <si>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</si>
  <si>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</si>
  <si>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</si>
  <si>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</si>
  <si>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</si>
  <si>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</si>
  <si>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</si>
  <si>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</si>
  <si>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</si>
  <si>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</si>
  <si>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</si>
  <si>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</si>
  <si>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</si>
  <si>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</si>
  <si>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</si>
  <si>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</si>
  <si>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</si>
  <si>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</si>
  <si>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</si>
  <si>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</si>
  <si>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</si>
  <si>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</si>
  <si>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</si>
  <si>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</si>
  <si>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</si>
  <si>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</si>
  <si>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</si>
  <si>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</si>
  <si>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</si>
  <si>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</si>
  <si>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</si>
  <si>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</si>
  <si>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</si>
  <si>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</si>
  <si>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</si>
  <si>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</si>
  <si>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</si>
  <si>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</si>
  <si>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</si>
  <si>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</si>
  <si>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</si>
  <si>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</si>
  <si>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</si>
  <si>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</si>
  <si>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</si>
  <si>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</si>
  <si>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</si>
  <si>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</si>
  <si>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</si>
  <si>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</si>
  <si>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</si>
  <si>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</si>
  <si>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</si>
  <si>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</si>
  <si>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</si>
  <si>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</si>
  <si>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</si>
  <si>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</si>
  <si>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</si>
  <si>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</si>
  <si>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</si>
  <si>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</si>
  <si>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</si>
  <si>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</si>
  <si>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</si>
  <si>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</si>
  <si>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</si>
  <si>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</si>
  <si>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</si>
  <si>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</si>
  <si>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</si>
  <si>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</si>
  <si>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</si>
  <si>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</si>
  <si>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</si>
  <si>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</si>
  <si>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</si>
  <si>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</si>
  <si>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</si>
  <si>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</si>
  <si>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</si>
  <si>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</si>
  <si>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</si>
  <si>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</si>
  <si>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</si>
  <si>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</si>
  <si>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</si>
  <si>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</si>
  <si>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</si>
  <si>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</si>
  <si>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</si>
  <si>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</si>
  <si>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</si>
  <si>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</si>
  <si>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</si>
  <si>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</si>
  <si>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</si>
  <si>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</si>
  <si>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</si>
  <si>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</si>
  <si>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</si>
  <si>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</si>
  <si>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</si>
  <si>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</si>
  <si>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</si>
  <si>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</si>
  <si>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</si>
  <si>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</si>
  <si>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</si>
  <si>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</si>
  <si>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</si>
  <si>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</si>
  <si>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</si>
  <si>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</si>
  <si>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</si>
  <si>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</si>
  <si>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</si>
  <si>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</si>
  <si>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</si>
  <si>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</si>
  <si>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</si>
  <si>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</si>
  <si>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</si>
  <si>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</si>
  <si>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</si>
  <si>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</si>
  <si>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</si>
  <si>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</si>
  <si>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</si>
  <si>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</si>
  <si>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</si>
  <si>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</si>
  <si>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</si>
  <si>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</si>
  <si>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</si>
  <si>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</si>
  <si>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</si>
  <si>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</si>
  <si>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</si>
  <si>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</si>
  <si>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</si>
  <si>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</si>
  <si>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</si>
  <si>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</si>
  <si>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</si>
  <si>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</si>
  <si>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</si>
  <si>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</si>
  <si>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</si>
  <si>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</si>
  <si>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</si>
  <si>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</si>
  <si>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</si>
  <si>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</si>
  <si>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</si>
  <si>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</si>
  <si>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</si>
  <si>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</si>
  <si>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</si>
  <si>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</si>
  <si>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</si>
  <si>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</si>
  <si>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</si>
  <si>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</si>
  <si>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</si>
  <si>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</si>
  <si>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</si>
  <si>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</si>
  <si>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</si>
  <si>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</si>
  <si>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</si>
  <si>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</si>
  <si>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</si>
  <si>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</si>
  <si>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</si>
  <si>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</si>
  <si>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</si>
  <si>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</si>
  <si>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</si>
  <si>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</si>
  <si>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</si>
  <si>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</si>
  <si>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</si>
  <si>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</si>
  <si>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</si>
  <si>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</si>
  <si>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</si>
  <si>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</si>
  <si>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</si>
  <si>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</si>
  <si>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</si>
  <si>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</si>
  <si>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</si>
  <si>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</si>
  <si>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</si>
  <si>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</si>
  <si>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</si>
  <si>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</si>
  <si>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</si>
  <si>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</si>
  <si>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</si>
  <si>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</si>
  <si>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</si>
  <si>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</si>
  <si>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</si>
  <si>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</si>
  <si>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</si>
  <si>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</si>
  <si>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</si>
  <si>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</si>
  <si>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</si>
  <si>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</si>
  <si>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</si>
  <si>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</si>
  <si>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</si>
  <si>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</si>
  <si>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</si>
  <si>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</si>
  <si>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</si>
  <si>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</si>
  <si>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</si>
  <si>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</si>
  <si>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</si>
  <si>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</si>
  <si>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</si>
  <si>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</si>
  <si>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</si>
  <si>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</si>
  <si>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</si>
  <si>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</si>
  <si>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</si>
  <si>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</si>
  <si>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</si>
  <si>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</si>
  <si>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</si>
  <si>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</si>
  <si>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</si>
  <si>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</si>
  <si>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</si>
  <si>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</si>
  <si>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</si>
  <si>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</si>
  <si>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</si>
  <si>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</si>
  <si>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</si>
  <si>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</si>
  <si>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</si>
  <si>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</si>
  <si>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</si>
  <si>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</si>
  <si>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</si>
  <si>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</si>
  <si>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</si>
  <si>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</si>
  <si>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</si>
  <si>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</si>
  <si>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</si>
  <si>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</si>
  <si>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</si>
  <si>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</si>
  <si>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</si>
  <si>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</si>
  <si>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</si>
  <si>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</si>
  <si>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</si>
  <si>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</si>
  <si>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</si>
  <si>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</si>
  <si>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</si>
  <si>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</si>
  <si>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</si>
  <si>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</si>
  <si>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</si>
  <si>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</si>
  <si>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</si>
  <si>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</si>
  <si>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</si>
  <si>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</si>
  <si>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</si>
  <si>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</si>
  <si>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</si>
  <si>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</si>
  <si>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</si>
  <si>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</si>
  <si>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</si>
  <si>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</si>
  <si>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</si>
  <si>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</si>
  <si>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</si>
  <si>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</si>
  <si>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</si>
  <si>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</si>
  <si>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</si>
  <si>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</si>
  <si>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</si>
  <si>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</si>
  <si>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</si>
  <si>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</si>
  <si>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</si>
  <si>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</si>
  <si>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</si>
  <si>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</si>
  <si>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</si>
  <si>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</si>
  <si>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</si>
  <si>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</si>
  <si>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</si>
  <si>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</si>
  <si>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</si>
  <si>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</si>
  <si>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</si>
  <si>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</si>
  <si>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</si>
  <si>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</si>
  <si>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</si>
  <si>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</si>
  <si>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</si>
  <si>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</si>
  <si>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</si>
  <si>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</si>
  <si>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</si>
  <si>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</si>
  <si>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</si>
  <si>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</si>
  <si>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</si>
  <si>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</si>
  <si>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</si>
  <si>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</si>
  <si>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</si>
  <si>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</si>
  <si>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</si>
  <si>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</si>
  <si>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</si>
  <si>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</si>
  <si>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</si>
  <si>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</si>
  <si>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</si>
  <si>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</si>
  <si>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</si>
  <si>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</si>
  <si>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</si>
  <si>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</si>
  <si>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</si>
  <si>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</si>
  <si>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</si>
  <si>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</si>
  <si>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</si>
  <si>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</si>
  <si>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</si>
  <si>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</si>
  <si>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</si>
  <si>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</si>
  <si>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</si>
  <si>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</si>
  <si>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</si>
  <si>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</si>
  <si>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</si>
  <si>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</si>
  <si>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</si>
  <si>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</si>
  <si>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</si>
  <si>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</si>
  <si>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</si>
  <si>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</si>
  <si>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</si>
  <si>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</si>
  <si>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</si>
  <si>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</si>
  <si>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</si>
  <si>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</si>
  <si>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</si>
  <si>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</si>
  <si>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</si>
  <si>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</si>
  <si>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</si>
  <si>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</si>
  <si>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</si>
  <si>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</si>
  <si>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</si>
  <si>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</si>
  <si>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</si>
  <si>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</si>
  <si>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</si>
  <si>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</si>
  <si>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</si>
  <si>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</si>
  <si>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</si>
  <si>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</si>
  <si>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</si>
  <si>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</si>
  <si>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</si>
  <si>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</si>
  <si>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</si>
  <si>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</si>
  <si>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</si>
  <si>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</si>
  <si>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</si>
  <si>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</si>
  <si>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</si>
  <si>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</si>
  <si>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</si>
  <si>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</si>
  <si>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</si>
  <si>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</si>
  <si>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</si>
  <si>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</si>
  <si>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</si>
  <si>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</si>
  <si>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</si>
  <si>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</si>
  <si>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</si>
  <si>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</si>
  <si>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</si>
  <si>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</si>
  <si>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</si>
  <si>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</si>
  <si>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</si>
  <si>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</si>
  <si>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</si>
  <si>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</si>
  <si>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</si>
  <si>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</si>
  <si>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</si>
  <si>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</si>
  <si>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</si>
  <si>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</si>
  <si>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</si>
  <si>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</si>
  <si>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</si>
  <si>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</si>
  <si>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</si>
  <si>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</si>
  <si>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</si>
  <si>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</si>
  <si>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</si>
  <si>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</si>
  <si>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</si>
  <si>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</si>
  <si>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</si>
  <si>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</si>
  <si>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</si>
  <si>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</si>
  <si>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</si>
  <si>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</si>
  <si>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</si>
  <si>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</si>
  <si>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</si>
  <si>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</si>
  <si>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</si>
  <si>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</si>
  <si>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</si>
  <si>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</si>
  <si>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</si>
  <si>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</si>
  <si>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</si>
  <si>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</si>
  <si>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</si>
  <si>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</si>
  <si>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</si>
  <si>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</si>
  <si>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</si>
  <si>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</si>
  <si>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</si>
  <si>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</si>
  <si>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</si>
  <si>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</si>
  <si>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</si>
  <si>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</si>
  <si>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</si>
  <si>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</si>
  <si>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</si>
  <si>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</si>
  <si>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</si>
  <si>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</si>
  <si>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</si>
  <si>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</si>
  <si>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</si>
  <si>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</si>
  <si>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</si>
  <si>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</si>
  <si>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</si>
  <si>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</si>
  <si>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</si>
  <si>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</si>
  <si>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</si>
  <si>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</si>
  <si>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</si>
  <si>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</si>
  <si>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</si>
  <si>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</si>
  <si>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</si>
  <si>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</si>
  <si>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</si>
  <si>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</si>
  <si>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</si>
  <si>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</si>
  <si>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</si>
  <si>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</si>
  <si>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</si>
  <si>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</si>
  <si>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</si>
  <si>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</si>
  <si>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</si>
  <si>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</si>
  <si>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</si>
  <si>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</si>
  <si>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</si>
  <si>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</si>
  <si>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</si>
  <si>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</si>
  <si>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</si>
  <si>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</si>
  <si>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</si>
  <si>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</si>
  <si>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</si>
  <si>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</si>
  <si>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</si>
  <si>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</si>
  <si>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</si>
  <si>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</si>
  <si>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</si>
  <si>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</si>
  <si>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</si>
  <si>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</si>
  <si>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</si>
  <si>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</si>
  <si>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</si>
  <si>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</si>
  <si>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</si>
  <si>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</si>
  <si>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</si>
  <si>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</si>
  <si>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</si>
  <si>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</si>
  <si>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</si>
  <si>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</si>
  <si>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</si>
  <si>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</si>
  <si>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</si>
  <si>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</si>
  <si>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</si>
  <si>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</si>
  <si>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</si>
  <si>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</si>
  <si>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</si>
  <si>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</si>
  <si>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</si>
  <si>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</si>
  <si>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</si>
  <si>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</si>
  <si>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</si>
  <si>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</si>
  <si>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</si>
  <si>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</si>
  <si>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</si>
  <si>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</si>
  <si>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</si>
  <si>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</si>
  <si>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</si>
  <si>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</si>
  <si>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</si>
  <si>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</si>
  <si>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</si>
  <si>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</si>
  <si>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</si>
  <si>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</si>
  <si>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</si>
  <si>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</si>
  <si>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</si>
  <si>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</si>
  <si>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</si>
  <si>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</si>
  <si>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</si>
  <si>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</si>
  <si>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</si>
  <si>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</si>
  <si>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</si>
  <si>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</si>
  <si>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</si>
  <si>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</si>
  <si>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</si>
  <si>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</si>
  <si>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</si>
  <si>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</si>
  <si>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</si>
  <si>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</si>
  <si>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</si>
  <si>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</si>
  <si>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</si>
  <si>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</si>
  <si>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</si>
  <si>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</si>
  <si>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</si>
  <si>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</si>
  <si>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</si>
  <si>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</si>
  <si>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</si>
  <si>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</si>
  <si>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</si>
  <si>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</si>
  <si>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</si>
  <si>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</si>
  <si>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</si>
  <si>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</si>
  <si>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</si>
  <si>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</si>
  <si>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</si>
  <si>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</si>
  <si>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</si>
  <si>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</si>
  <si>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</si>
  <si>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</si>
  <si>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</si>
  <si>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</si>
  <si>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</si>
  <si>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</si>
  <si>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</si>
  <si>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</si>
  <si>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</si>
  <si>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</si>
  <si>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</si>
  <si>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</si>
  <si>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</si>
  <si>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</si>
  <si>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</si>
  <si>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</si>
  <si>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</si>
  <si>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</si>
  <si>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</si>
  <si>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</si>
  <si>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</si>
  <si>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</si>
  <si>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</si>
  <si>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</si>
  <si>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</si>
  <si>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</si>
  <si>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</si>
  <si>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</si>
  <si>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</si>
  <si>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</si>
  <si>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</si>
  <si>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</si>
  <si>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</si>
  <si>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</si>
  <si>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</si>
  <si>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</si>
  <si>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</si>
  <si>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</si>
  <si>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</si>
  <si>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</si>
  <si>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</si>
  <si>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</si>
  <si>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</si>
  <si>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</si>
  <si>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</si>
  <si>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</si>
  <si>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</si>
  <si>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</si>
  <si>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</si>
  <si>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</si>
  <si>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</si>
  <si>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</si>
  <si>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</si>
  <si>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</si>
  <si>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</si>
  <si>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</si>
  <si>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</si>
  <si>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</si>
  <si>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</si>
  <si>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</si>
  <si>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</si>
  <si>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</si>
  <si>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</si>
  <si>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</si>
  <si>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</si>
  <si>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</si>
  <si>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</si>
  <si>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</si>
  <si>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</si>
  <si>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</si>
  <si>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</si>
  <si>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</si>
  <si>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</si>
  <si>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</si>
  <si>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</si>
  <si>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</si>
  <si>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</si>
  <si>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</si>
  <si>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</si>
  <si>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</si>
  <si>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</si>
  <si>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</si>
  <si>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</si>
  <si>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</si>
  <si>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</si>
  <si>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</si>
  <si>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</si>
  <si>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</si>
  <si>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</si>
  <si>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</si>
  <si>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</si>
  <si>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</si>
  <si>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</si>
  <si>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</si>
  <si>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</si>
  <si>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</si>
  <si>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</si>
  <si>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</si>
  <si>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</si>
  <si>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</si>
  <si>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</si>
  <si>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</si>
  <si>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</si>
  <si>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</si>
  <si>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</si>
  <si>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</si>
  <si>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</si>
  <si>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</si>
  <si>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</si>
  <si>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</si>
  <si>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</si>
  <si>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</si>
  <si>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</si>
  <si>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</si>
  <si>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</si>
  <si>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</si>
  <si>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</si>
  <si>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</si>
  <si>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</si>
  <si>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</si>
  <si>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</si>
  <si>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</si>
  <si>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</si>
  <si>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</si>
  <si>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</si>
  <si>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</si>
  <si>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</si>
  <si>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</si>
  <si>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</si>
  <si>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</si>
  <si>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</si>
  <si>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</si>
  <si>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</si>
  <si>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</si>
  <si>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</si>
  <si>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</si>
  <si>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</si>
  <si>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</si>
  <si>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</si>
  <si>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</si>
  <si>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</si>
  <si>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</si>
  <si>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</si>
  <si>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</si>
  <si>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</si>
  <si>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</si>
  <si>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</si>
  <si>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</si>
  <si>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</si>
  <si>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</si>
  <si>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</si>
  <si>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</si>
  <si>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</si>
  <si>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</si>
  <si>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</si>
  <si>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</si>
  <si>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</si>
  <si>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</si>
  <si>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</si>
  <si>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</si>
  <si>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</si>
  <si>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</si>
  <si>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</si>
  <si>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</si>
  <si>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</si>
  <si>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</si>
  <si>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</si>
  <si>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</si>
  <si>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</si>
  <si>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</si>
  <si>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地下商业</t>
  </si>
  <si>
    <t>地下车库</t>
  </si>
  <si>
    <t>地下仓储</t>
  </si>
  <si>
    <t>已缴纳地价款</t>
    <phoneticPr fontId="224" type="noConversion"/>
  </si>
  <si>
    <t>万元</t>
    <phoneticPr fontId="224" type="noConversion"/>
  </si>
  <si>
    <t>未缴纳地价款</t>
    <phoneticPr fontId="224" type="noConversion"/>
  </si>
  <si>
    <t>土地面积</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</si>
  <si>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</si>
  <si>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</si>
  <si>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</si>
  <si>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</si>
  <si>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</si>
  <si>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</si>
  <si>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</si>
  <si>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</si>
  <si>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</si>
  <si>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</si>
  <si>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</si>
  <si>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</si>
  <si>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</si>
  <si>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</si>
  <si>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</si>
  <si>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</si>
  <si>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</si>
  <si>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</si>
  <si>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</si>
  <si>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</si>
  <si>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</si>
  <si>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</si>
  <si>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</si>
  <si>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</si>
  <si>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</si>
  <si>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</si>
  <si>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</si>
  <si>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</si>
  <si>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</si>
  <si>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</si>
  <si>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</si>
  <si>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</si>
  <si>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</si>
  <si>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</si>
  <si>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</si>
  <si>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</si>
  <si>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</si>
  <si>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</si>
  <si>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</si>
  <si>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</si>
  <si>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</si>
  <si>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</si>
  <si>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</si>
  <si>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</si>
  <si>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</si>
  <si>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</si>
  <si>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</si>
  <si>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</si>
  <si>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</si>
  <si>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是</t>
  </si>
  <si>
    <t>地上</t>
  </si>
  <si>
    <t>地下</t>
  </si>
  <si>
    <t>住宅</t>
    <phoneticPr fontId="7" type="noConversion"/>
  </si>
  <si>
    <t>地下商业</t>
    <phoneticPr fontId="7" type="noConversion"/>
  </si>
  <si>
    <t>地下车库</t>
    <phoneticPr fontId="7" type="noConversion"/>
  </si>
  <si>
    <t>地下仓储</t>
    <phoneticPr fontId="7" type="noConversion"/>
  </si>
  <si>
    <t>利息：取LPR加浮动点数</t>
  </si>
  <si>
    <t>不动产收益法商业</t>
  </si>
  <si>
    <t>不动产收益法商业</t>
    <phoneticPr fontId="14" type="noConversion"/>
  </si>
  <si>
    <t>不动产收益法仓储</t>
  </si>
  <si>
    <t>不动产收益法仓储</t>
    <phoneticPr fontId="14" type="noConversion"/>
  </si>
  <si>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</si>
  <si>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</si>
  <si>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</si>
  <si>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</si>
  <si>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</si>
  <si>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</si>
  <si>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</si>
  <si>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</si>
  <si>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</si>
  <si>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</si>
  <si>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</si>
  <si>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</si>
  <si>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</si>
  <si>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</si>
  <si>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</si>
  <si>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</si>
  <si>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</si>
  <si>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</si>
  <si>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</si>
  <si>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</si>
  <si>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</si>
  <si>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</si>
  <si>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</si>
  <si>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</si>
  <si>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</si>
  <si>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</si>
  <si>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</si>
  <si>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</si>
  <si>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</si>
  <si>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</si>
  <si>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</si>
  <si>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phoneticPr fontId="224" type="noConversion"/>
  </si>
  <si>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</si>
  <si>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</si>
  <si>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t>公园和御</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</si>
  <si>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</si>
  <si>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</si>
  <si>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</si>
  <si>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</si>
  <si>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phoneticPr fontId="224" type="noConversion"/>
  </si>
  <si>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</si>
  <si>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</si>
  <si>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</si>
  <si>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t>和锦华宸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</si>
  <si>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</si>
  <si>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</si>
  <si>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</si>
  <si>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</si>
  <si>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</si>
  <si>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</si>
  <si>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</si>
  <si>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</si>
  <si>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</si>
  <si>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</si>
  <si>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</si>
  <si>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phoneticPr fontId="224" type="noConversion"/>
  </si>
  <si>
    <r>
      <rPr>
        <sz val="10"/>
        <rFont val="Arial"/>
        <family val="2"/>
      </rPr>
      <t>r2≤1.6,</t>
    </r>
    <r>
      <rPr>
        <sz val="10"/>
        <rFont val="宋体"/>
        <family val="3"/>
        <charset val="134"/>
      </rPr>
      <t>幼托</t>
    </r>
    <r>
      <rPr>
        <sz val="10"/>
        <rFont val="Arial"/>
        <family val="2"/>
      </rPr>
      <t>≤0.8</t>
    </r>
  </si>
  <si>
    <t>北京路劲隽御房地产开发有限公司</t>
  </si>
  <si>
    <t>路劲御和府</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</si>
  <si>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</si>
  <si>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</si>
  <si>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</si>
  <si>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</si>
  <si>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</si>
  <si>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</si>
  <si>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</si>
  <si>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t>正常</t>
  </si>
  <si>
    <t>住宅</t>
    <phoneticPr fontId="26" type="noConversion"/>
  </si>
  <si>
    <t>规则</t>
  </si>
  <si>
    <t>较规则</t>
  </si>
  <si>
    <t>较不规则</t>
  </si>
  <si>
    <t>不规则</t>
  </si>
  <si>
    <t>七通</t>
  </si>
  <si>
    <t>六通</t>
  </si>
  <si>
    <t>五通</t>
  </si>
  <si>
    <t>四通</t>
  </si>
  <si>
    <t>三通</t>
  </si>
  <si>
    <t>较好</t>
  </si>
  <si>
    <t>较适宜</t>
  </si>
  <si>
    <t>较好</t>
    <phoneticPr fontId="26" type="noConversion"/>
  </si>
  <si>
    <t>一般</t>
  </si>
  <si>
    <t>楼面地价</t>
  </si>
  <si>
    <t>比较法-住宅、综合</t>
  </si>
  <si>
    <t>剩余法-待开发</t>
  </si>
  <si>
    <t>扣减地下补缴出让金之后</t>
  </si>
  <si>
    <t>和锦华宸</t>
    <phoneticPr fontId="224" type="noConversion"/>
  </si>
  <si>
    <t>路劲御和府</t>
    <phoneticPr fontId="224" type="noConversion"/>
  </si>
  <si>
    <t>万/个</t>
  </si>
  <si>
    <t>㎡</t>
  </si>
  <si>
    <t>土地（套用方法）</t>
  </si>
  <si>
    <t>押一</t>
  </si>
  <si>
    <t>钢混</t>
  </si>
  <si>
    <t>自定义</t>
  </si>
  <si>
    <t>住宅</t>
    <phoneticPr fontId="21" type="noConversion"/>
  </si>
  <si>
    <t>小高层</t>
  </si>
  <si>
    <t>高层住宅</t>
  </si>
  <si>
    <t>钢混</t>
    <phoneticPr fontId="21" type="noConversion"/>
  </si>
  <si>
    <t>精装</t>
  </si>
  <si>
    <t>精装</t>
    <phoneticPr fontId="21" type="noConversion"/>
  </si>
  <si>
    <t>七通</t>
    <phoneticPr fontId="21" type="noConversion"/>
  </si>
  <si>
    <t>普装</t>
    <phoneticPr fontId="21" type="noConversion"/>
  </si>
  <si>
    <t>简装</t>
    <phoneticPr fontId="21" type="noConversion"/>
  </si>
  <si>
    <t>毛坯</t>
    <phoneticPr fontId="21" type="noConversion"/>
  </si>
  <si>
    <t>售价</t>
  </si>
  <si>
    <t>地下车库</t>
    <phoneticPr fontId="27" type="noConversion"/>
  </si>
  <si>
    <t>和锦华宸</t>
    <phoneticPr fontId="3" type="noConversion"/>
  </si>
  <si>
    <t>公园都会</t>
    <phoneticPr fontId="3" type="noConversion"/>
  </si>
  <si>
    <t>中建宸庐</t>
    <phoneticPr fontId="3" type="noConversion"/>
  </si>
  <si>
    <t>精装修</t>
  </si>
  <si>
    <t>精装修</t>
    <phoneticPr fontId="27" type="noConversion"/>
  </si>
  <si>
    <t>元/车位</t>
  </si>
  <si>
    <t>是</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</si>
</sst>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color theme="1"/>
      <name val="华文细黑"/>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4" fontId="74" fillId="0" borderId="2" xfId="0" applyNumberFormat="1" applyFont="1" applyFill="1" applyBorder="1" applyAlignment="1" applyProtection="1">
      <alignment horizontal="center" vertical="center" shrinkToFit="1"/>
      <protection locked="0"/>
    </xf>
    <xf numFmtId="0" fontId="297" fillId="0" borderId="0" xfId="1" applyFont="1" applyAlignment="1">
      <alignment horizontal="left" vertical="center"/>
    </xf>
    <xf numFmtId="2" fontId="297" fillId="0" borderId="0" xfId="1" applyNumberFormat="1" applyFont="1" applyAlignment="1">
      <alignment horizontal="left" vertical="center"/>
    </xf>
    <xf numFmtId="0" fontId="297" fillId="6" borderId="0" xfId="1" applyFont="1" applyFill="1" applyAlignment="1">
      <alignment horizontal="left" vertical="center"/>
    </xf>
    <xf numFmtId="0" fontId="123" fillId="0" borderId="0" xfId="1" applyFont="1" applyFill="1" applyBorder="1" applyAlignment="1">
      <alignment horizontal="left" vertical="center"/>
    </xf>
    <xf numFmtId="0" fontId="82" fillId="0" borderId="0" xfId="1" applyFont="1" applyFill="1" applyBorder="1" applyAlignment="1">
      <alignment horizontal="left" vertical="center"/>
    </xf>
    <xf numFmtId="0" fontId="123" fillId="7" borderId="0" xfId="1" applyFont="1" applyFill="1" applyBorder="1" applyAlignment="1">
      <alignment horizontal="left" vertical="center"/>
    </xf>
    <xf numFmtId="0" fontId="82" fillId="7" borderId="0" xfId="1" applyFont="1" applyFill="1" applyBorder="1" applyAlignment="1">
      <alignment horizontal="left" vertical="center"/>
    </xf>
    <xf numFmtId="0" fontId="123" fillId="9" borderId="0" xfId="1" applyFont="1" applyFill="1" applyBorder="1" applyAlignment="1">
      <alignment horizontal="left" vertical="center"/>
    </xf>
    <xf numFmtId="0" fontId="82" fillId="9" borderId="0" xfId="1" applyFont="1" applyFill="1" applyBorder="1" applyAlignment="1">
      <alignment horizontal="left" vertical="center"/>
    </xf>
    <xf numFmtId="0" fontId="123" fillId="6" borderId="0" xfId="1" applyFont="1" applyFill="1" applyBorder="1" applyAlignment="1">
      <alignment horizontal="left" vertical="center"/>
    </xf>
    <xf numFmtId="0" fontId="82" fillId="6" borderId="0" xfId="1" applyFont="1" applyFill="1" applyBorder="1" applyAlignment="1">
      <alignment horizontal="left" vertical="center"/>
    </xf>
    <xf numFmtId="0" fontId="140" fillId="0" borderId="6" xfId="0" applyNumberFormat="1" applyFont="1" applyFill="1" applyBorder="1" applyAlignment="1" applyProtection="1">
      <alignment horizontal="center" vertical="center" wrapText="1"/>
      <protection locked="0"/>
    </xf>
    <xf numFmtId="178" fontId="67" fillId="0" borderId="2"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98" fillId="0" borderId="74" xfId="0" applyNumberFormat="1" applyFont="1" applyFill="1" applyBorder="1" applyAlignment="1" applyProtection="1">
      <alignment horizontal="center" vertical="center" wrapText="1"/>
      <protection locked="0"/>
    </xf>
    <xf numFmtId="0" fontId="198" fillId="0" borderId="2" xfId="0" applyFont="1" applyFill="1" applyBorder="1" applyAlignment="1" applyProtection="1">
      <alignment horizontal="center" vertical="center"/>
      <protection locked="0"/>
    </xf>
    <xf numFmtId="0" fontId="208" fillId="12" borderId="0" xfId="0" applyFont="1" applyFill="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141" fillId="0" borderId="0" xfId="1">
      <alignment vertical="center"/>
    </xf>
    <xf numFmtId="0" fontId="77" fillId="0" borderId="59"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9" fontId="67" fillId="16" borderId="5" xfId="0" applyNumberFormat="1"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2181225" y="4524375"/>
          <a:ext cx="4370070" cy="6071235"/>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720340"/>
          <a:ext cx="8399145" cy="5034915"/>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5015865" y="4524375"/>
          <a:ext cx="266700" cy="2933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6358890" y="5882640"/>
          <a:ext cx="40957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6160135" y="5156835"/>
          <a:ext cx="28892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5424170" y="3266440"/>
          <a:ext cx="342900"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094345"/>
          <a:ext cx="7981315" cy="741045"/>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8974455"/>
          <a:ext cx="10014585" cy="5598795"/>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10166985" y="11504295"/>
          <a:ext cx="6877050" cy="3107055"/>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4735175"/>
          <a:ext cx="11593830" cy="68580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5542895"/>
          <a:ext cx="10151745" cy="5568315"/>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212175"/>
          <a:ext cx="14346555" cy="371475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883265" y="16661130"/>
          <a:ext cx="6473190" cy="3293745"/>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5205055"/>
          <a:ext cx="6752590" cy="725805"/>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068020"/>
          <a:ext cx="10159365" cy="5636895"/>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1897320"/>
          <a:ext cx="14300835" cy="4341495"/>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1639550" y="27203400"/>
          <a:ext cx="7195820" cy="3484245"/>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6494085"/>
          <a:ext cx="11662410" cy="577215"/>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7217985"/>
          <a:ext cx="10738485" cy="5591175"/>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2993945"/>
          <a:ext cx="14232255" cy="3316605"/>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1639550" y="39185850"/>
          <a:ext cx="5800725" cy="3408045"/>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501630" y="20177760"/>
          <a:ext cx="10980420" cy="164211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10295890" y="9561195"/>
          <a:ext cx="10881360" cy="17564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3200400" cy="51054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857250"/>
          <a:ext cx="14422755" cy="153162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914650"/>
          <a:ext cx="5844540" cy="60579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3771900"/>
          <a:ext cx="10608945" cy="277368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6858000"/>
          <a:ext cx="6884670" cy="93345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8058150"/>
          <a:ext cx="10730865" cy="18669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0287000"/>
          <a:ext cx="7296150" cy="52197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0972800"/>
          <a:ext cx="11193780" cy="291465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76275" y="14058900"/>
          <a:ext cx="9081135" cy="48768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4702790"/>
          <a:ext cx="11016615" cy="296418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7599045" cy="62865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22960"/>
          <a:ext cx="10683240" cy="232410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3429000"/>
          <a:ext cx="9088755" cy="62865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221480"/>
          <a:ext cx="14485620" cy="272034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5792450" y="514350"/>
          <a:ext cx="14293215" cy="420624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7200900"/>
          <a:ext cx="5730240" cy="46482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7829550"/>
          <a:ext cx="10805160" cy="2316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根据《国有土地使用证》[]，估价对象（分摊）出让国有建设用地使用权面积为69193.56平方米。根据《建设工程规划许可证》[]、《出让合同》[]，估价对象规划建筑面积为146577.55平方米。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6.2"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69193.56</v>
      </c>
    </row>
    <row r="44" spans="1:2">
      <c r="A44" s="2356" t="s">
        <v>2022</v>
      </c>
      <c r="B44" s="2357" t="str">
        <f>'预评函-2'!O3</f>
        <v>规划建筑面积/㎡</v>
      </c>
    </row>
    <row r="45" spans="1:2">
      <c r="A45" s="2356" t="s">
        <v>2004</v>
      </c>
      <c r="B45" s="2357">
        <f>'预评函-2'!O5</f>
        <v>146577.54999999999</v>
      </c>
    </row>
    <row r="46" spans="1:2">
      <c r="A46" s="2356" t="s">
        <v>2005</v>
      </c>
      <c r="B46" s="2357">
        <f ca="1">'预评函-2'!P5</f>
        <v>37068</v>
      </c>
    </row>
    <row r="47" spans="1:2">
      <c r="A47" s="2356" t="s">
        <v>2006</v>
      </c>
      <c r="B47" s="2357">
        <f ca="1">'预评函-2'!Q5</f>
        <v>17498</v>
      </c>
    </row>
    <row r="48" spans="1:2">
      <c r="A48" s="2356" t="s">
        <v>2007</v>
      </c>
      <c r="B48" s="2357">
        <f ca="1">'预评函-2'!R5</f>
        <v>256484</v>
      </c>
    </row>
    <row r="49" spans="1:2">
      <c r="A49" s="2356" t="s">
        <v>2023</v>
      </c>
      <c r="B49" s="2357" t="str">
        <f>'预评函-2'!A6</f>
        <v>抵押价格</v>
      </c>
    </row>
    <row r="50" spans="1:2">
      <c r="A50" s="2356" t="s">
        <v>2008</v>
      </c>
      <c r="B50" s="2357">
        <f ca="1">'预评函-2'!R6</f>
        <v>256484</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44929</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-123.09</v>
      </c>
      <c r="D5" s="3293">
        <f>IF(ISERROR(ROUND(POWER(1+E5,A5-C5)*(POWER(1+E5,C5)-1)/(POWER(1+E5,A5)-1),3)),0,ROUND(POWER(1+E5,A5-C5)*(POWER(1+E5,C5)-1)/(POWER(1+E5,A5)-1),4))</f>
        <v>0</v>
      </c>
      <c r="E5" s="3294"/>
      <c r="F5" s="3287"/>
    </row>
    <row r="6" spans="1:6">
      <c r="A6" s="3292"/>
      <c r="B6" s="3289"/>
      <c r="C6" s="3291">
        <f>ROUNDDOWN(MIN((B6-B3)/365,A6),2)</f>
        <v>-123.09</v>
      </c>
      <c r="D6" s="3293">
        <f>IF(ISERROR(ROUND(POWER(1+E6,A6-C6)*(POWER(1+E6,C6)-1)/(POWER(1+E6,A6)-1),3)),0,ROUND(POWER(1+E6,A6-C6)*(POWER(1+E6,C6)-1)/(POWER(1+E6,A6)-1),4))</f>
        <v>0</v>
      </c>
      <c r="E6" s="3294"/>
      <c r="F6" s="3287"/>
    </row>
    <row r="7" spans="1:6">
      <c r="A7" s="3292"/>
      <c r="B7" s="3289"/>
      <c r="C7" s="3291">
        <f>ROUNDDOWN(MIN((B7-B3)/365,A7),2)</f>
        <v>-123.09</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5" thickBot="1">
      <c r="A18" s="3299" t="s">
        <v>2692</v>
      </c>
      <c r="B18" s="3300" t="e">
        <f>ROUND(B17*F11/F12,2)</f>
        <v>#DIV/0!</v>
      </c>
      <c r="C18" s="3300" t="e">
        <f>ROUND(F11/F12,4)</f>
        <v>#DIV/0!</v>
      </c>
      <c r="D18" s="3301"/>
      <c r="E18" s="3301"/>
      <c r="F18" s="3302"/>
    </row>
    <row r="19" spans="1:7" ht="1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39" sqref="G39"/>
    </sheetView>
  </sheetViews>
  <sheetFormatPr defaultColWidth="10" defaultRowHeight="15.6"/>
  <cols>
    <col min="1" max="1" width="15.33203125" style="1486" customWidth="1"/>
    <col min="2" max="2" width="11.33203125" style="1486" customWidth="1"/>
    <col min="3" max="8" width="13.109375" style="1486" customWidth="1"/>
    <col min="9" max="9" width="13.10937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6.2" thickBot="1">
      <c r="A1" s="1461" t="s">
        <v>1457</v>
      </c>
      <c r="B1" s="3735" t="str">
        <f>IF(B10="北京市","北京市",C10)&amp;F10&amp;A17&amp;"国有建设用地使用权"&amp;B9&amp;"预评估"</f>
        <v>北京市出让国有建设用地使用权抵押价格预评估</v>
      </c>
      <c r="C1" s="3736"/>
      <c r="D1" s="3736"/>
      <c r="E1" s="3736"/>
      <c r="F1" s="3736"/>
      <c r="G1" s="3736"/>
      <c r="H1" s="3736"/>
      <c r="I1" s="3737"/>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c r="C3" s="2737" t="s">
        <v>1513</v>
      </c>
      <c r="D3" s="1464">
        <v>44929</v>
      </c>
      <c r="E3" s="2814"/>
      <c r="F3" s="2814"/>
      <c r="G3" s="2814"/>
      <c r="H3" s="2815"/>
      <c r="I3" s="2816"/>
      <c r="J3" s="2814"/>
      <c r="K3" s="2797"/>
      <c r="L3" s="2793"/>
      <c r="M3" s="2793"/>
      <c r="N3" s="2794"/>
      <c r="O3" s="2795"/>
      <c r="P3" s="2794"/>
      <c r="Q3" s="2794"/>
      <c r="R3" s="2794"/>
      <c r="S3" s="2794"/>
      <c r="T3" s="2794"/>
      <c r="U3" s="2794"/>
    </row>
    <row r="4" spans="1:21" ht="31.8"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6.2"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7.6">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41" t="s">
        <v>1464</v>
      </c>
      <c r="E8" s="1627" t="s">
        <v>3257</v>
      </c>
      <c r="F8" s="1474"/>
      <c r="G8" s="2815"/>
      <c r="H8" s="2815"/>
      <c r="I8" s="2818"/>
      <c r="J8" s="2814"/>
      <c r="K8" s="2797"/>
      <c r="L8" s="2793"/>
      <c r="M8" s="2793"/>
      <c r="N8" s="2794"/>
      <c r="O8" s="2795"/>
      <c r="P8" s="2794"/>
      <c r="Q8" s="2794"/>
      <c r="R8" s="2794"/>
      <c r="S8" s="2794"/>
      <c r="T8" s="2794"/>
      <c r="U8" s="2794"/>
    </row>
    <row r="9" spans="1:21" ht="16.2" thickBot="1">
      <c r="A9" s="2739" t="s">
        <v>1463</v>
      </c>
      <c r="B9" s="1475" t="s">
        <v>3257</v>
      </c>
      <c r="C9" s="1476"/>
      <c r="D9" s="3742"/>
      <c r="E9" s="1475"/>
      <c r="F9" s="1535"/>
      <c r="G9" s="2819"/>
      <c r="H9" s="2819"/>
      <c r="I9" s="2820"/>
      <c r="J9" s="2814"/>
      <c r="K9" s="2797"/>
      <c r="L9" s="2793"/>
      <c r="M9" s="2793"/>
      <c r="N9" s="2794"/>
      <c r="O9" s="2795"/>
      <c r="P9" s="2794"/>
      <c r="Q9" s="2794"/>
      <c r="R9" s="2794"/>
      <c r="S9" s="2794"/>
      <c r="T9" s="2794"/>
      <c r="U9" s="2794"/>
    </row>
    <row r="10" spans="1:21" ht="16.2"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38"/>
      <c r="C12" s="3739"/>
      <c r="D12" s="3740"/>
      <c r="E12" s="1493" t="s">
        <v>1579</v>
      </c>
      <c r="F12" s="3756" t="s">
        <v>2163</v>
      </c>
      <c r="G12" s="3757"/>
      <c r="H12" s="3757"/>
      <c r="I12" s="3758"/>
      <c r="J12" s="2814"/>
      <c r="K12" s="2797"/>
      <c r="L12" s="2793"/>
      <c r="M12" s="2793"/>
      <c r="N12" s="2794"/>
      <c r="O12" s="2795"/>
      <c r="P12" s="2794"/>
      <c r="Q12" s="2794"/>
      <c r="R12" s="2794"/>
      <c r="S12" s="2794"/>
      <c r="T12" s="2794"/>
      <c r="U12" s="2794"/>
    </row>
    <row r="13" spans="1:21">
      <c r="A13" s="1484" t="s">
        <v>1577</v>
      </c>
      <c r="B13" s="3738"/>
      <c r="C13" s="3739"/>
      <c r="D13" s="3740"/>
      <c r="E13" s="1493" t="s">
        <v>1579</v>
      </c>
      <c r="F13" s="3756" t="s">
        <v>2164</v>
      </c>
      <c r="G13" s="3757"/>
      <c r="H13" s="3757"/>
      <c r="I13" s="3758"/>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46.8">
      <c r="A16" s="2742" t="s">
        <v>1467</v>
      </c>
      <c r="B16" s="1493" t="s">
        <v>1468</v>
      </c>
      <c r="C16" s="3280" t="s">
        <v>1469</v>
      </c>
      <c r="D16" s="1515" t="s">
        <v>3259</v>
      </c>
      <c r="E16" s="1515" t="s">
        <v>1212</v>
      </c>
      <c r="F16" s="1515" t="s">
        <v>3260</v>
      </c>
      <c r="G16" s="1515" t="s">
        <v>3261</v>
      </c>
      <c r="H16" s="1483" t="s">
        <v>776</v>
      </c>
      <c r="I16" s="1483" t="s">
        <v>2740</v>
      </c>
      <c r="J16" s="2814"/>
      <c r="K16" s="2107" t="str">
        <f>IF(D17="","",D16&amp;TEXT(D17,"yyyy年m月d日;;"))</f>
        <v>地下商业2062年10月31日</v>
      </c>
      <c r="L16" s="1493" t="str">
        <f>IF(OR(K16="",M16=""),"","、")</f>
        <v/>
      </c>
      <c r="M16" s="2107" t="str">
        <f>IF(E17="","",E16&amp;TEXT(E17,"yyyy年m月d日;;"))</f>
        <v/>
      </c>
      <c r="N16" s="1493" t="str">
        <f>IF(OR(M16="",O16=""),"","、")</f>
        <v/>
      </c>
      <c r="O16" s="2107" t="str">
        <f>IF(F17="","",F16&amp;TEXT(F17,"yyyy年m月d日;;"))</f>
        <v>地下车库2072年10月31日</v>
      </c>
      <c r="P16" s="1493" t="str">
        <f>IF(OR(O16="",Q16=""),"","、")</f>
        <v>、</v>
      </c>
      <c r="Q16" s="2107" t="str">
        <f>IF(G17="","",G16&amp;TEXT(G17,"yyyy年m月d日;;"))</f>
        <v>地下仓储2072年10月31日</v>
      </c>
      <c r="R16" s="1493" t="str">
        <f>IF(OR(Q16="",S16=""),"","、")</f>
        <v/>
      </c>
      <c r="S16" s="2107" t="str">
        <f>IF(H17="","",H16&amp;TEXT(H17,"yyyy年m月d日;;"))</f>
        <v/>
      </c>
      <c r="T16" s="1493" t="str">
        <f>IF(OR(S16="",U16=""),"","、")</f>
        <v/>
      </c>
      <c r="U16" s="2107" t="str">
        <f>IF(I17="","",I16&amp;TEXT(I17,"yyyy年m月d日;;"))</f>
        <v/>
      </c>
    </row>
    <row r="17" spans="1:21">
      <c r="A17" s="3334" t="s">
        <v>2744</v>
      </c>
      <c r="B17" s="2743" t="s">
        <v>1473</v>
      </c>
      <c r="C17" s="3666">
        <v>70433</v>
      </c>
      <c r="D17" s="3666">
        <v>59475</v>
      </c>
      <c r="E17" s="3666"/>
      <c r="F17" s="3666">
        <v>63128</v>
      </c>
      <c r="G17" s="3666">
        <v>63128</v>
      </c>
      <c r="H17" s="3333"/>
      <c r="I17" s="3333"/>
      <c r="J17" s="2814"/>
      <c r="K17" s="2792" t="str">
        <f>CONCATENATE(K16,L16,M16,N16,O16,P16,Q16,R16,S16,T16,,U16)</f>
        <v>地下商业2062年10月31日地下车库2072年10月31日、地下仓储2072年10月31日</v>
      </c>
      <c r="L17" s="2793"/>
      <c r="M17" s="2793"/>
      <c r="N17" s="2794"/>
      <c r="O17" s="2795"/>
      <c r="P17" s="2794"/>
      <c r="Q17" s="2794"/>
      <c r="R17" s="2794"/>
      <c r="S17" s="2794"/>
      <c r="T17" s="2794"/>
      <c r="U17" s="2794"/>
    </row>
    <row r="18" spans="1:21">
      <c r="A18" s="1551"/>
      <c r="B18" s="2743" t="s">
        <v>1474</v>
      </c>
      <c r="C18" s="1481">
        <v>70</v>
      </c>
      <c r="D18" s="1481">
        <v>40</v>
      </c>
      <c r="E18" s="1481"/>
      <c r="F18" s="1481">
        <v>50</v>
      </c>
      <c r="G18" s="1481">
        <v>50</v>
      </c>
      <c r="H18" s="1481"/>
      <c r="I18" s="1481"/>
      <c r="J18" s="2814"/>
      <c r="K18" s="2797"/>
      <c r="L18" s="2793"/>
      <c r="M18" s="2793"/>
      <c r="N18" s="2794"/>
      <c r="O18" s="2795"/>
      <c r="P18" s="2794"/>
      <c r="Q18" s="2794"/>
      <c r="R18" s="2794"/>
      <c r="S18" s="2794"/>
      <c r="T18" s="2794"/>
      <c r="U18" s="2794"/>
    </row>
    <row r="19" spans="1:21">
      <c r="A19" s="1551"/>
      <c r="B19" s="1462" t="s">
        <v>1475</v>
      </c>
      <c r="C19" s="1546">
        <f>IF(A17="出让",IF(C17="","",ROUNDDOWN(MIN((C17-$D$3)/365,C18),2)),C18)</f>
        <v>69.87</v>
      </c>
      <c r="D19" s="1546">
        <f>IF(A17="出让",IF(D17="","",ROUNDDOWN(MIN((D17-$D$3)/365,D18),2)),D18)</f>
        <v>39.85</v>
      </c>
      <c r="E19" s="1482" t="str">
        <f>IF(A17="出让",IF(E17="","",ROUNDDOWN(MIN((E17-$D$3)/365,E18),2)),E18)</f>
        <v/>
      </c>
      <c r="F19" s="1482">
        <f>IF(A17="出让",IF(F17="","",ROUNDDOWN(MIN((F17-$D$3)/365,F18),2)),F18)</f>
        <v>49.86</v>
      </c>
      <c r="G19" s="1482">
        <f>IF(A17="出让",IF(G17="","",ROUNDDOWN(MIN((G17-$D$3)/365,G18),2)),G18)</f>
        <v>49.86</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53"/>
      <c r="E20" s="3754"/>
      <c r="F20" s="3754"/>
      <c r="G20" s="3754"/>
      <c r="H20" s="3754"/>
      <c r="I20" s="3755"/>
      <c r="J20" s="2814"/>
      <c r="K20" s="2797"/>
      <c r="L20" s="2793"/>
      <c r="M20" s="2793"/>
      <c r="N20" s="2794"/>
      <c r="O20" s="2795"/>
      <c r="P20" s="2794"/>
      <c r="Q20" s="2794"/>
      <c r="R20" s="2794"/>
      <c r="S20" s="2794"/>
      <c r="T20" s="2794"/>
      <c r="U20" s="2794"/>
    </row>
    <row r="21" spans="1:21">
      <c r="A21" s="1551" t="s">
        <v>1476</v>
      </c>
      <c r="B21" s="1552" t="s">
        <v>1477</v>
      </c>
      <c r="C21" s="1547">
        <f>'数据-汇总表'!E3</f>
        <v>146577.54999999999</v>
      </c>
      <c r="D21" s="1548" t="s">
        <v>1478</v>
      </c>
      <c r="E21" s="3743" t="s">
        <v>1516</v>
      </c>
      <c r="F21" s="3744"/>
      <c r="G21" s="3744"/>
      <c r="H21" s="3744"/>
      <c r="I21" s="3745"/>
      <c r="J21" s="2814"/>
      <c r="K21" s="2797"/>
      <c r="L21" s="2793"/>
      <c r="M21" s="2793"/>
      <c r="N21" s="2794"/>
      <c r="O21" s="2795"/>
      <c r="P21" s="2794"/>
      <c r="Q21" s="2794"/>
      <c r="R21" s="2794"/>
      <c r="S21" s="2794"/>
      <c r="T21" s="2794"/>
      <c r="U21" s="2794"/>
    </row>
    <row r="22" spans="1:21">
      <c r="A22" s="2554" t="s">
        <v>877</v>
      </c>
      <c r="B22" s="1463" t="s">
        <v>1479</v>
      </c>
      <c r="C22" s="1483">
        <f>'数据-汇总表'!D3</f>
        <v>69193.56</v>
      </c>
      <c r="D22" s="1484" t="s">
        <v>1478</v>
      </c>
      <c r="E22" s="3743" t="s">
        <v>2165</v>
      </c>
      <c r="F22" s="3744"/>
      <c r="G22" s="3744"/>
      <c r="H22" s="3744"/>
      <c r="I22" s="3745"/>
      <c r="J22" s="2814"/>
      <c r="K22" s="2797"/>
      <c r="L22" s="2793"/>
      <c r="M22" s="2793"/>
      <c r="N22" s="2794"/>
      <c r="O22" s="2795"/>
      <c r="P22" s="2794"/>
      <c r="Q22" s="2794"/>
      <c r="R22" s="2794"/>
      <c r="S22" s="2794"/>
      <c r="T22" s="2794"/>
      <c r="U22" s="2794"/>
    </row>
    <row r="23" spans="1:21" ht="47.4"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46" t="s">
        <v>1484</v>
      </c>
      <c r="C24" s="3747"/>
      <c r="D24" s="3748" t="s">
        <v>1485</v>
      </c>
      <c r="E24" s="3749"/>
      <c r="F24" s="1501" t="s">
        <v>1486</v>
      </c>
      <c r="G24" s="2814"/>
      <c r="H24" s="2814"/>
      <c r="I24" s="2818"/>
      <c r="J24" s="2814"/>
      <c r="K24" s="3734"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31.2">
      <c r="A25" s="1539"/>
      <c r="B25" s="1536" t="s">
        <v>1682</v>
      </c>
      <c r="C25" s="1502" t="s">
        <v>1488</v>
      </c>
      <c r="D25" s="1503"/>
      <c r="E25" s="1504" t="s">
        <v>877</v>
      </c>
      <c r="F25" s="1505"/>
      <c r="G25" s="2814"/>
      <c r="H25" s="2814"/>
      <c r="I25" s="2818"/>
      <c r="J25" s="2814"/>
      <c r="K25" s="3734"/>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47.4" thickBot="1">
      <c r="A26" s="1540"/>
      <c r="B26" s="1537" t="s">
        <v>1489</v>
      </c>
      <c r="C26" s="1502" t="s">
        <v>1683</v>
      </c>
      <c r="D26" s="2815"/>
      <c r="E26" s="2815"/>
      <c r="F26" s="2821"/>
      <c r="G26" s="2814"/>
      <c r="H26" s="2814"/>
      <c r="I26" s="2818"/>
      <c r="J26" s="2814"/>
      <c r="K26" s="3734"/>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6.2"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6.2" thickTop="1">
      <c r="A31" s="3720" t="s">
        <v>1519</v>
      </c>
      <c r="B31" s="1552" t="s">
        <v>1520</v>
      </c>
      <c r="C31" s="3759"/>
      <c r="D31" s="3760"/>
      <c r="E31" s="2814"/>
      <c r="F31" s="2814"/>
      <c r="G31" s="2814"/>
      <c r="H31" s="2814"/>
      <c r="I31" s="2818"/>
      <c r="J31" s="2814"/>
      <c r="K31" s="2800"/>
      <c r="L31" s="2794"/>
      <c r="M31" s="2794"/>
      <c r="N31" s="2794"/>
      <c r="O31" s="2794"/>
      <c r="P31" s="2794"/>
      <c r="Q31" s="2794"/>
      <c r="R31" s="2794"/>
      <c r="S31" s="2794"/>
      <c r="T31" s="2794"/>
      <c r="U31" s="2794"/>
    </row>
    <row r="32" spans="1:21">
      <c r="A32" s="3720"/>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20"/>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21"/>
      <c r="B34" s="1463" t="s">
        <v>1523</v>
      </c>
      <c r="C34" s="3722"/>
      <c r="D34" s="3723"/>
      <c r="E34" s="2814"/>
      <c r="F34" s="2814"/>
      <c r="G34" s="2814"/>
      <c r="H34" s="2814"/>
      <c r="I34" s="2818"/>
      <c r="J34" s="2814"/>
      <c r="K34" s="2800"/>
      <c r="L34" s="2794"/>
      <c r="M34" s="2794"/>
      <c r="N34" s="2794"/>
      <c r="O34" s="2794"/>
      <c r="P34" s="2794"/>
      <c r="Q34" s="2794"/>
      <c r="R34" s="2794"/>
      <c r="S34" s="2794"/>
      <c r="T34" s="2794"/>
      <c r="U34" s="2794"/>
    </row>
    <row r="35" spans="1:28">
      <c r="A35" s="3724" t="s">
        <v>785</v>
      </c>
      <c r="B35" s="1515"/>
      <c r="C35" s="1561" t="str">
        <f>IF(B35="场地平整","——","具体情况：")</f>
        <v>具体情况：</v>
      </c>
      <c r="D35" s="3726"/>
      <c r="E35" s="3727"/>
      <c r="F35" s="3727"/>
      <c r="G35" s="3727"/>
      <c r="H35" s="3727"/>
      <c r="I35" s="3728"/>
      <c r="J35" s="2814"/>
      <c r="K35" s="2801"/>
      <c r="L35" s="2793"/>
      <c r="M35" s="2793"/>
      <c r="N35" s="2794"/>
      <c r="O35" s="2795"/>
      <c r="P35" s="2794"/>
      <c r="Q35" s="2794"/>
      <c r="R35" s="2794"/>
      <c r="S35" s="2794"/>
      <c r="T35" s="2794"/>
      <c r="U35" s="2794"/>
    </row>
    <row r="36" spans="1:28">
      <c r="A36" s="3720"/>
      <c r="B36" s="3729" t="s">
        <v>1572</v>
      </c>
      <c r="C36" s="3730"/>
      <c r="D36" s="1577"/>
      <c r="E36" s="3731"/>
      <c r="F36" s="3731"/>
      <c r="G36" s="1484" t="str">
        <f>IF(B35="场地未平整","估价结果处理","")</f>
        <v/>
      </c>
      <c r="H36" s="3732"/>
      <c r="I36" s="3732"/>
      <c r="J36" s="2814"/>
      <c r="K36" s="2801"/>
      <c r="L36" s="2793"/>
      <c r="M36" s="2793"/>
      <c r="N36" s="2794"/>
      <c r="O36" s="2795"/>
      <c r="P36" s="2794"/>
      <c r="Q36" s="2794"/>
      <c r="R36" s="2794"/>
      <c r="S36" s="2794"/>
      <c r="T36" s="2794"/>
      <c r="U36" s="2794"/>
    </row>
    <row r="37" spans="1:28" ht="31.2">
      <c r="A37" s="3720"/>
      <c r="B37" s="3750"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20"/>
      <c r="B38" s="3751"/>
      <c r="C38" s="1471" t="s">
        <v>788</v>
      </c>
      <c r="D38" s="1576">
        <f>ROUNDDOWN(MIN(('数据-取费表'!$B$2-D37)/365,D34),1)</f>
        <v>123</v>
      </c>
      <c r="E38" s="1520" t="s">
        <v>789</v>
      </c>
      <c r="F38" s="2814"/>
      <c r="G38" s="2814"/>
      <c r="H38" s="2814"/>
      <c r="I38" s="2818"/>
      <c r="J38" s="2814"/>
      <c r="K38" s="2801"/>
      <c r="L38" s="2794"/>
      <c r="M38" s="2794"/>
      <c r="N38" s="2794"/>
      <c r="O38" s="2794"/>
      <c r="P38" s="2794"/>
      <c r="Q38" s="2794"/>
      <c r="R38" s="2794"/>
      <c r="S38" s="2794"/>
      <c r="T38" s="2794"/>
      <c r="U38" s="2794"/>
    </row>
    <row r="39" spans="1:28">
      <c r="A39" s="3721"/>
      <c r="B39" s="3752"/>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33" t="s">
        <v>1503</v>
      </c>
      <c r="T40" s="1524" t="str">
        <f>NUMBERSTRING(7-K40,1)&amp;"通"</f>
        <v>七通</v>
      </c>
      <c r="U40" s="2794"/>
    </row>
    <row r="41" spans="1:28">
      <c r="A41" s="1465"/>
      <c r="B41" s="3725" t="s">
        <v>1250</v>
      </c>
      <c r="C41" s="3725"/>
      <c r="D41" s="3725"/>
      <c r="E41" s="3725"/>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3"/>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1154</v>
      </c>
      <c r="C43" s="1530" t="s">
        <v>1154</v>
      </c>
      <c r="D43" s="1530" t="s">
        <v>1154</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2909</v>
      </c>
      <c r="C44" s="1530" t="s">
        <v>2909</v>
      </c>
      <c r="D44" s="1530" t="s">
        <v>2909</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f>面积表、补缴!B3</f>
        <v>69193.56</v>
      </c>
      <c r="B3" s="20">
        <f>IF(C3="否",G5-AT5,G5)</f>
        <v>146577.54999999999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0"/>
      <c r="C5" s="950"/>
      <c r="D5" s="957"/>
      <c r="E5" s="25" t="s">
        <v>0</v>
      </c>
      <c r="F5" s="25">
        <f>SUM(F13:F572)</f>
        <v>0</v>
      </c>
      <c r="G5" s="25">
        <f>SUM(G13:G572)</f>
        <v>146577.54999999999</v>
      </c>
      <c r="H5" s="25">
        <f t="shared" ref="H5:AT5" si="0">SUM(H13:H641)</f>
        <v>138968.59999999998</v>
      </c>
      <c r="I5" s="25">
        <f t="shared" si="0"/>
        <v>109460.71999999999</v>
      </c>
      <c r="J5" s="25">
        <f t="shared" si="0"/>
        <v>0</v>
      </c>
      <c r="K5" s="25">
        <f t="shared" si="0"/>
        <v>1860</v>
      </c>
      <c r="L5" s="25">
        <f t="shared" si="0"/>
        <v>0</v>
      </c>
      <c r="M5" s="25">
        <f t="shared" si="0"/>
        <v>16237.789999999999</v>
      </c>
      <c r="N5" s="25">
        <f t="shared" si="0"/>
        <v>0</v>
      </c>
      <c r="O5" s="25">
        <f t="shared" si="0"/>
        <v>11410.09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7608.9500000000007</v>
      </c>
      <c r="AD5" s="25">
        <f t="shared" si="0"/>
        <v>0</v>
      </c>
      <c r="AE5" s="25">
        <f t="shared" si="0"/>
        <v>0</v>
      </c>
      <c r="AF5" s="25">
        <f t="shared" si="0"/>
        <v>200</v>
      </c>
      <c r="AG5" s="25">
        <f t="shared" si="0"/>
        <v>0</v>
      </c>
      <c r="AH5" s="25">
        <f t="shared" si="0"/>
        <v>470</v>
      </c>
      <c r="AI5" s="25">
        <f t="shared" si="0"/>
        <v>0</v>
      </c>
      <c r="AJ5" s="25">
        <f t="shared" si="0"/>
        <v>50</v>
      </c>
      <c r="AK5" s="25">
        <f t="shared" si="0"/>
        <v>0</v>
      </c>
      <c r="AL5" s="25">
        <f t="shared" si="0"/>
        <v>695.51</v>
      </c>
      <c r="AM5" s="25">
        <f t="shared" si="0"/>
        <v>0</v>
      </c>
      <c r="AN5" s="25">
        <f t="shared" si="0"/>
        <v>6193.4400000000005</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146577.54999999999</v>
      </c>
      <c r="BA5" s="27">
        <f t="shared" si="1"/>
        <v>138968.59999999998</v>
      </c>
      <c r="BB5" s="27">
        <f t="shared" si="1"/>
        <v>109460.71999999999</v>
      </c>
      <c r="BC5" s="27">
        <f t="shared" si="1"/>
        <v>1860</v>
      </c>
      <c r="BD5" s="27">
        <f t="shared" si="1"/>
        <v>16237.789999999999</v>
      </c>
      <c r="BE5" s="27">
        <f t="shared" si="1"/>
        <v>11410.09</v>
      </c>
      <c r="BF5" s="27">
        <f t="shared" si="1"/>
        <v>0</v>
      </c>
      <c r="BG5" s="27">
        <f t="shared" si="1"/>
        <v>0</v>
      </c>
      <c r="BH5" s="27">
        <f t="shared" si="1"/>
        <v>0</v>
      </c>
      <c r="BI5" s="27">
        <f t="shared" si="1"/>
        <v>0</v>
      </c>
      <c r="BJ5" s="27">
        <f t="shared" si="1"/>
        <v>0</v>
      </c>
      <c r="BK5" s="27">
        <f t="shared" si="1"/>
        <v>0</v>
      </c>
      <c r="BL5" s="27">
        <f t="shared" si="1"/>
        <v>7608.9500000000007</v>
      </c>
      <c r="BM5" s="27">
        <f t="shared" si="1"/>
        <v>0</v>
      </c>
      <c r="BN5" s="27">
        <f t="shared" si="1"/>
        <v>200</v>
      </c>
      <c r="BO5" s="27">
        <f t="shared" si="1"/>
        <v>470</v>
      </c>
      <c r="BP5" s="27">
        <f t="shared" si="1"/>
        <v>50</v>
      </c>
      <c r="BQ5" s="27">
        <f t="shared" si="1"/>
        <v>695.51</v>
      </c>
      <c r="BR5" s="27">
        <f t="shared" si="1"/>
        <v>6193.4400000000005</v>
      </c>
      <c r="BS5" s="27">
        <f t="shared" si="1"/>
        <v>0</v>
      </c>
      <c r="BT5" s="28">
        <f t="shared" si="1"/>
        <v>0</v>
      </c>
    </row>
    <row r="6" spans="1:72" s="35" customFormat="1" ht="13.2">
      <c r="A6" s="24" t="s">
        <v>135</v>
      </c>
      <c r="B6" s="29"/>
      <c r="C6" s="29"/>
      <c r="D6" s="30"/>
      <c r="E6" s="25">
        <f>H6+AC6+AT6</f>
        <v>69193.55</v>
      </c>
      <c r="F6" s="25" t="s">
        <v>0</v>
      </c>
      <c r="G6" s="25" t="s">
        <v>1</v>
      </c>
      <c r="H6" s="31">
        <f>SUMIF(I$12:AB$12,"总值",I6:AB6)</f>
        <v>65601.67</v>
      </c>
      <c r="I6" s="25">
        <f t="shared" ref="I6:AB6" si="2">ROUND($A$3*I5/$B$3,2)</f>
        <v>51672.15</v>
      </c>
      <c r="J6" s="25">
        <f t="shared" si="2"/>
        <v>0</v>
      </c>
      <c r="K6" s="25">
        <f t="shared" si="2"/>
        <v>878.03</v>
      </c>
      <c r="L6" s="25">
        <f t="shared" si="2"/>
        <v>0</v>
      </c>
      <c r="M6" s="25">
        <f t="shared" si="2"/>
        <v>7665.23</v>
      </c>
      <c r="N6" s="25">
        <f t="shared" si="2"/>
        <v>0</v>
      </c>
      <c r="O6" s="25">
        <f t="shared" si="2"/>
        <v>5386.26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3591.88</v>
      </c>
      <c r="AD6" s="25">
        <f t="shared" ref="AD6:AS6" si="3">ROUND($A$3*AD5/$B$3,2)</f>
        <v>0</v>
      </c>
      <c r="AE6" s="25">
        <f t="shared" si="3"/>
        <v>0</v>
      </c>
      <c r="AF6" s="25">
        <f t="shared" si="3"/>
        <v>94.41</v>
      </c>
      <c r="AG6" s="25">
        <f t="shared" si="3"/>
        <v>0</v>
      </c>
      <c r="AH6" s="25">
        <f t="shared" si="3"/>
        <v>221.87</v>
      </c>
      <c r="AI6" s="25">
        <f t="shared" si="3"/>
        <v>0</v>
      </c>
      <c r="AJ6" s="25">
        <f t="shared" si="3"/>
        <v>23.6</v>
      </c>
      <c r="AK6" s="25">
        <f t="shared" si="3"/>
        <v>0</v>
      </c>
      <c r="AL6" s="25">
        <f t="shared" si="3"/>
        <v>328.32</v>
      </c>
      <c r="AM6" s="25">
        <f t="shared" si="3"/>
        <v>0</v>
      </c>
      <c r="AN6" s="25">
        <f t="shared" si="3"/>
        <v>2923.68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69193.56</v>
      </c>
      <c r="AZ6" s="25" t="s">
        <v>2</v>
      </c>
      <c r="BA6" s="25">
        <f>ROUND($AY$6*BA5/$AZ$5,2)</f>
        <v>65601.67</v>
      </c>
      <c r="BB6" s="25">
        <f>ROUND($AY$6*BB5/$AZ$5,2)</f>
        <v>51672.15</v>
      </c>
      <c r="BC6" s="25">
        <f t="shared" ref="BC6:BH6" si="4">ROUND($AY$6*BC5/$AZ$5,2)</f>
        <v>878.03</v>
      </c>
      <c r="BD6" s="25">
        <f t="shared" si="4"/>
        <v>7665.23</v>
      </c>
      <c r="BE6" s="25">
        <f t="shared" si="4"/>
        <v>5386.26</v>
      </c>
      <c r="BF6" s="25">
        <f t="shared" si="4"/>
        <v>0</v>
      </c>
      <c r="BG6" s="25">
        <f t="shared" si="4"/>
        <v>0</v>
      </c>
      <c r="BH6" s="25">
        <f t="shared" si="4"/>
        <v>0</v>
      </c>
      <c r="BI6" s="25">
        <f t="shared" ref="BI6:BT6" si="5">ROUND($AY$6*BI5/$AZ$5,2)</f>
        <v>0</v>
      </c>
      <c r="BJ6" s="25">
        <f t="shared" si="5"/>
        <v>0</v>
      </c>
      <c r="BK6" s="25">
        <f t="shared" si="5"/>
        <v>0</v>
      </c>
      <c r="BL6" s="25">
        <f t="shared" si="5"/>
        <v>3591.89</v>
      </c>
      <c r="BM6" s="25">
        <f t="shared" si="5"/>
        <v>0</v>
      </c>
      <c r="BN6" s="25">
        <f t="shared" si="5"/>
        <v>94.41</v>
      </c>
      <c r="BO6" s="25">
        <f t="shared" si="5"/>
        <v>221.87</v>
      </c>
      <c r="BP6" s="25">
        <f t="shared" si="5"/>
        <v>23.6</v>
      </c>
      <c r="BQ6" s="25">
        <f t="shared" si="5"/>
        <v>328.32</v>
      </c>
      <c r="BR6" s="25">
        <f t="shared" si="5"/>
        <v>2923.68</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3.2">
      <c r="A9" s="43"/>
      <c r="B9" s="43"/>
      <c r="C9" s="43"/>
      <c r="D9" s="43"/>
      <c r="E9" s="43"/>
      <c r="F9" s="43"/>
      <c r="G9" s="53"/>
      <c r="H9" s="56" t="s">
        <v>154</v>
      </c>
      <c r="I9" s="2490" t="s">
        <v>3316</v>
      </c>
      <c r="J9" s="49"/>
      <c r="K9" s="2490" t="s">
        <v>3317</v>
      </c>
      <c r="L9" s="49"/>
      <c r="M9" s="2490" t="s">
        <v>3317</v>
      </c>
      <c r="N9" s="49"/>
      <c r="O9" s="57" t="s">
        <v>3317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3.2">
      <c r="A10" s="43"/>
      <c r="B10" s="43"/>
      <c r="C10" s="43"/>
      <c r="D10" s="43"/>
      <c r="E10" s="43"/>
      <c r="F10" s="43"/>
      <c r="G10" s="53"/>
      <c r="H10" s="60"/>
      <c r="I10" s="2490" t="s">
        <v>851</v>
      </c>
      <c r="J10" s="49"/>
      <c r="K10" s="2492" t="s">
        <v>2741</v>
      </c>
      <c r="L10" s="49"/>
      <c r="M10" s="2492" t="s">
        <v>2742</v>
      </c>
      <c r="N10" s="49"/>
      <c r="O10" s="64" t="s">
        <v>2743</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车库</v>
      </c>
      <c r="BE11" s="48" t="str">
        <f>O10</f>
        <v>仓储</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3.2">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3.2">
      <c r="A13" s="2486"/>
      <c r="B13" s="2486"/>
      <c r="C13" s="2486"/>
      <c r="D13" s="2487" t="s">
        <v>3315</v>
      </c>
      <c r="E13" s="25">
        <f t="shared" ref="E13:E20" si="6">IF($C$3="是",ROUND($A$3*G13/$B$3,2),ROUND($A$3*(G13-AT13)/$B$3,2))</f>
        <v>69193.56</v>
      </c>
      <c r="F13" s="78"/>
      <c r="G13" s="79">
        <f t="shared" ref="G13:G20" si="7">H13+AC13+AT13</f>
        <v>146577.54999999999</v>
      </c>
      <c r="H13" s="31">
        <f t="shared" ref="H13:H20" si="8">SUMIF(I$12:AB$12,"总值",I13:AB13)</f>
        <v>138968.59999999998</v>
      </c>
      <c r="I13" s="2489">
        <f>面积表、补缴!AF13</f>
        <v>109460.71999999999</v>
      </c>
      <c r="J13" s="2489"/>
      <c r="K13" s="2489">
        <f>面积表、补缴!AF18</f>
        <v>1860</v>
      </c>
      <c r="L13" s="2489"/>
      <c r="M13" s="2489">
        <f>面积表、补缴!AF23</f>
        <v>16237.789999999999</v>
      </c>
      <c r="N13" s="80"/>
      <c r="O13" s="80">
        <f>面积表、补缴!AF20</f>
        <v>11410.09</v>
      </c>
      <c r="P13" s="80"/>
      <c r="Q13" s="80"/>
      <c r="R13" s="80"/>
      <c r="S13" s="80"/>
      <c r="T13" s="80"/>
      <c r="U13" s="80"/>
      <c r="V13" s="80"/>
      <c r="W13" s="80"/>
      <c r="X13" s="80"/>
      <c r="Y13" s="80"/>
      <c r="Z13" s="80"/>
      <c r="AA13" s="80"/>
      <c r="AB13" s="80"/>
      <c r="AC13" s="25">
        <f t="shared" ref="AC13:AC20" si="9">SUMIF(AD$12:AS$12,"总值",AD13:AS13)</f>
        <v>7608.9500000000007</v>
      </c>
      <c r="AD13" s="2493"/>
      <c r="AE13" s="2493"/>
      <c r="AF13" s="2493">
        <f>面积表、补缴!AF21</f>
        <v>200</v>
      </c>
      <c r="AG13" s="2493"/>
      <c r="AH13" s="2493">
        <f>面积表、补缴!AF14</f>
        <v>470</v>
      </c>
      <c r="AI13" s="2493"/>
      <c r="AJ13" s="2493">
        <f>面积表、补缴!AF22</f>
        <v>50</v>
      </c>
      <c r="AK13" s="2493"/>
      <c r="AL13" s="2493">
        <f>面积表、补缴!AF15</f>
        <v>695.51</v>
      </c>
      <c r="AM13" s="2493"/>
      <c r="AN13" s="2493">
        <f>面积表、补缴!AF19</f>
        <v>6193.4400000000005</v>
      </c>
      <c r="AO13" s="2493"/>
      <c r="AP13" s="2493"/>
      <c r="AQ13" s="2493"/>
      <c r="AR13" s="2493"/>
      <c r="AS13" s="2493"/>
      <c r="AT13" s="2494"/>
      <c r="AU13" s="2495"/>
      <c r="AV13" s="15">
        <f t="shared" ref="AV13:AX20" si="10">A13</f>
        <v>0</v>
      </c>
      <c r="AW13" s="15">
        <f t="shared" si="10"/>
        <v>0</v>
      </c>
      <c r="AX13" s="15">
        <f t="shared" si="10"/>
        <v>0</v>
      </c>
      <c r="AY13" s="957">
        <f t="shared" ref="AY13:AY20" si="11">ROUND($AY$6*AZ13/$AZ$5,2)</f>
        <v>69193.56</v>
      </c>
      <c r="AZ13" s="25">
        <f t="shared" ref="AZ13:AZ20" si="12">BA13+BL13</f>
        <v>146577.54999999999</v>
      </c>
      <c r="BA13" s="25">
        <f t="shared" ref="BA13:BA20" si="13">SUM(BB13:BK13)</f>
        <v>138968.59999999998</v>
      </c>
      <c r="BB13" s="25">
        <f t="shared" ref="BB13:BB20" si="14">IF($D13="是",I13-J13,0)</f>
        <v>109460.71999999999</v>
      </c>
      <c r="BC13" s="25">
        <f t="shared" ref="BC13:BC20" si="15">IF($D13="是",K13-L13,0)</f>
        <v>1860</v>
      </c>
      <c r="BD13" s="25">
        <f t="shared" ref="BD13:BD20" si="16">IF($D13="是",M13-N13,0)</f>
        <v>16237.789999999999</v>
      </c>
      <c r="BE13" s="25">
        <f t="shared" ref="BE13:BE20" si="17">IF($D13="是",O13-P13,0)</f>
        <v>11410.09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7608.9500000000007</v>
      </c>
      <c r="BM13" s="25">
        <f t="shared" ref="BM13:BM20" si="25">IF($D13="是",AD13-AE13,0)</f>
        <v>0</v>
      </c>
      <c r="BN13" s="25">
        <f t="shared" ref="BN13:BN20" si="26">IF($D13="是",AF13-AG13,0)</f>
        <v>200</v>
      </c>
      <c r="BO13" s="25">
        <f t="shared" ref="BO13:BO20" si="27">IF($D13="是",AH13-AI13,0)</f>
        <v>470</v>
      </c>
      <c r="BP13" s="25">
        <f t="shared" ref="BP13:BP20" si="28">IF($D13="是",AJ13-AK13,0)</f>
        <v>50</v>
      </c>
      <c r="BQ13" s="25">
        <f t="shared" ref="BQ13:BQ20" si="29">IF($D13="是",AL13-AM13,0)</f>
        <v>695.51</v>
      </c>
      <c r="BR13" s="25">
        <f t="shared" ref="BR13:BR20" si="30">IF($D13="是",AN13-AO13,0)</f>
        <v>6193.4400000000005</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100" t="s">
        <v>168</v>
      </c>
      <c r="B1" s="1737"/>
      <c r="C1" s="1737"/>
      <c r="D1" s="1737"/>
      <c r="E1" s="1737"/>
      <c r="F1" s="1737"/>
      <c r="G1" s="1737"/>
      <c r="H1" s="1737"/>
      <c r="I1" s="1737"/>
      <c r="J1" s="1737"/>
      <c r="K1" s="1737"/>
      <c r="L1" s="1737"/>
      <c r="M1" s="1737"/>
      <c r="N1" s="1737"/>
      <c r="O1" s="1737"/>
      <c r="P1" s="1737"/>
    </row>
    <row r="2" spans="1:16" ht="14.4">
      <c r="A2" s="3770" t="s">
        <v>169</v>
      </c>
      <c r="B2" s="3770"/>
      <c r="C2" s="3770"/>
      <c r="D2" s="1728" t="s">
        <v>170</v>
      </c>
      <c r="E2" s="102" t="s">
        <v>171</v>
      </c>
      <c r="F2" s="2823"/>
      <c r="G2" s="1095"/>
      <c r="H2" s="1096"/>
      <c r="I2" s="1097" t="s">
        <v>795</v>
      </c>
      <c r="J2" s="2823"/>
      <c r="K2" s="2823"/>
      <c r="L2" s="2823"/>
      <c r="M2" s="2823"/>
      <c r="N2" s="2823"/>
      <c r="O2" s="2823"/>
      <c r="P2" s="2823"/>
    </row>
    <row r="3" spans="1:16" ht="15" thickBot="1">
      <c r="A3" s="3771" t="s">
        <v>172</v>
      </c>
      <c r="B3" s="3771"/>
      <c r="C3" s="3771"/>
      <c r="D3" s="103">
        <f>'数据-基础表'!AY6</f>
        <v>69193.56</v>
      </c>
      <c r="E3" s="103">
        <f>'数据-基础表'!AZ5</f>
        <v>146577.54999999999</v>
      </c>
      <c r="F3" s="2823"/>
      <c r="G3" s="271" t="s">
        <v>796</v>
      </c>
      <c r="H3" s="266" t="s">
        <v>797</v>
      </c>
      <c r="I3" s="1729">
        <f>ROUND('数据-基础表'!B3/'数据-基础表'!A3,2)</f>
        <v>2.12</v>
      </c>
      <c r="J3" s="2823"/>
      <c r="K3" s="2823"/>
      <c r="L3" s="2823"/>
      <c r="M3" s="2823"/>
      <c r="N3" s="2823"/>
      <c r="O3" s="2823"/>
      <c r="P3" s="2823"/>
    </row>
    <row r="4" spans="1:16" ht="14.4">
      <c r="A4" s="3772"/>
      <c r="B4" s="3773"/>
      <c r="C4" s="3774"/>
      <c r="D4" s="104" t="s">
        <v>170</v>
      </c>
      <c r="E4" s="105" t="s">
        <v>171</v>
      </c>
      <c r="F4" s="2823"/>
      <c r="G4" s="1098"/>
      <c r="H4" s="266" t="s">
        <v>798</v>
      </c>
      <c r="I4" s="1729">
        <f>ROUND(SUMIF('数据-基础表'!I9:AS9,"地上",'数据-基础表'!I5:AS5)/'数据-基础表'!A3,2)</f>
        <v>1.6</v>
      </c>
      <c r="J4" s="2823"/>
      <c r="K4" s="2823"/>
      <c r="L4" s="2823"/>
      <c r="M4" s="2823"/>
      <c r="N4" s="2823"/>
      <c r="O4" s="2823"/>
      <c r="P4" s="2823"/>
    </row>
    <row r="5" spans="1:16" ht="14.4">
      <c r="A5" s="106" t="s">
        <v>173</v>
      </c>
      <c r="B5" s="3775" t="s">
        <v>196</v>
      </c>
      <c r="C5" s="3775"/>
      <c r="D5" s="107">
        <f>ROUND($D$3*E5/$E$3,2)</f>
        <v>51672.15</v>
      </c>
      <c r="E5" s="108">
        <f>SUMIF('数据-基础表'!$11:$11,"住宅",'数据-基础表'!$5:$5)</f>
        <v>109460.71999999999</v>
      </c>
      <c r="F5" s="2823"/>
      <c r="G5" s="271" t="s">
        <v>799</v>
      </c>
      <c r="H5" s="266" t="s">
        <v>797</v>
      </c>
      <c r="I5" s="1729">
        <f>ROUND(E31/D31,2)</f>
        <v>2.12</v>
      </c>
      <c r="J5" s="2823"/>
      <c r="K5" s="2823"/>
      <c r="L5" s="2823"/>
      <c r="M5" s="2823"/>
      <c r="N5" s="2823"/>
      <c r="O5" s="2823"/>
      <c r="P5" s="2823"/>
    </row>
    <row r="6" spans="1:16" ht="15" thickBot="1">
      <c r="A6" s="109"/>
      <c r="B6" s="3775" t="s">
        <v>174</v>
      </c>
      <c r="C6" s="3775"/>
      <c r="D6" s="107">
        <f>ROUND($D$3*E6/$E$3,2)</f>
        <v>17521.41</v>
      </c>
      <c r="E6" s="108">
        <f>E3-E5</f>
        <v>37116.83</v>
      </c>
      <c r="F6" s="2823"/>
      <c r="G6" s="1098"/>
      <c r="H6" s="266" t="s">
        <v>798</v>
      </c>
      <c r="I6" s="1729">
        <f>ROUND(F31/D31,2)</f>
        <v>1.6</v>
      </c>
      <c r="J6" s="2823"/>
      <c r="K6" s="2823"/>
      <c r="L6" s="2823"/>
      <c r="M6" s="2823"/>
      <c r="N6" s="2823"/>
      <c r="O6" s="2823"/>
      <c r="P6" s="2823"/>
    </row>
    <row r="7" spans="1:16" ht="14.4">
      <c r="A7" s="3767"/>
      <c r="B7" s="3768"/>
      <c r="C7" s="3769"/>
      <c r="D7" s="104" t="s">
        <v>170</v>
      </c>
      <c r="E7" s="110" t="s">
        <v>197</v>
      </c>
      <c r="F7" s="2823"/>
      <c r="G7" s="1054" t="s">
        <v>1180</v>
      </c>
      <c r="H7" s="1055"/>
      <c r="I7" s="1630"/>
      <c r="J7" s="2823"/>
      <c r="K7" s="2823"/>
      <c r="L7" s="2823"/>
      <c r="M7" s="2823"/>
      <c r="N7" s="2823"/>
      <c r="O7" s="2823"/>
      <c r="P7" s="2823"/>
    </row>
    <row r="8" spans="1:16" ht="14.4">
      <c r="A8" s="106" t="s">
        <v>175</v>
      </c>
      <c r="B8" s="111" t="s">
        <v>176</v>
      </c>
      <c r="C8" s="107" t="s">
        <v>177</v>
      </c>
      <c r="D8" s="107">
        <f t="shared" ref="D8:D15" si="0">ROUND($D$3*E8/$E$3,2)</f>
        <v>51672.15</v>
      </c>
      <c r="E8" s="112">
        <f>SUMIF('数据-基础表'!BB10:BK10,"地上",'数据-基础表'!BB5:BK5)</f>
        <v>109460.71999999999</v>
      </c>
      <c r="F8" s="2823"/>
      <c r="G8" s="2824"/>
      <c r="H8" s="2824"/>
      <c r="I8" s="2823"/>
      <c r="J8" s="2823"/>
      <c r="K8" s="2823"/>
      <c r="L8" s="2823"/>
      <c r="M8" s="2823"/>
      <c r="N8" s="2823"/>
      <c r="O8" s="2823"/>
      <c r="P8" s="2823"/>
    </row>
    <row r="9" spans="1:16" ht="14.4">
      <c r="A9" s="113"/>
      <c r="B9" s="114"/>
      <c r="C9" s="107" t="s">
        <v>178</v>
      </c>
      <c r="D9" s="107">
        <f t="shared" si="0"/>
        <v>0</v>
      </c>
      <c r="E9" s="115">
        <v>0</v>
      </c>
      <c r="F9" s="2823"/>
      <c r="G9" s="2824"/>
      <c r="H9" s="2824"/>
      <c r="I9" s="2823"/>
      <c r="J9" s="2823"/>
      <c r="K9" s="2823"/>
      <c r="L9" s="2823"/>
      <c r="M9" s="2823"/>
      <c r="N9" s="2823"/>
      <c r="O9" s="2823"/>
      <c r="P9" s="2823"/>
    </row>
    <row r="10" spans="1:16" ht="14.4">
      <c r="A10" s="113"/>
      <c r="B10" s="114"/>
      <c r="C10" s="107" t="s">
        <v>179</v>
      </c>
      <c r="D10" s="107">
        <f t="shared" si="0"/>
        <v>878.03</v>
      </c>
      <c r="E10" s="112">
        <f>SUMPRODUCT(('数据-基础表'!BB10:BK10="地下")*('数据-基础表'!BB11:BK11="商业")*('数据-基础表'!BB5:BK5))</f>
        <v>1860</v>
      </c>
      <c r="F10" s="2823"/>
      <c r="G10" s="2824"/>
      <c r="H10" s="2824"/>
      <c r="I10" s="2823"/>
      <c r="J10" s="2823"/>
      <c r="K10" s="2823"/>
      <c r="L10" s="2823"/>
      <c r="M10" s="2823"/>
      <c r="N10" s="2823"/>
      <c r="O10" s="2823"/>
      <c r="P10" s="2823"/>
    </row>
    <row r="11" spans="1:16" ht="14.4">
      <c r="A11" s="113"/>
      <c r="B11" s="114"/>
      <c r="C11" s="2048" t="s">
        <v>1684</v>
      </c>
      <c r="D11" s="107">
        <f t="shared" si="0"/>
        <v>23.6</v>
      </c>
      <c r="E11" s="112">
        <f>SUMPRODUCT(('数据-基础表'!BB10:BK10="地下")*('数据-基础表'!BB11:BK11="办公")*('数据-基础表'!BB5:BK5))+'数据-基础表'!AJ5</f>
        <v>50</v>
      </c>
      <c r="F11" s="2823"/>
      <c r="G11" s="2824"/>
      <c r="H11" s="2824"/>
      <c r="I11" s="2823"/>
      <c r="J11" s="2823"/>
      <c r="K11" s="2823"/>
      <c r="L11" s="2823"/>
      <c r="M11" s="2823"/>
      <c r="N11" s="2823"/>
      <c r="O11" s="2823"/>
      <c r="P11" s="2823"/>
    </row>
    <row r="12" spans="1:16" ht="14.4">
      <c r="A12" s="113"/>
      <c r="B12" s="114"/>
      <c r="C12" s="107" t="s">
        <v>180</v>
      </c>
      <c r="D12" s="107">
        <f t="shared" si="0"/>
        <v>5386.26</v>
      </c>
      <c r="E12" s="112">
        <f>SUMPRODUCT(('数据-基础表'!BB10:BK10="地下")*('数据-基础表'!BB11:BK11="仓储")*('数据-基础表'!BB5:BK5))</f>
        <v>11410.09</v>
      </c>
      <c r="F12" s="2823"/>
      <c r="G12" s="2824"/>
      <c r="H12" s="2824"/>
      <c r="I12" s="2823"/>
      <c r="J12" s="2823"/>
      <c r="K12" s="2823"/>
      <c r="L12" s="2823"/>
      <c r="M12" s="2823"/>
      <c r="N12" s="2823"/>
      <c r="O12" s="2823"/>
      <c r="P12" s="2823"/>
    </row>
    <row r="13" spans="1:16" ht="14.4">
      <c r="A13" s="113"/>
      <c r="B13" s="114"/>
      <c r="C13" s="2048" t="s">
        <v>1691</v>
      </c>
      <c r="D13" s="107">
        <f t="shared" si="0"/>
        <v>7665.23</v>
      </c>
      <c r="E13" s="112">
        <f>SUMPRODUCT(('数据-基础表'!BB10:BK10="地下")*('数据-基础表'!BB11:BK11="车库")*('数据-基础表'!BB5:BK5))</f>
        <v>16237.789999999999</v>
      </c>
      <c r="F13" s="2823"/>
      <c r="G13" s="2824"/>
      <c r="H13" s="2824"/>
      <c r="I13" s="2823"/>
      <c r="J13" s="2823"/>
      <c r="K13" s="2823"/>
      <c r="L13" s="2823"/>
      <c r="M13" s="2823"/>
      <c r="N13" s="2823"/>
      <c r="O13" s="2823"/>
      <c r="P13" s="2823"/>
    </row>
    <row r="14" spans="1:16" ht="14.4">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 thickBot="1">
      <c r="A16" s="109"/>
      <c r="B16" s="114"/>
      <c r="C16" s="111" t="s">
        <v>181</v>
      </c>
      <c r="D16" s="111">
        <f>SUM(D8:D15)</f>
        <v>65625.27</v>
      </c>
      <c r="E16" s="116">
        <f>SUM(E8:E15)</f>
        <v>139018.59999999998</v>
      </c>
      <c r="F16" s="2823"/>
      <c r="G16" s="2824"/>
      <c r="H16" s="929" t="s">
        <v>185</v>
      </c>
      <c r="I16" s="930"/>
      <c r="J16" s="1737"/>
      <c r="K16" s="3761" t="s">
        <v>1849</v>
      </c>
      <c r="L16" s="3762"/>
      <c r="M16" s="3762"/>
      <c r="N16" s="3762"/>
      <c r="O16" s="3762"/>
      <c r="P16" s="3763"/>
    </row>
    <row r="17" spans="1:19" ht="14.4">
      <c r="A17" s="117" t="s">
        <v>182</v>
      </c>
      <c r="B17" s="118" t="s">
        <v>183</v>
      </c>
      <c r="C17" s="2015" t="s">
        <v>1670</v>
      </c>
      <c r="D17" s="104" t="s">
        <v>170</v>
      </c>
      <c r="E17" s="120" t="s">
        <v>171</v>
      </c>
      <c r="F17" s="121"/>
      <c r="G17" s="1224"/>
      <c r="H17" s="931" t="s">
        <v>184</v>
      </c>
      <c r="I17" s="932" t="s">
        <v>1669</v>
      </c>
      <c r="J17" s="1737"/>
      <c r="K17" s="3764" t="s">
        <v>1850</v>
      </c>
      <c r="L17" s="3765"/>
      <c r="M17" s="3766"/>
      <c r="N17" s="3764" t="s">
        <v>1851</v>
      </c>
      <c r="O17" s="3765"/>
      <c r="P17" s="3766"/>
      <c r="R17" s="2016" t="s">
        <v>1668</v>
      </c>
      <c r="S17" s="137"/>
    </row>
    <row r="18" spans="1:19" ht="14.4">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ht="14.4">
      <c r="A19" s="129"/>
      <c r="B19" s="111" t="s">
        <v>191</v>
      </c>
      <c r="C19" s="2496" t="s">
        <v>3318</v>
      </c>
      <c r="D19" s="107">
        <f t="shared" ref="D19:D26" si="1">ROUND($D$3*E19/$E$3,2)</f>
        <v>51672.15</v>
      </c>
      <c r="E19" s="130">
        <f t="shared" ref="E19:E26" si="2">SUM(F19:G19)</f>
        <v>109460.71999999999</v>
      </c>
      <c r="F19" s="2825">
        <f>'数据-基础表'!I13</f>
        <v>109460.71999999999</v>
      </c>
      <c r="G19" s="2826"/>
      <c r="H19" s="935">
        <f>ROUND($D$3*I19/$E$3,2)</f>
        <v>2901.38</v>
      </c>
      <c r="I19" s="112">
        <f>IF($I$17="自定义",P19,M19)</f>
        <v>6146.19</v>
      </c>
      <c r="J19" s="1737"/>
      <c r="K19" s="2214">
        <f t="shared" ref="K19:K26" si="3">ROUND(E$28*E19/E$27,2)</f>
        <v>5426.19</v>
      </c>
      <c r="L19" s="266">
        <f t="shared" ref="L19:L26" si="4">ROUND(IF(COUNTIF(C19,"*住宅*")&gt;0,E$29*E19/E$32,0),2)</f>
        <v>720</v>
      </c>
      <c r="M19" s="2215">
        <f>K19+L19</f>
        <v>6146.19</v>
      </c>
      <c r="N19" s="2216"/>
      <c r="O19" s="2217"/>
      <c r="P19" s="2218">
        <f>N19+O19</f>
        <v>0</v>
      </c>
      <c r="R19" s="266">
        <f t="shared" ref="R19:S26" si="5">D19+H19</f>
        <v>54573.53</v>
      </c>
      <c r="S19" s="2018">
        <f t="shared" si="5"/>
        <v>115606.90999999999</v>
      </c>
    </row>
    <row r="20" spans="1:19" ht="14.4">
      <c r="A20" s="133"/>
      <c r="B20" s="111" t="s">
        <v>192</v>
      </c>
      <c r="C20" s="2496" t="s">
        <v>3319</v>
      </c>
      <c r="D20" s="107">
        <f t="shared" si="1"/>
        <v>878.03</v>
      </c>
      <c r="E20" s="130">
        <f t="shared" si="2"/>
        <v>1860</v>
      </c>
      <c r="F20" s="2825"/>
      <c r="G20" s="2826">
        <f>'数据-基础表'!K13</f>
        <v>1860</v>
      </c>
      <c r="H20" s="935">
        <f t="shared" ref="H20:H26" si="6">ROUND($D$3*I20/$E$3,2)</f>
        <v>43.52</v>
      </c>
      <c r="I20" s="112">
        <f t="shared" ref="I20:I26" si="7">IF($I$17="自定义",P20,M20)</f>
        <v>92.2</v>
      </c>
      <c r="J20" s="1737"/>
      <c r="K20" s="2214">
        <f t="shared" si="3"/>
        <v>92.2</v>
      </c>
      <c r="L20" s="266">
        <f t="shared" si="4"/>
        <v>0</v>
      </c>
      <c r="M20" s="2215">
        <f t="shared" ref="M20:M26" si="8">K20+L20</f>
        <v>92.2</v>
      </c>
      <c r="N20" s="2216"/>
      <c r="O20" s="2217"/>
      <c r="P20" s="2218">
        <f t="shared" ref="P20:P26" si="9">N20+O20</f>
        <v>0</v>
      </c>
      <c r="R20" s="266">
        <f t="shared" si="5"/>
        <v>921.55</v>
      </c>
      <c r="S20" s="2018">
        <f t="shared" si="5"/>
        <v>1952.2</v>
      </c>
    </row>
    <row r="21" spans="1:19" ht="14.4">
      <c r="A21" s="133"/>
      <c r="B21" s="111" t="s">
        <v>192</v>
      </c>
      <c r="C21" s="2496" t="s">
        <v>3320</v>
      </c>
      <c r="D21" s="107">
        <f t="shared" si="1"/>
        <v>7665.23</v>
      </c>
      <c r="E21" s="130">
        <f t="shared" si="2"/>
        <v>16237.789999999999</v>
      </c>
      <c r="F21" s="2825"/>
      <c r="G21" s="2826">
        <f>'数据-基础表'!M13</f>
        <v>16237.789999999999</v>
      </c>
      <c r="H21" s="935">
        <f t="shared" si="6"/>
        <v>379.98</v>
      </c>
      <c r="I21" s="112">
        <f t="shared" si="7"/>
        <v>804.94</v>
      </c>
      <c r="J21" s="1737"/>
      <c r="K21" s="2214">
        <f t="shared" si="3"/>
        <v>804.94</v>
      </c>
      <c r="L21" s="266">
        <f t="shared" si="4"/>
        <v>0</v>
      </c>
      <c r="M21" s="2215">
        <f t="shared" si="8"/>
        <v>804.94</v>
      </c>
      <c r="N21" s="2216"/>
      <c r="O21" s="2217"/>
      <c r="P21" s="2218">
        <f t="shared" si="9"/>
        <v>0</v>
      </c>
      <c r="R21" s="266">
        <f t="shared" si="5"/>
        <v>8045.2099999999991</v>
      </c>
      <c r="S21" s="2018">
        <f t="shared" si="5"/>
        <v>17042.73</v>
      </c>
    </row>
    <row r="22" spans="1:19" ht="14.4">
      <c r="A22" s="133"/>
      <c r="B22" s="111" t="s">
        <v>192</v>
      </c>
      <c r="C22" s="3336" t="s">
        <v>3321</v>
      </c>
      <c r="D22" s="107">
        <f t="shared" si="1"/>
        <v>5386.26</v>
      </c>
      <c r="E22" s="130">
        <f t="shared" si="2"/>
        <v>11410.09</v>
      </c>
      <c r="F22" s="2827"/>
      <c r="G22" s="2828">
        <f>'数据-基础表'!O13</f>
        <v>11410.09</v>
      </c>
      <c r="H22" s="935">
        <f t="shared" si="6"/>
        <v>267.01</v>
      </c>
      <c r="I22" s="112">
        <f t="shared" si="7"/>
        <v>565.62</v>
      </c>
      <c r="J22" s="1737"/>
      <c r="K22" s="2214">
        <f t="shared" si="3"/>
        <v>565.62</v>
      </c>
      <c r="L22" s="266">
        <f t="shared" si="4"/>
        <v>0</v>
      </c>
      <c r="M22" s="2215">
        <f t="shared" si="8"/>
        <v>565.62</v>
      </c>
      <c r="N22" s="2216"/>
      <c r="O22" s="2217"/>
      <c r="P22" s="2218">
        <f t="shared" si="9"/>
        <v>0</v>
      </c>
      <c r="R22" s="266">
        <f t="shared" si="5"/>
        <v>5653.27</v>
      </c>
      <c r="S22" s="2018">
        <f t="shared" si="5"/>
        <v>11975.710000000001</v>
      </c>
    </row>
    <row r="23" spans="1:19" ht="14.4">
      <c r="A23" s="133"/>
      <c r="B23" s="111" t="s">
        <v>192</v>
      </c>
      <c r="C23" s="3336"/>
      <c r="D23" s="107">
        <f>ROUND($D$3*E23/$E$3,2)</f>
        <v>0</v>
      </c>
      <c r="E23" s="130">
        <f>SUM(F23:G23)</f>
        <v>0</v>
      </c>
      <c r="F23" s="2827"/>
      <c r="G23" s="2828"/>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ht="14.4">
      <c r="A24" s="133"/>
      <c r="B24" s="111" t="s">
        <v>192</v>
      </c>
      <c r="C24" s="3336"/>
      <c r="D24" s="107">
        <f>ROUND($D$3*E24/$E$3,2)</f>
        <v>0</v>
      </c>
      <c r="E24" s="130">
        <f>SUM(F24:G24)</f>
        <v>0</v>
      </c>
      <c r="F24" s="2827"/>
      <c r="G24" s="2828"/>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ht="14.4">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ht="14.4">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 thickBot="1">
      <c r="A27" s="133"/>
      <c r="B27" s="107"/>
      <c r="C27" s="123" t="s">
        <v>181</v>
      </c>
      <c r="D27" s="130">
        <f>SUM(D19:D26)</f>
        <v>65601.67</v>
      </c>
      <c r="E27" s="136">
        <f>IF(SUM(E19:E26)='数据-基础表'!BA5,SUM(E19:E26),IF(F27="地上面积有误","面积有误","地下面积有误"))</f>
        <v>138968.59999999998</v>
      </c>
      <c r="F27" s="130">
        <f>IF(SUM(F19:F26)=E8,SUM(F19:F26),"地上面积有误")</f>
        <v>109460.71999999999</v>
      </c>
      <c r="G27" s="108">
        <f>SUM(G19:G26)</f>
        <v>29507.88</v>
      </c>
      <c r="H27" s="936">
        <f>SUM(H19:H26)</f>
        <v>3591.8900000000003</v>
      </c>
      <c r="I27" s="937">
        <f>SUM(I19:I26)</f>
        <v>7608.95</v>
      </c>
      <c r="J27" s="1737"/>
      <c r="K27" s="2223">
        <f t="shared" ref="K27:P27" si="10">SUM(K19:K26)</f>
        <v>6888.95</v>
      </c>
      <c r="L27" s="2224">
        <f t="shared" si="10"/>
        <v>720</v>
      </c>
      <c r="M27" s="2225">
        <f t="shared" si="10"/>
        <v>7608.95</v>
      </c>
      <c r="N27" s="2223">
        <f t="shared" si="10"/>
        <v>0</v>
      </c>
      <c r="O27" s="2224">
        <f t="shared" si="10"/>
        <v>0</v>
      </c>
      <c r="P27" s="2226">
        <f t="shared" si="10"/>
        <v>0</v>
      </c>
      <c r="R27" s="2022">
        <f>IF(SUM(R19:R26)=$D$3,SUM(R19:R26),SUM(R19:R26)&amp;"误差"&amp;ROUND(SUM(R19:R26)-$D$3,2))</f>
        <v>69193.56</v>
      </c>
      <c r="S27" s="266">
        <f>IF(SUM(S19:S26)=$E$3,SUM(S19:S26),SUM(S19:S26)&amp;"误差"&amp;ROUND(SUM(S19:S26)-E3,2))</f>
        <v>146577.54999999999</v>
      </c>
    </row>
    <row r="28" spans="1:19" ht="14.4">
      <c r="A28" s="133"/>
      <c r="B28" s="111" t="s">
        <v>193</v>
      </c>
      <c r="C28" s="131" t="s">
        <v>194</v>
      </c>
      <c r="D28" s="107">
        <f>ROUND($D$3*E28/$E$3,2)</f>
        <v>3252.01</v>
      </c>
      <c r="E28" s="130">
        <f>SUM(F28:G28)</f>
        <v>6888.9500000000007</v>
      </c>
      <c r="F28" s="137">
        <f>'数据-基础表'!BQ5+'数据-基础表'!BS5</f>
        <v>695.51</v>
      </c>
      <c r="G28" s="138">
        <f>'数据-基础表'!BR5+'数据-基础表'!BT5</f>
        <v>6193.4400000000005</v>
      </c>
      <c r="H28" s="2823"/>
      <c r="I28" s="2823"/>
      <c r="J28" s="2823"/>
      <c r="K28" s="2823"/>
      <c r="L28" s="2823"/>
      <c r="M28" s="2823"/>
      <c r="N28" s="2823"/>
      <c r="O28" s="2823"/>
      <c r="P28" s="2823"/>
    </row>
    <row r="29" spans="1:19" ht="14.4">
      <c r="A29" s="133"/>
      <c r="B29" s="111" t="s">
        <v>193</v>
      </c>
      <c r="C29" s="2030" t="s">
        <v>1677</v>
      </c>
      <c r="D29" s="107">
        <f>ROUND($D$3*E29/$E$3,2)</f>
        <v>339.88</v>
      </c>
      <c r="E29" s="130">
        <f>SUM(F29:G29)</f>
        <v>720</v>
      </c>
      <c r="F29" s="137">
        <f>'数据-基础表'!BM5+'数据-基础表'!BO5</f>
        <v>470</v>
      </c>
      <c r="G29" s="139">
        <f>'数据-基础表'!BN5+'数据-基础表'!BP5</f>
        <v>250</v>
      </c>
      <c r="H29" s="2823"/>
      <c r="I29" s="2823"/>
      <c r="J29" s="2823"/>
      <c r="K29" s="2823"/>
      <c r="L29" s="2823"/>
      <c r="M29" s="2823"/>
      <c r="N29" s="2823"/>
      <c r="O29" s="2823"/>
      <c r="P29" s="2823"/>
    </row>
    <row r="30" spans="1:19" ht="14.4">
      <c r="A30" s="133"/>
      <c r="B30" s="107"/>
      <c r="C30" s="140" t="s">
        <v>181</v>
      </c>
      <c r="D30" s="130">
        <f>SUM(D28:D29)</f>
        <v>3591.8900000000003</v>
      </c>
      <c r="E30" s="130">
        <f>SUM(E28:E29)</f>
        <v>7608.9500000000007</v>
      </c>
      <c r="F30" s="130">
        <f>SUM(F28:F29)</f>
        <v>1165.51</v>
      </c>
      <c r="G30" s="108">
        <f>SUM(G28:G29)</f>
        <v>6443.4400000000005</v>
      </c>
      <c r="H30" s="2823"/>
      <c r="I30" s="2823"/>
      <c r="J30" s="2823"/>
      <c r="K30" s="2823"/>
      <c r="L30" s="2823"/>
      <c r="M30" s="2823"/>
      <c r="N30" s="2823"/>
      <c r="O30" s="2823"/>
      <c r="P30" s="2823"/>
    </row>
    <row r="31" spans="1:19" ht="32.25" customHeight="1" thickBot="1">
      <c r="A31" s="1226"/>
      <c r="B31" s="1227" t="s">
        <v>195</v>
      </c>
      <c r="C31" s="2047" t="s">
        <v>1679</v>
      </c>
      <c r="D31" s="1228">
        <f>D27+D30</f>
        <v>69193.56</v>
      </c>
      <c r="E31" s="1228">
        <f>E27+E30</f>
        <v>146577.54999999999</v>
      </c>
      <c r="F31" s="1229">
        <f>F27+F30</f>
        <v>110626.22999999998</v>
      </c>
      <c r="G31" s="1230">
        <f>G27+G30</f>
        <v>35951.32</v>
      </c>
      <c r="H31" s="2823"/>
      <c r="I31" s="2823"/>
      <c r="J31" s="2823"/>
      <c r="K31" s="2823"/>
      <c r="L31" s="2823"/>
      <c r="M31" s="2823"/>
      <c r="N31" s="2823"/>
      <c r="O31" s="2823"/>
      <c r="P31" s="2823"/>
    </row>
    <row r="32" spans="1:19" ht="14.4">
      <c r="A32" s="1737"/>
      <c r="B32" s="2059" t="s">
        <v>1678</v>
      </c>
      <c r="C32" s="2250"/>
      <c r="D32" s="1098"/>
      <c r="E32" s="1098">
        <f>SUMIF(C19:C26,"*住宅*",E19:E26)</f>
        <v>109460.71999999999</v>
      </c>
      <c r="F32" s="1098"/>
      <c r="G32" s="1098"/>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workbookViewId="0">
      <pane xSplit="1" topLeftCell="B1" activePane="topRight" state="frozen"/>
      <selection pane="topRight" activeCell="J29" sqref="J29"/>
    </sheetView>
  </sheetViews>
  <sheetFormatPr defaultColWidth="8.88671875" defaultRowHeight="15.6"/>
  <cols>
    <col min="1" max="1" width="16" style="3667" customWidth="1"/>
    <col min="2" max="2" width="12.6640625" style="3667" customWidth="1"/>
    <col min="3" max="3" width="10.77734375" style="3667" customWidth="1"/>
    <col min="4" max="7" width="8.88671875" style="3667"/>
    <col min="8" max="8" width="12.77734375" style="3667" customWidth="1"/>
    <col min="9" max="16384" width="8.88671875" style="3667"/>
  </cols>
  <sheetData>
    <row r="1" spans="1:32">
      <c r="F1" s="3667" t="s">
        <v>3262</v>
      </c>
      <c r="G1" s="3667">
        <f>(4.9+0.69+1.54+5.3)*10000</f>
        <v>124300</v>
      </c>
      <c r="H1" s="3667" t="s">
        <v>3263</v>
      </c>
    </row>
    <row r="2" spans="1:32">
      <c r="F2" s="3667" t="s">
        <v>3264</v>
      </c>
      <c r="G2" s="3667">
        <f>B4/10000-G1</f>
        <v>118700</v>
      </c>
      <c r="H2" s="3667" t="s">
        <v>3263</v>
      </c>
    </row>
    <row r="3" spans="1:32">
      <c r="A3" s="3667" t="s">
        <v>3265</v>
      </c>
      <c r="B3" s="3667">
        <v>69193.56</v>
      </c>
      <c r="E3" s="3667" t="s">
        <v>3266</v>
      </c>
      <c r="G3" s="3667">
        <f>B7*0.6*0.25*AF18/10000</f>
        <v>612.37710000000004</v>
      </c>
      <c r="H3" s="3667" t="s">
        <v>3263</v>
      </c>
      <c r="I3" s="3667">
        <v>612.38</v>
      </c>
    </row>
    <row r="4" spans="1:32">
      <c r="A4" s="3667" t="s">
        <v>3267</v>
      </c>
      <c r="B4" s="3667">
        <f>559353200+1870646800</f>
        <v>2430000000</v>
      </c>
      <c r="E4" s="3667" t="s">
        <v>3268</v>
      </c>
      <c r="G4" s="3667">
        <f>B7*0.25*0.25*AF20/10000</f>
        <v>1565.2504088124999</v>
      </c>
      <c r="H4" s="3667" t="s">
        <v>3263</v>
      </c>
      <c r="I4" s="3667">
        <v>1565.25</v>
      </c>
    </row>
    <row r="5" spans="1:32">
      <c r="A5" s="3667" t="s">
        <v>3269</v>
      </c>
      <c r="B5" s="3667">
        <v>110709.69</v>
      </c>
      <c r="E5" s="3667" t="s">
        <v>3270</v>
      </c>
      <c r="G5" s="3667">
        <f>B7*0.15*0.25*AF23/10000</f>
        <v>1336.5121976624998</v>
      </c>
      <c r="H5" s="3667" t="s">
        <v>3263</v>
      </c>
      <c r="I5" s="3667">
        <v>1336.51</v>
      </c>
    </row>
    <row r="6" spans="1:32">
      <c r="A6" s="3667" t="s">
        <v>1550</v>
      </c>
      <c r="B6" s="3667">
        <f>B5/B3</f>
        <v>1.599999913286728</v>
      </c>
      <c r="G6" s="3667">
        <f>SUM(G3:G5)</f>
        <v>3514.1397064749999</v>
      </c>
      <c r="H6" s="3667" t="s">
        <v>3263</v>
      </c>
      <c r="I6" s="3667">
        <f>SUM(I3:I5)</f>
        <v>3514.1400000000003</v>
      </c>
    </row>
    <row r="7" spans="1:32">
      <c r="A7" s="3667" t="s">
        <v>3271</v>
      </c>
      <c r="B7" s="3667">
        <f>ROUND(B4/B5,0)</f>
        <v>21949</v>
      </c>
      <c r="G7" s="3667">
        <f>G2+G6</f>
        <v>122214.13970647501</v>
      </c>
      <c r="I7" s="3667">
        <f>G2+I6</f>
        <v>122214.14</v>
      </c>
    </row>
    <row r="8" spans="1:32">
      <c r="A8" s="3667" t="s">
        <v>3272</v>
      </c>
      <c r="B8" s="3667">
        <f>ROUND(B4/B3,0)</f>
        <v>35119</v>
      </c>
      <c r="H8" s="3668"/>
    </row>
    <row r="9" spans="1:32">
      <c r="B9" s="3667">
        <f>B4/(B3/666.67)/10000</f>
        <v>2341.2700546120191</v>
      </c>
      <c r="C9" s="3667" t="s">
        <v>3273</v>
      </c>
    </row>
    <row r="11" spans="1:32">
      <c r="B11" s="3667" t="s">
        <v>3274</v>
      </c>
      <c r="C11" s="3667" t="s">
        <v>3275</v>
      </c>
      <c r="D11" s="3667" t="s">
        <v>3276</v>
      </c>
      <c r="E11" s="3667" t="s">
        <v>3277</v>
      </c>
      <c r="F11" s="3667" t="s">
        <v>3278</v>
      </c>
      <c r="G11" s="3667" t="s">
        <v>3279</v>
      </c>
      <c r="H11" s="3667" t="s">
        <v>3280</v>
      </c>
      <c r="I11" s="3667" t="s">
        <v>3281</v>
      </c>
      <c r="J11" s="3667" t="s">
        <v>3282</v>
      </c>
      <c r="K11" s="3667" t="s">
        <v>3283</v>
      </c>
      <c r="L11" s="3667" t="s">
        <v>3284</v>
      </c>
      <c r="M11" s="3667" t="s">
        <v>3285</v>
      </c>
      <c r="N11" s="3667" t="s">
        <v>3286</v>
      </c>
      <c r="O11" s="3667" t="s">
        <v>3287</v>
      </c>
      <c r="P11" s="3667" t="s">
        <v>3288</v>
      </c>
      <c r="Q11" s="3667" t="s">
        <v>3289</v>
      </c>
      <c r="R11" s="3667" t="s">
        <v>3290</v>
      </c>
      <c r="S11" s="3667" t="s">
        <v>3291</v>
      </c>
      <c r="T11" s="3667" t="s">
        <v>3292</v>
      </c>
      <c r="U11" s="3667" t="s">
        <v>3293</v>
      </c>
      <c r="V11" s="3667" t="s">
        <v>3294</v>
      </c>
      <c r="W11" s="3667" t="s">
        <v>3295</v>
      </c>
      <c r="X11" s="3667" t="s">
        <v>3296</v>
      </c>
      <c r="Y11" s="3667" t="s">
        <v>3297</v>
      </c>
      <c r="Z11" s="3667" t="s">
        <v>3298</v>
      </c>
      <c r="AA11" s="3667" t="s">
        <v>3299</v>
      </c>
      <c r="AB11" s="3667" t="s">
        <v>3300</v>
      </c>
      <c r="AC11" s="3667" t="s">
        <v>3301</v>
      </c>
      <c r="AD11" s="3667" t="s">
        <v>3302</v>
      </c>
      <c r="AE11" s="3667" t="s">
        <v>3260</v>
      </c>
    </row>
    <row r="12" spans="1:32">
      <c r="B12" s="3667">
        <v>8384.56</v>
      </c>
      <c r="C12" s="3667">
        <v>5588.86</v>
      </c>
      <c r="D12" s="3667">
        <v>6748.58</v>
      </c>
      <c r="E12" s="3667">
        <v>6799.4</v>
      </c>
      <c r="F12" s="3667">
        <v>6484.47</v>
      </c>
      <c r="G12" s="3667">
        <v>1724.16</v>
      </c>
      <c r="H12" s="3667">
        <v>6762.34</v>
      </c>
      <c r="I12" s="3667">
        <v>3403.9</v>
      </c>
      <c r="J12" s="3667">
        <v>6193.57</v>
      </c>
      <c r="K12" s="3667">
        <v>2791.06</v>
      </c>
      <c r="L12" s="3667">
        <v>3466.19</v>
      </c>
      <c r="M12" s="3667">
        <v>6133.74</v>
      </c>
      <c r="N12" s="3667">
        <v>3398.87</v>
      </c>
      <c r="O12" s="3667">
        <v>6754.2</v>
      </c>
      <c r="P12" s="3667">
        <v>2897.41</v>
      </c>
      <c r="Q12" s="3667">
        <v>2421.38</v>
      </c>
      <c r="R12" s="3667">
        <v>8947.25</v>
      </c>
      <c r="S12" s="3667">
        <v>8893.91</v>
      </c>
      <c r="T12" s="3667">
        <v>3468.53</v>
      </c>
      <c r="U12" s="3667">
        <v>2868.83</v>
      </c>
      <c r="V12" s="3667">
        <v>7149.54</v>
      </c>
      <c r="W12" s="3667">
        <v>4171.0200000000004</v>
      </c>
      <c r="X12" s="3667">
        <v>7162.85</v>
      </c>
      <c r="Y12" s="3667">
        <v>2868.49</v>
      </c>
      <c r="Z12" s="3667">
        <v>150</v>
      </c>
      <c r="AA12" s="3667">
        <v>1540</v>
      </c>
      <c r="AB12" s="3667">
        <v>335</v>
      </c>
      <c r="AC12" s="3667">
        <v>1040</v>
      </c>
      <c r="AD12" s="3667">
        <v>150</v>
      </c>
      <c r="AE12" s="3667">
        <v>27875.87</v>
      </c>
      <c r="AF12" s="3667">
        <f>SUM(B12:AE12)</f>
        <v>156573.98000000004</v>
      </c>
    </row>
    <row r="13" spans="1:32">
      <c r="A13" s="3667" t="s">
        <v>851</v>
      </c>
      <c r="B13" s="3667">
        <v>7541.09</v>
      </c>
      <c r="C13" s="3667">
        <v>4859.33</v>
      </c>
      <c r="D13" s="3667">
        <v>6037.76</v>
      </c>
      <c r="E13" s="3667">
        <v>6037.76</v>
      </c>
      <c r="F13" s="3667">
        <v>5767.56</v>
      </c>
      <c r="G13" s="3667">
        <v>1395.43</v>
      </c>
      <c r="H13" s="3667">
        <v>5766</v>
      </c>
      <c r="I13" s="3667">
        <v>2898.99</v>
      </c>
      <c r="J13" s="3667">
        <v>5378.13</v>
      </c>
      <c r="K13" s="3667">
        <v>2487.52</v>
      </c>
      <c r="L13" s="3667">
        <v>3050.47</v>
      </c>
      <c r="M13" s="3667">
        <v>5378.02</v>
      </c>
      <c r="N13" s="3667">
        <v>2898.99</v>
      </c>
      <c r="O13" s="3667">
        <v>5766</v>
      </c>
      <c r="P13" s="3667">
        <v>2494.31</v>
      </c>
      <c r="Q13" s="3667">
        <v>2081.2399999999998</v>
      </c>
      <c r="R13" s="3667">
        <v>7803.59</v>
      </c>
      <c r="S13" s="3667">
        <v>7803.59</v>
      </c>
      <c r="T13" s="3667">
        <v>3050.5</v>
      </c>
      <c r="U13" s="3667">
        <v>2500.4</v>
      </c>
      <c r="V13" s="3667">
        <v>6195.11</v>
      </c>
      <c r="W13" s="3667">
        <v>3573.42</v>
      </c>
      <c r="X13" s="3667">
        <v>6195.11</v>
      </c>
      <c r="Y13" s="3667">
        <v>2500.4</v>
      </c>
      <c r="AF13" s="3667">
        <f>SUM(B13:AE13)</f>
        <v>109460.71999999999</v>
      </c>
    </row>
    <row r="14" spans="1:32">
      <c r="A14" s="3667" t="s">
        <v>3303</v>
      </c>
      <c r="AA14" s="3667">
        <v>100</v>
      </c>
      <c r="AC14" s="3667">
        <v>370</v>
      </c>
      <c r="AF14" s="3667">
        <f>SUM(B14:AE14)</f>
        <v>470</v>
      </c>
    </row>
    <row r="15" spans="1:32">
      <c r="A15" s="3667" t="s">
        <v>3304</v>
      </c>
      <c r="B15" s="3667">
        <v>40</v>
      </c>
      <c r="Z15" s="3667">
        <v>150</v>
      </c>
      <c r="AB15" s="3667">
        <v>335</v>
      </c>
      <c r="AD15" s="3667">
        <v>150</v>
      </c>
      <c r="AE15" s="3667">
        <v>20.51</v>
      </c>
      <c r="AF15" s="3667">
        <f t="shared" ref="AF15:AF23" si="0">SUM(B15:AE15)</f>
        <v>695.51</v>
      </c>
    </row>
    <row r="16" spans="1:32">
      <c r="A16" s="3669" t="s">
        <v>3305</v>
      </c>
      <c r="L16" s="3669">
        <v>10</v>
      </c>
      <c r="AE16" s="3669">
        <f>21.26+18.92+16.64+16.64</f>
        <v>73.460000000000008</v>
      </c>
      <c r="AF16" s="3669">
        <f t="shared" si="0"/>
        <v>83.460000000000008</v>
      </c>
    </row>
    <row r="17" spans="1:32">
      <c r="A17" s="3669" t="s">
        <v>3306</v>
      </c>
      <c r="AE17" s="3669">
        <v>9912.9699999999993</v>
      </c>
      <c r="AF17" s="3669">
        <f t="shared" si="0"/>
        <v>9912.9699999999993</v>
      </c>
    </row>
    <row r="18" spans="1:32">
      <c r="A18" s="3667" t="s">
        <v>3259</v>
      </c>
      <c r="AA18" s="3667">
        <v>1440</v>
      </c>
      <c r="AC18" s="3667">
        <v>420</v>
      </c>
      <c r="AF18" s="3667">
        <f t="shared" si="0"/>
        <v>1860</v>
      </c>
    </row>
    <row r="19" spans="1:32">
      <c r="A19" s="3667" t="s">
        <v>3307</v>
      </c>
      <c r="B19" s="3667">
        <v>305.08</v>
      </c>
      <c r="C19" s="3667">
        <v>202.89</v>
      </c>
      <c r="D19" s="3667">
        <v>250.62</v>
      </c>
      <c r="E19" s="3667">
        <v>247.38</v>
      </c>
      <c r="F19" s="3667">
        <v>239.99</v>
      </c>
      <c r="G19" s="3667">
        <v>65.849999999999994</v>
      </c>
      <c r="H19" s="3667">
        <v>240.21</v>
      </c>
      <c r="I19" s="3667">
        <v>126.59</v>
      </c>
      <c r="J19" s="3667">
        <v>221.33</v>
      </c>
      <c r="K19" s="3667">
        <v>104.13</v>
      </c>
      <c r="L19" s="3667">
        <v>127.66</v>
      </c>
      <c r="M19" s="3667">
        <v>223.09</v>
      </c>
      <c r="N19" s="3667">
        <v>123.43</v>
      </c>
      <c r="O19" s="3667">
        <v>239.77</v>
      </c>
      <c r="P19" s="3667">
        <v>107.09</v>
      </c>
      <c r="Q19" s="3667">
        <v>89.25</v>
      </c>
      <c r="R19" s="3667">
        <v>324.27</v>
      </c>
      <c r="S19" s="3667">
        <v>321.72000000000003</v>
      </c>
      <c r="T19" s="3667">
        <v>127.32</v>
      </c>
      <c r="U19" s="3667">
        <v>105.89</v>
      </c>
      <c r="V19" s="3667">
        <v>254.68</v>
      </c>
      <c r="W19" s="3667">
        <v>151.79</v>
      </c>
      <c r="X19" s="3667">
        <v>255.52</v>
      </c>
      <c r="Y19" s="3667">
        <v>106.75</v>
      </c>
      <c r="AE19" s="3667">
        <f>200+15+15+6+180+1215.14</f>
        <v>1631.14</v>
      </c>
      <c r="AF19" s="3667">
        <f t="shared" si="0"/>
        <v>6193.4400000000005</v>
      </c>
    </row>
    <row r="20" spans="1:32">
      <c r="A20" s="3667" t="s">
        <v>3261</v>
      </c>
      <c r="B20" s="3667">
        <v>498.39</v>
      </c>
      <c r="C20" s="3667">
        <v>526.64</v>
      </c>
      <c r="D20" s="3667">
        <v>460.2</v>
      </c>
      <c r="E20" s="3667">
        <v>514.26</v>
      </c>
      <c r="F20" s="3667">
        <v>476.92</v>
      </c>
      <c r="G20" s="3667">
        <v>262.88</v>
      </c>
      <c r="H20" s="3667">
        <v>756.13</v>
      </c>
      <c r="I20" s="3667">
        <v>378.32</v>
      </c>
      <c r="J20" s="3667">
        <v>594.11</v>
      </c>
      <c r="K20" s="3667">
        <v>199.41</v>
      </c>
      <c r="L20" s="3667">
        <v>278.06</v>
      </c>
      <c r="M20" s="3667">
        <v>532.63</v>
      </c>
      <c r="N20" s="3667">
        <v>376.45</v>
      </c>
      <c r="O20" s="3667">
        <v>748.43</v>
      </c>
      <c r="P20" s="3667">
        <v>296.01</v>
      </c>
      <c r="Q20" s="3667">
        <v>250.89</v>
      </c>
      <c r="R20" s="3667">
        <v>819.39</v>
      </c>
      <c r="S20" s="3667">
        <v>768.6</v>
      </c>
      <c r="T20" s="3667">
        <v>290.70999999999998</v>
      </c>
      <c r="U20" s="3667">
        <v>262.54000000000002</v>
      </c>
      <c r="V20" s="3667">
        <v>699.75</v>
      </c>
      <c r="W20" s="3667">
        <v>445.81</v>
      </c>
      <c r="X20" s="3667">
        <v>712.22</v>
      </c>
      <c r="Y20" s="3667">
        <v>261.33999999999997</v>
      </c>
      <c r="AF20" s="3667">
        <f t="shared" si="0"/>
        <v>11410.09</v>
      </c>
    </row>
    <row r="21" spans="1:32">
      <c r="A21" s="3667" t="s">
        <v>3308</v>
      </c>
      <c r="AC21" s="3667">
        <v>200</v>
      </c>
      <c r="AF21" s="3667">
        <f t="shared" si="0"/>
        <v>200</v>
      </c>
    </row>
    <row r="22" spans="1:32">
      <c r="A22" s="3667" t="s">
        <v>3309</v>
      </c>
      <c r="AC22" s="3667">
        <v>50</v>
      </c>
      <c r="AF22" s="3667">
        <f t="shared" si="0"/>
        <v>50</v>
      </c>
    </row>
    <row r="23" spans="1:32">
      <c r="A23" s="3667" t="s">
        <v>3260</v>
      </c>
      <c r="AE23" s="3667">
        <f>26150.76-AE17</f>
        <v>16237.789999999999</v>
      </c>
      <c r="AF23" s="3667">
        <f t="shared" si="0"/>
        <v>16237.789999999999</v>
      </c>
    </row>
    <row r="24" spans="1:32">
      <c r="B24" s="3667" t="s">
        <v>3310</v>
      </c>
      <c r="C24" s="3667" t="s">
        <v>3311</v>
      </c>
      <c r="D24" s="3667" t="s">
        <v>3310</v>
      </c>
      <c r="E24" s="3667" t="s">
        <v>3310</v>
      </c>
      <c r="F24" s="3667" t="s">
        <v>3310</v>
      </c>
      <c r="G24" s="3667" t="s">
        <v>3312</v>
      </c>
      <c r="H24" s="3667" t="s">
        <v>3313</v>
      </c>
      <c r="I24" s="3667" t="s">
        <v>3313</v>
      </c>
      <c r="J24" s="3667" t="s">
        <v>3311</v>
      </c>
      <c r="K24" s="3667" t="s">
        <v>3310</v>
      </c>
      <c r="L24" s="3667" t="s">
        <v>3310</v>
      </c>
      <c r="M24" s="3667" t="s">
        <v>3311</v>
      </c>
      <c r="N24" s="3667" t="s">
        <v>3313</v>
      </c>
      <c r="O24" s="3667" t="s">
        <v>3313</v>
      </c>
      <c r="P24" s="3667" t="s">
        <v>3311</v>
      </c>
      <c r="Q24" s="3667" t="s">
        <v>3311</v>
      </c>
      <c r="R24" s="3667" t="s">
        <v>3311</v>
      </c>
      <c r="S24" s="3667" t="s">
        <v>3311</v>
      </c>
      <c r="T24" s="3667" t="s">
        <v>3310</v>
      </c>
      <c r="U24" s="3667" t="s">
        <v>3310</v>
      </c>
      <c r="V24" s="3667" t="s">
        <v>3311</v>
      </c>
      <c r="W24" s="3667" t="s">
        <v>3313</v>
      </c>
      <c r="X24" s="3667" t="s">
        <v>3311</v>
      </c>
      <c r="Y24" s="3667" t="s">
        <v>3310</v>
      </c>
      <c r="Z24" s="3667" t="s">
        <v>3314</v>
      </c>
      <c r="AA24" s="3667" t="s">
        <v>3314</v>
      </c>
      <c r="AB24" s="3667" t="s">
        <v>3314</v>
      </c>
      <c r="AC24" s="3667" t="s">
        <v>3314</v>
      </c>
      <c r="AD24" s="3667" t="s">
        <v>3314</v>
      </c>
    </row>
    <row r="25" spans="1:32">
      <c r="AF25" s="3667">
        <f>AF12-AF16-AF17</f>
        <v>146577.55000000005</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E29" sqref="E29"/>
    </sheetView>
  </sheetViews>
  <sheetFormatPr defaultColWidth="13.77734375" defaultRowHeight="13.2"/>
  <cols>
    <col min="1" max="1" width="21.664062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3" customFormat="1" ht="1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住宅</v>
      </c>
      <c r="B6" s="2054" t="str">
        <f>IF(A6=0,"","经营性")</f>
        <v>经营性</v>
      </c>
      <c r="C6" s="166" t="s">
        <v>851</v>
      </c>
      <c r="D6" s="2025">
        <f>SUMIF(项目基本情况!C$15:I$15,C6,项目基本情况!C$18:I$18)</f>
        <v>70</v>
      </c>
      <c r="E6" s="2026">
        <f>IF(B6="","",SUMIF(项目基本情况!C$15:I$15,C6,项目基本情况!C$17:I$17))</f>
        <v>70433</v>
      </c>
      <c r="F6" s="167">
        <f>SUMIF(项目基本情况!C$15:I$15,C6,项目基本情况!C$19:I$19)</f>
        <v>69.87</v>
      </c>
      <c r="G6" s="168">
        <f t="shared" ref="G6:G13" si="0">IF(ISERROR(ROUND(POWER(1+H6,D6-F6)*(POWER(1+H6,F6)-1)/(POWER(1+H6,D6)-1),3)),0,ROUND(POWER(1+H6,D6-F6)*(POWER(1+H6,F6)-1)/(POWER(1+H6,D6)-1),3))</f>
        <v>1</v>
      </c>
      <c r="H6" s="4005">
        <v>0.04</v>
      </c>
      <c r="I6" s="4005">
        <v>4.4999999999999998E-2</v>
      </c>
      <c r="J6" s="169">
        <v>7.4999999999999997E-2</v>
      </c>
      <c r="K6" s="172">
        <f>SUMIF('数据-汇总表'!C$19:C$33,'数据-取费表'!A6,'数据-汇总表'!E$19:E$33)</f>
        <v>109460.71999999999</v>
      </c>
      <c r="L6" s="2497">
        <v>5500</v>
      </c>
      <c r="M6" s="170">
        <f t="shared" ref="M6:M14" si="1">ROUND(K6*L6/10000,0)</f>
        <v>60203</v>
      </c>
      <c r="N6" s="2498">
        <v>0</v>
      </c>
      <c r="O6" s="170">
        <f>IF($N$5="成新度","——",ROUND(M6*N6,0))</f>
        <v>0</v>
      </c>
      <c r="P6" s="171">
        <f>IF($N$5="成新度","——",M6-O6)</f>
        <v>60203</v>
      </c>
      <c r="Q6" s="2499">
        <v>0.15</v>
      </c>
      <c r="R6" s="172">
        <f>SUMIF('数据-汇总表'!C$19:C$33,A6,'数据-汇总表'!R$19:R$33)</f>
        <v>54573.53</v>
      </c>
      <c r="S6" s="128">
        <f>IF('数据-汇总表'!$I$17="按面积比例",SUMIF('数据-汇总表'!C$19:C$33,A6,'数据-汇总表'!K$19:K$33),SUMIF('数据-汇总表'!C$19:C$33,A6,'数据-汇总表'!N$19:N$33))</f>
        <v>5426.19</v>
      </c>
      <c r="T6" s="1951">
        <f>IF($T$4="按面积比例",IF(ISERROR(ROUND($M$14*S6/S$16,0)),"0",ROUND($M$14*S6/S$16,0)),"需自行计算录入")</f>
        <v>2171</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8"/>
      <c r="AN6" s="2082"/>
      <c r="AO6" s="2833"/>
      <c r="AP6" s="1101">
        <f>ROUND(1-1/(1+H6)^F6,3)</f>
        <v>0.93500000000000005</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t="str">
        <f>'数据-汇总表'!C20</f>
        <v>地下商业</v>
      </c>
      <c r="B7" s="2054" t="str">
        <f t="shared" ref="B7:B13" si="2">IF(A7=0,"","经营性")</f>
        <v>经营性</v>
      </c>
      <c r="C7" s="166" t="s">
        <v>2741</v>
      </c>
      <c r="D7" s="2025">
        <f>SUMIF(项目基本情况!C$15:I$15,C7,项目基本情况!C$18:I$18)</f>
        <v>40</v>
      </c>
      <c r="E7" s="2026">
        <f>IF(B7="","",SUMIF(项目基本情况!C$15:I$15,C7,项目基本情况!C$17:I$17))</f>
        <v>59475</v>
      </c>
      <c r="F7" s="167">
        <f>SUMIF(项目基本情况!C$15:I$15,C7,项目基本情况!C$19:I$19)</f>
        <v>39.85</v>
      </c>
      <c r="G7" s="168">
        <f t="shared" si="0"/>
        <v>0.999</v>
      </c>
      <c r="H7" s="4005">
        <v>5.5E-2</v>
      </c>
      <c r="I7" s="4005">
        <v>0.06</v>
      </c>
      <c r="J7" s="169">
        <v>7.4999999999999997E-2</v>
      </c>
      <c r="K7" s="172">
        <f>SUMIF('数据-汇总表'!C$19:C$33,'数据-取费表'!A7,'数据-汇总表'!E$19:E$33)</f>
        <v>1860</v>
      </c>
      <c r="L7" s="2497">
        <v>4000</v>
      </c>
      <c r="M7" s="170">
        <f t="shared" si="1"/>
        <v>744</v>
      </c>
      <c r="N7" s="2498">
        <v>0</v>
      </c>
      <c r="O7" s="170">
        <f t="shared" ref="O7:O14" si="3">IF($N$5="成新度","——",ROUND(M7*N7,0))</f>
        <v>0</v>
      </c>
      <c r="P7" s="171">
        <f t="shared" ref="P7:P14" si="4">IF($N$5="成新度","——",M7-O7)</f>
        <v>744</v>
      </c>
      <c r="Q7" s="4007">
        <v>0.15</v>
      </c>
      <c r="R7" s="172">
        <f>SUMIF('数据-汇总表'!C$19:C$33,A7,'数据-汇总表'!R$19:R$33)</f>
        <v>921.55</v>
      </c>
      <c r="S7" s="128">
        <f>IF('数据-汇总表'!$I$17="按面积比例",SUMIF('数据-汇总表'!C$19:C$33,A7,'数据-汇总表'!K$19:K$33),SUMIF('数据-汇总表'!C$19:C$33,A7,'数据-汇总表'!N$19:N$33))</f>
        <v>92.2</v>
      </c>
      <c r="T7" s="1951">
        <f t="shared" ref="T7:T13" si="5">IF($T$4="按面积比例",IF(ISERROR(ROUND($M$14*S7/S$16,0)),"0",ROUND($M$14*S7/S$16,0)),"需自行计算录入")</f>
        <v>37</v>
      </c>
      <c r="U7" s="173">
        <v>3</v>
      </c>
      <c r="V7" s="174">
        <v>0</v>
      </c>
      <c r="W7" s="174">
        <v>0.1</v>
      </c>
      <c r="X7" s="2038"/>
      <c r="Y7" s="175">
        <v>1</v>
      </c>
      <c r="Z7" s="176"/>
      <c r="AA7" s="169"/>
      <c r="AB7" s="169"/>
      <c r="AC7" s="2041"/>
      <c r="AD7" s="177"/>
      <c r="AE7" s="933">
        <f t="shared" ref="AE7:AE13" ca="1" si="6">IF(AN7="",0,SUMIF(INDIRECT("'"&amp;AN7&amp;"'"&amp;"!E:E"),$AE$5,INDIRECT("'"&amp;AN7&amp;"'"&amp;"!F:F")))</f>
        <v>37.85</v>
      </c>
      <c r="AF7" s="134"/>
      <c r="AG7" s="1110">
        <f t="shared" ref="AG7:AG13" si="7">IF(AF7="",0,AE7-AF7)</f>
        <v>0</v>
      </c>
      <c r="AH7" s="134"/>
      <c r="AI7" s="180">
        <v>365</v>
      </c>
      <c r="AJ7" s="181"/>
      <c r="AK7" s="182">
        <v>0.01</v>
      </c>
      <c r="AL7" s="183">
        <v>1.5E-3</v>
      </c>
      <c r="AM7" s="2508">
        <v>1.4999999999999999E-2</v>
      </c>
      <c r="AN7" s="2082" t="s">
        <v>3323</v>
      </c>
      <c r="AO7" s="2833"/>
      <c r="AP7" s="1101">
        <f t="shared" ref="AP7:AP13" si="8">ROUND(1-1/(1+H7)^F7,3)</f>
        <v>0.88200000000000001</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t="str">
        <f>'数据-汇总表'!C21</f>
        <v>地下车库</v>
      </c>
      <c r="B8" s="2054" t="str">
        <f t="shared" si="2"/>
        <v>经营性</v>
      </c>
      <c r="C8" s="166" t="s">
        <v>2742</v>
      </c>
      <c r="D8" s="2025">
        <f>SUMIF(项目基本情况!C$15:I$15,C8,项目基本情况!C$18:I$18)</f>
        <v>50</v>
      </c>
      <c r="E8" s="2026">
        <f>IF(B8="","",SUMIF(项目基本情况!C$15:I$15,C8,项目基本情况!C$17:I$17))</f>
        <v>63128</v>
      </c>
      <c r="F8" s="167">
        <f>SUMIF(项目基本情况!C$15:I$15,C8,项目基本情况!C$19:I$19)</f>
        <v>49.86</v>
      </c>
      <c r="G8" s="168">
        <f t="shared" si="0"/>
        <v>0.999</v>
      </c>
      <c r="H8" s="4005">
        <v>0.05</v>
      </c>
      <c r="I8" s="4005">
        <v>5.5E-2</v>
      </c>
      <c r="J8" s="169">
        <v>7.4999999999999997E-2</v>
      </c>
      <c r="K8" s="172">
        <f>SUMIF('数据-汇总表'!C$19:C$33,'数据-取费表'!A8,'数据-汇总表'!E$19:E$33)</f>
        <v>16237.789999999999</v>
      </c>
      <c r="L8" s="2497">
        <v>4000</v>
      </c>
      <c r="M8" s="170">
        <f>ROUND(K8*L8/10000,0)</f>
        <v>6495</v>
      </c>
      <c r="N8" s="2498">
        <v>0</v>
      </c>
      <c r="O8" s="170">
        <f t="shared" si="3"/>
        <v>0</v>
      </c>
      <c r="P8" s="171">
        <f t="shared" si="4"/>
        <v>6495</v>
      </c>
      <c r="Q8" s="4007">
        <v>0.05</v>
      </c>
      <c r="R8" s="172">
        <f>SUMIF('数据-汇总表'!C$19:C$33,A8,'数据-汇总表'!R$19:R$33)</f>
        <v>8045.2099999999991</v>
      </c>
      <c r="S8" s="128">
        <f>IF('数据-汇总表'!$I$17="按面积比例",SUMIF('数据-汇总表'!C$19:C$33,A8,'数据-汇总表'!K$19:K$33),SUMIF('数据-汇总表'!C$19:C$33,A8,'数据-汇总表'!N$19:N$33))</f>
        <v>804.94</v>
      </c>
      <c r="T8" s="1951">
        <f t="shared" si="5"/>
        <v>322</v>
      </c>
      <c r="U8" s="173"/>
      <c r="V8" s="174"/>
      <c r="W8" s="174"/>
      <c r="X8" s="2038"/>
      <c r="Y8" s="175"/>
      <c r="Z8" s="176"/>
      <c r="AA8" s="169"/>
      <c r="AB8" s="169"/>
      <c r="AC8" s="2041"/>
      <c r="AD8" s="177"/>
      <c r="AE8" s="933">
        <f t="shared" ca="1" si="6"/>
        <v>0</v>
      </c>
      <c r="AF8" s="134"/>
      <c r="AG8" s="1110">
        <f t="shared" si="7"/>
        <v>0</v>
      </c>
      <c r="AH8" s="134">
        <v>610</v>
      </c>
      <c r="AI8" s="180"/>
      <c r="AJ8" s="181"/>
      <c r="AK8" s="182"/>
      <c r="AL8" s="183"/>
      <c r="AM8" s="2508"/>
      <c r="AN8" s="2082"/>
      <c r="AO8" s="2833"/>
      <c r="AP8" s="1101">
        <f t="shared" si="8"/>
        <v>0.91200000000000003</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t="str">
        <f>'数据-汇总表'!C22</f>
        <v>地下仓储</v>
      </c>
      <c r="B9" s="2054" t="str">
        <f t="shared" si="2"/>
        <v>经营性</v>
      </c>
      <c r="C9" s="166" t="s">
        <v>2743</v>
      </c>
      <c r="D9" s="2025">
        <f>SUMIF(项目基本情况!C$15:I$15,C9,项目基本情况!C$18:I$18)</f>
        <v>50</v>
      </c>
      <c r="E9" s="2026">
        <f>IF(B9="","",SUMIF(项目基本情况!C$15:I$15,C9,项目基本情况!C$17:I$17))</f>
        <v>63128</v>
      </c>
      <c r="F9" s="167">
        <f>SUMIF(项目基本情况!C$15:I$15,C9,项目基本情况!C$19:I$19)</f>
        <v>49.86</v>
      </c>
      <c r="G9" s="168">
        <f t="shared" si="0"/>
        <v>0.999</v>
      </c>
      <c r="H9" s="4006">
        <v>0.05</v>
      </c>
      <c r="I9" s="4006">
        <v>5.5E-2</v>
      </c>
      <c r="J9" s="169">
        <v>7.4999999999999997E-2</v>
      </c>
      <c r="K9" s="172">
        <f>SUMIF('数据-汇总表'!C$19:C$33,'数据-取费表'!A9,'数据-汇总表'!E$19:E$33)</f>
        <v>11410.09</v>
      </c>
      <c r="L9" s="2497">
        <v>4000</v>
      </c>
      <c r="M9" s="170">
        <f t="shared" si="1"/>
        <v>4564</v>
      </c>
      <c r="N9" s="2498">
        <v>0</v>
      </c>
      <c r="O9" s="170">
        <f t="shared" si="3"/>
        <v>0</v>
      </c>
      <c r="P9" s="171">
        <f t="shared" si="4"/>
        <v>4564</v>
      </c>
      <c r="Q9" s="4008">
        <v>0.08</v>
      </c>
      <c r="R9" s="172">
        <f>SUMIF('数据-汇总表'!C$19:C$33,A9,'数据-汇总表'!R$19:R$33)</f>
        <v>5653.27</v>
      </c>
      <c r="S9" s="128">
        <f>IF('数据-汇总表'!$I$17="按面积比例",SUMIF('数据-汇总表'!C$19:C$33,A9,'数据-汇总表'!K$19:K$33),SUMIF('数据-汇总表'!C$19:C$33,A9,'数据-汇总表'!N$19:N$33))</f>
        <v>565.62</v>
      </c>
      <c r="T9" s="1951">
        <f t="shared" si="5"/>
        <v>226</v>
      </c>
      <c r="U9" s="173">
        <v>1.2</v>
      </c>
      <c r="V9" s="174">
        <v>0</v>
      </c>
      <c r="W9" s="174">
        <v>0.1</v>
      </c>
      <c r="X9" s="2038"/>
      <c r="Y9" s="175">
        <v>1</v>
      </c>
      <c r="Z9" s="176"/>
      <c r="AA9" s="169"/>
      <c r="AB9" s="169"/>
      <c r="AC9" s="2041"/>
      <c r="AD9" s="177"/>
      <c r="AE9" s="933">
        <f t="shared" ca="1" si="6"/>
        <v>47.86</v>
      </c>
      <c r="AF9" s="134"/>
      <c r="AG9" s="1110">
        <f t="shared" si="7"/>
        <v>0</v>
      </c>
      <c r="AH9" s="134"/>
      <c r="AI9" s="180">
        <v>365</v>
      </c>
      <c r="AJ9" s="181"/>
      <c r="AK9" s="182">
        <v>5.0000000000000001E-3</v>
      </c>
      <c r="AL9" s="183">
        <v>1.5E-3</v>
      </c>
      <c r="AM9" s="2508">
        <v>0.01</v>
      </c>
      <c r="AN9" s="2082" t="s">
        <v>3325</v>
      </c>
      <c r="AO9" s="2833"/>
      <c r="AP9" s="1101">
        <f t="shared" si="8"/>
        <v>0.91200000000000003</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8"/>
      <c r="AN10" s="2082"/>
      <c r="AO10" s="2833"/>
      <c r="AP10" s="1101">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8"/>
      <c r="AN11" s="2082"/>
      <c r="AO11" s="2833"/>
      <c r="AP11" s="1101">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8"/>
      <c r="AN12" s="2082"/>
      <c r="AO12" s="2833"/>
      <c r="AP12" s="1101">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3"/>
      <c r="AP13" s="1101">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7"/>
      <c r="G14" s="168"/>
      <c r="H14" s="2027"/>
      <c r="I14" s="2027"/>
      <c r="J14" s="2027"/>
      <c r="K14" s="172">
        <f>SUMIF('数据-汇总表'!C$19:C$33,'数据-取费表'!A14,'数据-汇总表'!E$19:E$33)</f>
        <v>6888.9500000000007</v>
      </c>
      <c r="L14" s="186">
        <v>4000</v>
      </c>
      <c r="M14" s="170">
        <f t="shared" si="1"/>
        <v>2756</v>
      </c>
      <c r="N14" s="187">
        <v>0</v>
      </c>
      <c r="O14" s="170">
        <f t="shared" si="3"/>
        <v>0</v>
      </c>
      <c r="P14" s="171">
        <f t="shared" si="4"/>
        <v>2756</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7"/>
      <c r="G15" s="168"/>
      <c r="H15" s="2027"/>
      <c r="I15" s="2027"/>
      <c r="J15" s="2027"/>
      <c r="K15" s="172">
        <f>SUMIF('数据-汇总表'!C$19:C$33,'数据-取费表'!A15,'数据-汇总表'!E$19:E$33)</f>
        <v>720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9" t="s">
        <v>228</v>
      </c>
      <c r="B16" s="190"/>
      <c r="C16" s="191"/>
      <c r="D16" s="192"/>
      <c r="E16" s="190"/>
      <c r="F16" s="190"/>
      <c r="G16" s="193">
        <f>ROUND(SUMPRODUCT(G6:G13,K6:K13)/SUMPRODUCT((G6:G13&gt;0)*(K6:K13)),3)</f>
        <v>1</v>
      </c>
      <c r="H16" s="194">
        <f>ROUND(SUMPRODUCT(H6:H13,K6:K13)/SUMPRODUCT((H6:H13&gt;0)*(K6:K13)),3)</f>
        <v>4.2000000000000003E-2</v>
      </c>
      <c r="I16" s="195"/>
      <c r="J16" s="195"/>
      <c r="K16" s="196">
        <f>SUM(K6:K15)</f>
        <v>146577.54999999999</v>
      </c>
      <c r="L16" s="197">
        <f>ROUND(M16*10000/SUM(K6:K14),0)</f>
        <v>5126</v>
      </c>
      <c r="M16" s="197">
        <f>SUM(M6:M14)</f>
        <v>74762</v>
      </c>
      <c r="N16" s="198">
        <f>ROUND(SUMPRODUCT(M6:M14,N6:N14)/M16,3)</f>
        <v>0</v>
      </c>
      <c r="O16" s="197">
        <f>SUM(O6:O14)</f>
        <v>0</v>
      </c>
      <c r="P16" s="197">
        <f>SUM(P6:P14)</f>
        <v>74762</v>
      </c>
      <c r="Q16" s="199">
        <f>ROUND(SUMPRODUCT(Q6:Q13,K6:K13)/SUMPRODUCT((Q6:Q13&gt;0)*(K6:K13)),2)</f>
        <v>0.13</v>
      </c>
      <c r="R16" s="2028">
        <f>SUM(R6:R13)</f>
        <v>69193.56</v>
      </c>
      <c r="S16" s="200">
        <f>SUM(S6:S13)</f>
        <v>6888.95</v>
      </c>
      <c r="T16" s="201">
        <f>IF(SUMIF(T6:T13,"&lt;9E307")=M14,SUMIF(T6:T13,"&lt;9E307"),"有误，请检查")</f>
        <v>2756</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0.93</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4">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4">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4">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4">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4">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4.4"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8.8">
      <c r="A27" s="217" t="s">
        <v>1694</v>
      </c>
      <c r="B27" s="218">
        <v>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9" t="s">
        <v>1695</v>
      </c>
      <c r="B28" s="220">
        <v>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9.4" thickBot="1">
      <c r="A29" s="222" t="s">
        <v>1693</v>
      </c>
      <c r="B29" s="223">
        <v>0</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6" t="s">
        <v>239</v>
      </c>
      <c r="B30" s="939">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9" t="s">
        <v>240</v>
      </c>
      <c r="B31" s="221">
        <f>B30-B32</f>
        <v>150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8" t="s">
        <v>241</v>
      </c>
      <c r="B32" s="1234">
        <v>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4">
      <c r="A33" s="217" t="s">
        <v>244</v>
      </c>
      <c r="B33" s="1235">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9" t="s">
        <v>245</v>
      </c>
      <c r="B34" s="224">
        <v>0.1</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4">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4">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4">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4">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29.4" thickBot="1">
      <c r="A40" s="3019" t="s">
        <v>3322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4">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4">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4">
      <c r="A43" s="940"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4">
      <c r="A44" s="230" t="s">
        <v>251</v>
      </c>
      <c r="B44" s="233">
        <v>0.05</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4">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4">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4">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4">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4">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8.8">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4">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4">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4">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4">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4">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4">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4">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4">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4">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4" customWidth="1"/>
    <col min="2" max="2" width="23.44140625" style="2899" customWidth="1"/>
    <col min="3" max="3" width="32.21875" style="2901" customWidth="1"/>
    <col min="4" max="4" width="2.6640625" style="2901" customWidth="1"/>
    <col min="5" max="5" width="5.88671875" style="2901" customWidth="1"/>
    <col min="6" max="6" width="23.6640625" style="2899" customWidth="1"/>
    <col min="7" max="7" width="33.33203125" style="2900" customWidth="1"/>
    <col min="8" max="8" width="11.88671875" style="2899" customWidth="1"/>
    <col min="9" max="9" width="16.77734375" style="2900" customWidth="1"/>
    <col min="10" max="10" width="2.6640625" style="2901" customWidth="1"/>
    <col min="11" max="11" width="11.88671875" style="2899" customWidth="1"/>
    <col min="12" max="12" width="16.77734375" style="2900" customWidth="1"/>
    <col min="13" max="13" width="2.6640625" style="2901" customWidth="1"/>
    <col min="14" max="14" width="11.88671875" style="2899" customWidth="1"/>
    <col min="15" max="15" width="16.77734375" style="2900" customWidth="1"/>
    <col min="16" max="16" width="2.6640625" style="2901" customWidth="1"/>
    <col min="17" max="17" width="11.88671875" style="2899" customWidth="1"/>
    <col min="18" max="18" width="16.77734375" style="2902" customWidth="1"/>
    <col min="19" max="16384" width="9" style="2864"/>
  </cols>
  <sheetData>
    <row r="1" spans="1:18" s="2858" customFormat="1" ht="18" thickBot="1">
      <c r="A1" s="3776" t="s">
        <v>1198</v>
      </c>
      <c r="B1" s="3777"/>
      <c r="C1" s="3777"/>
      <c r="D1" s="3777"/>
      <c r="E1" s="3777"/>
      <c r="F1" s="3777"/>
      <c r="G1" s="3777"/>
      <c r="H1" s="2853"/>
      <c r="I1" s="2854"/>
      <c r="J1" s="2855"/>
      <c r="K1" s="2853"/>
      <c r="L1" s="2854"/>
      <c r="M1" s="2855"/>
      <c r="N1" s="2853"/>
      <c r="O1" s="2854"/>
      <c r="P1" s="2855"/>
      <c r="Q1" s="2856"/>
      <c r="R1" s="2857"/>
    </row>
    <row r="2" spans="1:18" ht="15" thickBot="1">
      <c r="A2" s="2859"/>
      <c r="B2" s="2860"/>
      <c r="C2" s="2861" t="s">
        <v>1199</v>
      </c>
      <c r="D2" s="2862"/>
      <c r="E2" s="2859"/>
      <c r="F2" s="2863"/>
      <c r="G2" s="2861" t="s">
        <v>1200</v>
      </c>
      <c r="H2" s="2864"/>
      <c r="I2" s="2864"/>
      <c r="J2" s="2864"/>
      <c r="K2" s="2864"/>
      <c r="L2" s="2864"/>
      <c r="M2" s="2864"/>
      <c r="N2" s="2864"/>
      <c r="O2" s="2864"/>
      <c r="P2" s="2864"/>
      <c r="Q2" s="2864"/>
      <c r="R2" s="2864"/>
    </row>
    <row r="3" spans="1:18" ht="43.2">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3.2">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3.2">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3.2">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9.4"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8.8">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7.399999999999999">
      <c r="A12" s="2889"/>
      <c r="B12" s="2877"/>
      <c r="C12" s="2868"/>
      <c r="D12" s="2891"/>
      <c r="E12" s="2868"/>
      <c r="F12" s="2877"/>
      <c r="G12" s="2890"/>
      <c r="H12" s="2892"/>
      <c r="I12" s="2893"/>
      <c r="J12" s="2892"/>
      <c r="K12" s="2892"/>
      <c r="L12" s="2894"/>
      <c r="M12" s="2892"/>
      <c r="N12" s="2895"/>
      <c r="O12" s="2896"/>
      <c r="P12" s="2897"/>
      <c r="Q12" s="2895"/>
      <c r="R12" s="2857"/>
    </row>
    <row r="13" spans="1:18" ht="18" thickBot="1">
      <c r="A13" s="2898" t="s">
        <v>1207</v>
      </c>
      <c r="B13" s="2891"/>
      <c r="C13" s="2891"/>
      <c r="D13" s="2862"/>
      <c r="E13" s="2891"/>
      <c r="F13" s="2891"/>
      <c r="G13" s="2891"/>
    </row>
    <row r="14" spans="1:18" ht="15" thickBot="1">
      <c r="A14" s="2903"/>
      <c r="B14" s="2903"/>
      <c r="C14" s="2904" t="s">
        <v>1199</v>
      </c>
      <c r="D14" s="2868"/>
      <c r="E14" s="2905"/>
      <c r="F14" s="2905"/>
      <c r="G14" s="2861" t="s">
        <v>1200</v>
      </c>
    </row>
    <row r="15" spans="1:18" ht="43.2">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3.2">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3.2">
      <c r="A17" s="2911"/>
      <c r="B17" s="2912" t="s">
        <v>1204</v>
      </c>
      <c r="C17" s="2913" t="str">
        <f>C5</f>
        <v>估价对象位于XX商圈，周边办公楼项目较多，入驻率高，办公集聚程度较好</v>
      </c>
      <c r="D17" s="2877"/>
      <c r="E17" s="2914"/>
      <c r="F17" s="2915" t="s">
        <v>1209</v>
      </c>
      <c r="G17" s="2917"/>
    </row>
    <row r="18" spans="1:7" ht="43.2">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8.8">
      <c r="A19" s="2911"/>
      <c r="B19" s="2915" t="s">
        <v>1194</v>
      </c>
      <c r="C19" s="2917"/>
      <c r="D19" s="2868"/>
      <c r="E19" s="2914"/>
      <c r="F19" s="2872" t="s">
        <v>1829</v>
      </c>
      <c r="G19" s="2916" t="str">
        <f>G5</f>
        <v>估价对象所在区域公共配套设施齐备情况</v>
      </c>
    </row>
    <row r="20" spans="1:7" ht="28.8">
      <c r="A20" s="2911"/>
      <c r="B20" s="2915" t="s">
        <v>1195</v>
      </c>
      <c r="C20" s="2913" t="str">
        <f>C9</f>
        <v>区域自然环境：；人文环境；综合评价环境状况一般</v>
      </c>
      <c r="D20" s="2877"/>
      <c r="E20" s="2914"/>
      <c r="F20" s="2872" t="s">
        <v>1830</v>
      </c>
      <c r="G20" s="2916" t="str">
        <f>G6</f>
        <v>估价对象所在区域基础设施水平</v>
      </c>
    </row>
    <row r="21" spans="1:7" ht="28.8">
      <c r="A21" s="2911"/>
      <c r="B21" s="2872" t="s">
        <v>1829</v>
      </c>
      <c r="C21" s="2916" t="str">
        <f>C7</f>
        <v>估价对象所在区域公共配套设施齐备情况</v>
      </c>
      <c r="D21" s="2868"/>
      <c r="E21" s="2914"/>
      <c r="F21" s="2915" t="s">
        <v>1196</v>
      </c>
      <c r="G21" s="2918"/>
    </row>
    <row r="22" spans="1:7">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4" sqref="G34"/>
    </sheetView>
  </sheetViews>
  <sheetFormatPr defaultColWidth="14.6640625" defaultRowHeight="14.4"/>
  <cols>
    <col min="1" max="1" width="24.33203125" style="2927" customWidth="1"/>
    <col min="2" max="16384" width="14.6640625" style="2927"/>
  </cols>
  <sheetData>
    <row r="1" spans="1:10" ht="15.6">
      <c r="A1" s="2926" t="s">
        <v>2118</v>
      </c>
      <c r="B1" s="2926">
        <f>SUM(B14:B23)</f>
        <v>146577.54999999999</v>
      </c>
      <c r="C1" s="2935"/>
      <c r="D1" s="2935"/>
      <c r="E1" s="2935"/>
      <c r="F1" s="2935"/>
      <c r="G1" s="2936"/>
      <c r="H1" s="2936"/>
      <c r="I1" s="2936"/>
      <c r="J1" s="2936"/>
    </row>
    <row r="2" spans="1:10" ht="15.6">
      <c r="A2" s="2926" t="s">
        <v>2119</v>
      </c>
      <c r="B2" s="2926">
        <f>SUM(C14:C23)</f>
        <v>69193.56</v>
      </c>
      <c r="C2" s="2935"/>
      <c r="D2" s="2935"/>
      <c r="E2" s="2935"/>
      <c r="F2" s="2935"/>
      <c r="G2" s="2936"/>
      <c r="H2" s="2936"/>
      <c r="I2" s="2936"/>
      <c r="J2" s="2936"/>
    </row>
    <row r="3" spans="1:10" ht="15.6">
      <c r="A3" s="2926" t="s">
        <v>2120</v>
      </c>
      <c r="B3" s="2928">
        <f>项目基本情况!D3</f>
        <v>44929</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 ca="1">SUM(D14:D23)</f>
        <v>256484</v>
      </c>
      <c r="C5" s="2926">
        <f ca="1">ROUND(B5*10000/$B$1,0)</f>
        <v>17498</v>
      </c>
      <c r="D5" s="2926">
        <f ca="1">ROUND(B5*10000/$B$2,0)</f>
        <v>37068</v>
      </c>
      <c r="E5" s="2935"/>
      <c r="F5" s="2935"/>
      <c r="G5" s="2936"/>
      <c r="H5" s="2936"/>
      <c r="I5" s="2936"/>
      <c r="J5" s="2936"/>
    </row>
    <row r="6" spans="1:10" ht="15.6">
      <c r="A6" s="2926" t="s">
        <v>2126</v>
      </c>
      <c r="B6" s="2926">
        <f ca="1">SUM(G14:G23)</f>
        <v>256484</v>
      </c>
      <c r="C6" s="2926">
        <f ca="1">ROUND(B6*10000/$B$1,0)</f>
        <v>17498</v>
      </c>
      <c r="D6" s="2926">
        <f ca="1">ROUND(B6*10000/$B$2,0)</f>
        <v>37068</v>
      </c>
      <c r="E6" s="2935"/>
      <c r="F6" s="2935"/>
      <c r="G6" s="2936"/>
      <c r="H6" s="2936"/>
      <c r="I6" s="2936"/>
      <c r="J6" s="2936"/>
    </row>
    <row r="7" spans="1:10" ht="15.6">
      <c r="A7" s="2926" t="s">
        <v>2127</v>
      </c>
      <c r="B7" s="2926">
        <f>SUM(H14:H23)</f>
        <v>0</v>
      </c>
      <c r="C7" s="2926">
        <f>ROUND(B7*10000/$B$1,0)</f>
        <v>0</v>
      </c>
      <c r="D7" s="2926">
        <f>ROUND(B7*10000/$B$2,0)</f>
        <v>0</v>
      </c>
      <c r="E7" s="2935"/>
      <c r="F7" s="2935"/>
      <c r="G7" s="2936"/>
      <c r="H7" s="2936"/>
      <c r="I7" s="2936"/>
      <c r="J7" s="2936"/>
    </row>
    <row r="8" spans="1:10" ht="15.6">
      <c r="A8" s="2926" t="s">
        <v>2128</v>
      </c>
      <c r="B8" s="2926">
        <f>SUM(I14:I23)</f>
        <v>0</v>
      </c>
      <c r="C8" s="2926">
        <f>ROUND(B8*10000/$B$1,0)</f>
        <v>0</v>
      </c>
      <c r="D8" s="2926">
        <f>ROUND(B8*10000/$B$2,0)</f>
        <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f>'数据-基础表'!B3</f>
        <v>146577.54999999999</v>
      </c>
      <c r="C14" s="2932">
        <f>'数据-基础表'!A3</f>
        <v>69193.56</v>
      </c>
      <c r="D14" s="2932">
        <f ca="1">结果表!G19</f>
        <v>256484</v>
      </c>
      <c r="E14" s="2932">
        <f ca="1">ROUND(D14*10000/B14,0)</f>
        <v>17498</v>
      </c>
      <c r="F14" s="2932">
        <f ca="1">ROUND(D14*10000/C14,0)</f>
        <v>37068</v>
      </c>
      <c r="G14" s="2932">
        <f ca="1">D14</f>
        <v>256484</v>
      </c>
      <c r="H14" s="2932"/>
      <c r="I14" s="2932"/>
      <c r="J14" s="2936"/>
    </row>
    <row r="15" spans="1:10" ht="15.6">
      <c r="A15" s="2931" t="s">
        <v>2135</v>
      </c>
      <c r="B15" s="2933"/>
      <c r="C15" s="2933"/>
      <c r="D15" s="2933"/>
      <c r="E15" s="2932" t="e">
        <f t="shared" ref="E15:E23" si="0">ROUND(D15*10000/B15,0)</f>
        <v>#DIV/0!</v>
      </c>
      <c r="F15" s="2932" t="e">
        <f t="shared" ref="F15:F23" si="1">ROUND(D15*10000/C15,0)</f>
        <v>#DIV/0!</v>
      </c>
      <c r="G15" s="2512"/>
      <c r="H15" s="2512"/>
      <c r="I15" s="2933"/>
      <c r="J15" s="2936"/>
    </row>
    <row r="16" spans="1:10" ht="15.6">
      <c r="A16" s="2931" t="s">
        <v>2136</v>
      </c>
      <c r="B16" s="2933"/>
      <c r="C16" s="2933"/>
      <c r="D16" s="2933"/>
      <c r="E16" s="2932" t="e">
        <f t="shared" si="0"/>
        <v>#DIV/0!</v>
      </c>
      <c r="F16" s="2932" t="e">
        <f t="shared" si="1"/>
        <v>#DIV/0!</v>
      </c>
      <c r="G16" s="2512"/>
      <c r="H16" s="2512"/>
      <c r="I16" s="2933"/>
      <c r="J16" s="2936"/>
    </row>
    <row r="17" spans="1:10" ht="15.6">
      <c r="A17" s="2931" t="s">
        <v>2137</v>
      </c>
      <c r="B17" s="2933"/>
      <c r="C17" s="2933"/>
      <c r="D17" s="2933"/>
      <c r="E17" s="2932" t="e">
        <f t="shared" si="0"/>
        <v>#DIV/0!</v>
      </c>
      <c r="F17" s="2932" t="e">
        <f t="shared" si="1"/>
        <v>#DIV/0!</v>
      </c>
      <c r="G17" s="2512"/>
      <c r="H17" s="2512"/>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F29" sqref="F29"/>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2" t="str">
        <f>项目基本情况!K2</f>
        <v>北京市出让国有建设用地使用权</v>
      </c>
      <c r="B2" s="3823"/>
      <c r="C2" s="3824"/>
      <c r="D2" s="3824"/>
      <c r="E2" s="3824"/>
      <c r="F2" s="3824"/>
      <c r="G2" s="3823"/>
      <c r="H2" s="3823"/>
      <c r="I2" s="3825"/>
      <c r="J2" s="1752"/>
      <c r="K2" s="1751"/>
      <c r="L2" s="1751"/>
      <c r="M2" s="1751"/>
      <c r="N2" s="1751"/>
      <c r="O2" s="1751"/>
      <c r="P2" s="1751"/>
      <c r="Q2" s="1751"/>
      <c r="R2" s="1751"/>
      <c r="S2" s="1751"/>
      <c r="T2" s="1751"/>
      <c r="U2" s="1751"/>
      <c r="V2" s="1751"/>
    </row>
    <row r="3" spans="1:22" ht="13.8">
      <c r="A3" s="3815" t="s">
        <v>264</v>
      </c>
      <c r="B3" s="3816"/>
      <c r="C3" s="3816"/>
      <c r="D3" s="3816"/>
      <c r="E3" s="3816"/>
      <c r="F3" s="3816"/>
      <c r="G3" s="3816"/>
      <c r="H3" s="3816"/>
      <c r="I3" s="3816"/>
      <c r="J3" s="1752"/>
      <c r="K3" s="1751"/>
      <c r="L3" s="1751"/>
      <c r="M3" s="1751"/>
      <c r="N3" s="1751"/>
      <c r="O3" s="1751"/>
      <c r="P3" s="1751"/>
      <c r="Q3" s="1751"/>
      <c r="R3" s="1751"/>
      <c r="S3" s="1751"/>
      <c r="T3" s="1751"/>
      <c r="U3" s="1751"/>
      <c r="V3" s="1751"/>
    </row>
    <row r="4" spans="1:22" ht="14.4">
      <c r="A4" s="249" t="s">
        <v>265</v>
      </c>
      <c r="B4" s="250" t="s">
        <v>266</v>
      </c>
      <c r="C4" s="251" t="s">
        <v>3409</v>
      </c>
      <c r="D4" s="251" t="s">
        <v>3410</v>
      </c>
      <c r="E4" s="3781" t="s">
        <v>267</v>
      </c>
      <c r="F4" s="3782"/>
      <c r="G4" s="3782"/>
      <c r="H4" s="3782"/>
      <c r="I4" s="3817"/>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3.8">
      <c r="A5" s="3780" t="s">
        <v>268</v>
      </c>
      <c r="B5" s="3809">
        <v>25</v>
      </c>
      <c r="C5" s="3807"/>
      <c r="D5" s="3811"/>
      <c r="E5" s="252" t="s">
        <v>269</v>
      </c>
      <c r="F5" s="253"/>
      <c r="G5" s="253"/>
      <c r="H5" s="253"/>
      <c r="I5" s="254"/>
      <c r="J5" s="1752"/>
      <c r="K5" s="1751"/>
      <c r="L5" s="1751"/>
      <c r="M5" s="1751"/>
      <c r="N5" s="1751"/>
      <c r="O5" s="1751"/>
      <c r="P5" s="1751"/>
      <c r="Q5" s="1751"/>
      <c r="R5" s="1751"/>
      <c r="S5" s="1751"/>
      <c r="T5" s="1751"/>
      <c r="U5" s="1751"/>
      <c r="V5" s="1751"/>
    </row>
    <row r="6" spans="1:22" ht="13.8">
      <c r="A6" s="3780"/>
      <c r="B6" s="3809"/>
      <c r="C6" s="3810"/>
      <c r="D6" s="3811"/>
      <c r="E6" s="252" t="s">
        <v>270</v>
      </c>
      <c r="F6" s="253"/>
      <c r="G6" s="253"/>
      <c r="H6" s="253"/>
      <c r="I6" s="254"/>
      <c r="J6" s="1752"/>
      <c r="K6" s="1751"/>
      <c r="L6" s="1751"/>
      <c r="M6" s="1751"/>
      <c r="N6" s="1751"/>
      <c r="O6" s="1751"/>
      <c r="P6" s="1751"/>
      <c r="Q6" s="1751"/>
      <c r="R6" s="1751"/>
      <c r="S6" s="1751"/>
      <c r="T6" s="1751"/>
      <c r="U6" s="1751"/>
      <c r="V6" s="1751"/>
    </row>
    <row r="7" spans="1:22" ht="13.8">
      <c r="A7" s="3780"/>
      <c r="B7" s="3809"/>
      <c r="C7" s="3808"/>
      <c r="D7" s="3811"/>
      <c r="E7" s="252" t="s">
        <v>271</v>
      </c>
      <c r="F7" s="253"/>
      <c r="G7" s="253"/>
      <c r="H7" s="253"/>
      <c r="I7" s="254"/>
      <c r="J7" s="1752"/>
      <c r="K7" s="1751"/>
      <c r="L7" s="1751"/>
      <c r="M7" s="1751"/>
      <c r="N7" s="1751"/>
      <c r="O7" s="1751"/>
      <c r="P7" s="1751"/>
      <c r="Q7" s="1751"/>
      <c r="R7" s="1751"/>
      <c r="S7" s="1751"/>
      <c r="T7" s="1751"/>
      <c r="U7" s="1751"/>
      <c r="V7" s="1751"/>
    </row>
    <row r="8" spans="1:22" ht="13.8">
      <c r="A8" s="3780" t="s">
        <v>272</v>
      </c>
      <c r="B8" s="3809">
        <v>15</v>
      </c>
      <c r="C8" s="3807"/>
      <c r="D8" s="3811"/>
      <c r="E8" s="252" t="s">
        <v>273</v>
      </c>
      <c r="F8" s="253"/>
      <c r="G8" s="253"/>
      <c r="H8" s="253"/>
      <c r="I8" s="254"/>
      <c r="J8" s="1752"/>
      <c r="K8" s="1751"/>
      <c r="L8" s="1751"/>
      <c r="M8" s="1751"/>
      <c r="N8" s="1751"/>
      <c r="O8" s="1751"/>
      <c r="P8" s="1751"/>
      <c r="Q8" s="1751"/>
      <c r="R8" s="1751"/>
      <c r="S8" s="1751"/>
      <c r="T8" s="1751"/>
      <c r="U8" s="1751"/>
      <c r="V8" s="1751"/>
    </row>
    <row r="9" spans="1:22" ht="13.8">
      <c r="A9" s="3780"/>
      <c r="B9" s="3809"/>
      <c r="C9" s="3808"/>
      <c r="D9" s="3811"/>
      <c r="E9" s="252" t="s">
        <v>274</v>
      </c>
      <c r="F9" s="253"/>
      <c r="G9" s="253"/>
      <c r="H9" s="253"/>
      <c r="I9" s="254"/>
      <c r="J9" s="1752"/>
      <c r="K9" s="1751"/>
      <c r="L9" s="1751"/>
      <c r="M9" s="1751"/>
      <c r="N9" s="1751"/>
      <c r="O9" s="1751"/>
      <c r="P9" s="1751"/>
      <c r="Q9" s="1751"/>
      <c r="R9" s="1751"/>
      <c r="S9" s="1751"/>
      <c r="T9" s="1751"/>
      <c r="U9" s="1751"/>
      <c r="V9" s="1751"/>
    </row>
    <row r="10" spans="1:22" ht="13.8">
      <c r="A10" s="3780" t="s">
        <v>275</v>
      </c>
      <c r="B10" s="3809">
        <v>15</v>
      </c>
      <c r="C10" s="3807"/>
      <c r="D10" s="3811"/>
      <c r="E10" s="252" t="s">
        <v>276</v>
      </c>
      <c r="F10" s="253"/>
      <c r="G10" s="253"/>
      <c r="H10" s="253"/>
      <c r="I10" s="254"/>
      <c r="J10" s="1752"/>
      <c r="K10" s="1751"/>
      <c r="L10" s="1751"/>
      <c r="M10" s="1751"/>
      <c r="N10" s="1751"/>
      <c r="O10" s="1751"/>
      <c r="P10" s="1751"/>
      <c r="Q10" s="1751"/>
      <c r="R10" s="1751"/>
      <c r="S10" s="1751"/>
      <c r="T10" s="1751"/>
      <c r="U10" s="1751"/>
      <c r="V10" s="1751"/>
    </row>
    <row r="11" spans="1:22" ht="13.8">
      <c r="A11" s="3780"/>
      <c r="B11" s="3809"/>
      <c r="C11" s="3808"/>
      <c r="D11" s="3811"/>
      <c r="E11" s="252" t="s">
        <v>277</v>
      </c>
      <c r="F11" s="253"/>
      <c r="G11" s="253"/>
      <c r="H11" s="253"/>
      <c r="I11" s="254"/>
      <c r="J11" s="1752"/>
      <c r="K11" s="1751"/>
      <c r="L11" s="1751"/>
      <c r="M11" s="1751"/>
      <c r="N11" s="1751"/>
      <c r="O11" s="1751"/>
      <c r="P11" s="1751"/>
      <c r="Q11" s="1751"/>
      <c r="R11" s="1751"/>
      <c r="S11" s="1751"/>
      <c r="T11" s="1751"/>
      <c r="U11" s="1751"/>
      <c r="V11" s="1751"/>
    </row>
    <row r="12" spans="1:22" ht="13.8">
      <c r="A12" s="3780" t="s">
        <v>278</v>
      </c>
      <c r="B12" s="3809">
        <v>15</v>
      </c>
      <c r="C12" s="3807"/>
      <c r="D12" s="3811"/>
      <c r="E12" s="252" t="s">
        <v>279</v>
      </c>
      <c r="F12" s="253"/>
      <c r="G12" s="253"/>
      <c r="H12" s="253"/>
      <c r="I12" s="254"/>
      <c r="J12" s="1752"/>
      <c r="K12" s="1751"/>
      <c r="L12" s="1751"/>
      <c r="M12" s="1751"/>
      <c r="N12" s="1751"/>
      <c r="O12" s="1751"/>
      <c r="P12" s="1751"/>
      <c r="Q12" s="1751"/>
      <c r="R12" s="1751"/>
      <c r="S12" s="1751"/>
      <c r="T12" s="1751"/>
      <c r="U12" s="1751"/>
      <c r="V12" s="1751"/>
    </row>
    <row r="13" spans="1:22" ht="13.8">
      <c r="A13" s="3780"/>
      <c r="B13" s="3809"/>
      <c r="C13" s="3808"/>
      <c r="D13" s="3811"/>
      <c r="E13" s="252" t="s">
        <v>280</v>
      </c>
      <c r="F13" s="253"/>
      <c r="G13" s="253"/>
      <c r="H13" s="253"/>
      <c r="I13" s="254"/>
      <c r="J13" s="1752"/>
      <c r="K13" s="1751"/>
      <c r="L13" s="1751"/>
      <c r="M13" s="1751"/>
      <c r="N13" s="1751"/>
      <c r="O13" s="1751"/>
      <c r="P13" s="1751"/>
      <c r="Q13" s="1751"/>
      <c r="R13" s="1751"/>
      <c r="S13" s="1751"/>
      <c r="T13" s="1751"/>
      <c r="U13" s="1751"/>
      <c r="V13" s="1751"/>
    </row>
    <row r="14" spans="1:22" ht="13.8">
      <c r="A14" s="3780" t="s">
        <v>281</v>
      </c>
      <c r="B14" s="3809">
        <v>30</v>
      </c>
      <c r="C14" s="3807">
        <v>5</v>
      </c>
      <c r="D14" s="3811">
        <v>5</v>
      </c>
      <c r="E14" s="252" t="s">
        <v>282</v>
      </c>
      <c r="F14" s="253"/>
      <c r="G14" s="253"/>
      <c r="H14" s="253"/>
      <c r="I14" s="254"/>
      <c r="J14" s="1752"/>
      <c r="K14" s="1751"/>
      <c r="L14" s="1751"/>
      <c r="M14" s="1751"/>
      <c r="N14" s="1751"/>
      <c r="O14" s="1751"/>
      <c r="P14" s="1751"/>
      <c r="Q14" s="1751"/>
      <c r="R14" s="1751"/>
      <c r="S14" s="1751"/>
      <c r="T14" s="1751"/>
      <c r="U14" s="1751"/>
      <c r="V14" s="1751"/>
    </row>
    <row r="15" spans="1:22" ht="13.8">
      <c r="A15" s="3780"/>
      <c r="B15" s="3809"/>
      <c r="C15" s="3810"/>
      <c r="D15" s="3811"/>
      <c r="E15" s="252" t="s">
        <v>283</v>
      </c>
      <c r="F15" s="253"/>
      <c r="G15" s="253"/>
      <c r="H15" s="253"/>
      <c r="I15" s="254"/>
      <c r="J15" s="1752"/>
      <c r="K15" s="1751"/>
      <c r="L15" s="1751"/>
      <c r="M15" s="1751"/>
      <c r="N15" s="1751"/>
      <c r="O15" s="1751"/>
      <c r="P15" s="1751"/>
      <c r="Q15" s="1751"/>
      <c r="R15" s="1751"/>
      <c r="S15" s="1751"/>
      <c r="T15" s="1751"/>
      <c r="U15" s="1751"/>
      <c r="V15" s="1751"/>
    </row>
    <row r="16" spans="1:22" ht="13.8">
      <c r="A16" s="3780"/>
      <c r="B16" s="3809"/>
      <c r="C16" s="3808"/>
      <c r="D16" s="3811"/>
      <c r="E16" s="252" t="s">
        <v>284</v>
      </c>
      <c r="F16" s="253"/>
      <c r="G16" s="253"/>
      <c r="H16" s="253"/>
      <c r="I16" s="254"/>
      <c r="J16" s="1752"/>
      <c r="K16" s="1751"/>
      <c r="L16" s="1751"/>
      <c r="M16" s="1751"/>
      <c r="N16" s="1751"/>
      <c r="O16" s="1751"/>
      <c r="P16" s="1751"/>
      <c r="Q16" s="1751"/>
      <c r="R16" s="1751"/>
      <c r="S16" s="1751"/>
      <c r="T16" s="1751"/>
      <c r="U16" s="1751"/>
      <c r="V16" s="1751"/>
    </row>
    <row r="17" spans="1:26" ht="14.4">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 customHeight="1" thickBot="1">
      <c r="A18" s="257" t="s">
        <v>286</v>
      </c>
      <c r="B18" s="101"/>
      <c r="C18" s="258">
        <f>ROUND(C17/SUM(C17:D17),2)</f>
        <v>0.5</v>
      </c>
      <c r="D18" s="258">
        <f>1-C18</f>
        <v>0.5</v>
      </c>
      <c r="E18" s="3812" t="s">
        <v>2254</v>
      </c>
      <c r="F18" s="3813"/>
      <c r="G18" s="3813"/>
      <c r="H18" s="3813"/>
      <c r="I18" s="3813"/>
      <c r="J18" s="1751"/>
      <c r="K18" s="1751"/>
      <c r="L18" s="1751"/>
      <c r="M18" s="1751"/>
      <c r="N18" s="1751"/>
      <c r="O18" s="1751"/>
      <c r="P18" s="1751"/>
      <c r="Q18" s="1751"/>
      <c r="R18" s="1751"/>
      <c r="S18" s="1751"/>
      <c r="T18" s="1751"/>
      <c r="U18" s="1751"/>
      <c r="V18" s="1751"/>
    </row>
    <row r="19" spans="1:26" ht="14.4">
      <c r="A19" s="259" t="s">
        <v>287</v>
      </c>
      <c r="B19" s="260" t="s">
        <v>288</v>
      </c>
      <c r="C19" s="261">
        <f ca="1">SUMIF(INDIRECT("'"&amp;C4&amp;"'"&amp;"!A:A"),结果表!B19,INDIRECT("'"&amp;C4&amp;"'"&amp;"!B:B"))</f>
        <v>255671</v>
      </c>
      <c r="D19" s="262">
        <f ca="1">SUMIF(INDIRECT("'"&amp;D4&amp;"'"&amp;"!A:A"),结果表!B19,INDIRECT("'"&amp;D4&amp;"'"&amp;"!B:B"))</f>
        <v>257297</v>
      </c>
      <c r="E19" s="259" t="s">
        <v>289</v>
      </c>
      <c r="F19" s="260" t="s">
        <v>288</v>
      </c>
      <c r="G19" s="263">
        <f ca="1">ROUND(C19*$C$18+D19*$D$18,0)</f>
        <v>256484</v>
      </c>
      <c r="H19" s="264" t="s">
        <v>290</v>
      </c>
      <c r="I19" s="302"/>
      <c r="J19" s="1751"/>
      <c r="K19" s="1751"/>
      <c r="L19" s="1751"/>
      <c r="M19" s="1751"/>
      <c r="N19" s="1751"/>
      <c r="O19" s="1751"/>
      <c r="P19" s="1751"/>
      <c r="Q19" s="1751"/>
      <c r="R19" s="1751"/>
      <c r="S19" s="1751"/>
      <c r="T19" s="1751"/>
      <c r="U19" s="1751"/>
      <c r="V19" s="1751"/>
    </row>
    <row r="20" spans="1:26" ht="14.4">
      <c r="A20" s="265"/>
      <c r="B20" s="266" t="s">
        <v>291</v>
      </c>
      <c r="C20" s="267">
        <f ca="1">SUMIF(INDIRECT("'"&amp;C4&amp;"'"&amp;"!A:A"),结果表!B20,INDIRECT("'"&amp;C4&amp;"'"&amp;"!B:B"))</f>
        <v>17443</v>
      </c>
      <c r="D20" s="268">
        <f ca="1">SUMIF(INDIRECT("'"&amp;D4&amp;"'"&amp;"!A:A"),结果表!B20,INDIRECT("'"&amp;D4&amp;"'"&amp;"!B:B"))</f>
        <v>17554</v>
      </c>
      <c r="E20" s="265"/>
      <c r="F20" s="266" t="s">
        <v>291</v>
      </c>
      <c r="G20" s="269">
        <f ca="1">ROUND(C20*$C$18+D20*$D$18,0)</f>
        <v>17499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36950</v>
      </c>
      <c r="D21" s="144">
        <f ca="1">SUMIF(INDIRECT("'"&amp;D4&amp;"'"&amp;"!A:A"),结果表!B21,INDIRECT("'"&amp;D4&amp;"'"&amp;"!B:B"))</f>
        <v>37185</v>
      </c>
      <c r="E21" s="265"/>
      <c r="F21" s="271" t="s">
        <v>293</v>
      </c>
      <c r="G21" s="273">
        <f ca="1">ROUND(C21*$C$18+D21*$D$18,0)</f>
        <v>37068</v>
      </c>
      <c r="H21" s="1119" t="s">
        <v>292</v>
      </c>
      <c r="I21" s="302"/>
      <c r="J21" s="1751"/>
      <c r="K21" s="1751"/>
      <c r="L21" s="1751"/>
      <c r="M21" s="1751"/>
      <c r="N21" s="1751"/>
      <c r="O21" s="1751"/>
      <c r="P21" s="1751"/>
      <c r="Q21" s="1751"/>
      <c r="R21" s="1751"/>
      <c r="S21" s="1751"/>
      <c r="T21" s="1751"/>
      <c r="U21" s="1751"/>
      <c r="V21" s="1751"/>
    </row>
    <row r="22" spans="1:26" ht="15" thickBot="1">
      <c r="A22" s="122" t="s">
        <v>294</v>
      </c>
      <c r="B22" s="1120"/>
      <c r="C22" s="1121"/>
      <c r="D22" s="274">
        <f ca="1">IF(C19&lt;D19,D19/C19-1,C19/D19-1)</f>
        <v>6.3597357541527177E-3</v>
      </c>
      <c r="E22" s="275"/>
      <c r="F22" s="276"/>
      <c r="G22" s="277">
        <f ca="1">ROUND(G19/('数据-汇总表'!D3/666.67),0)</f>
        <v>2471</v>
      </c>
      <c r="H22" s="278" t="s">
        <v>295</v>
      </c>
      <c r="I22" s="302"/>
      <c r="J22" s="1751"/>
      <c r="K22" s="1751"/>
      <c r="L22" s="1751"/>
      <c r="M22" s="1751"/>
      <c r="N22" s="1751"/>
      <c r="O22" s="1751"/>
      <c r="P22" s="1751"/>
      <c r="Q22" s="1751"/>
      <c r="R22" s="1751"/>
      <c r="S22" s="1751"/>
      <c r="T22" s="1751"/>
      <c r="U22" s="1751"/>
      <c r="V22" s="1751"/>
    </row>
    <row r="23" spans="1:26" ht="13.8"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86"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7.399999999999999">
      <c r="A25" s="3787"/>
      <c r="B25" s="1189" t="s">
        <v>297</v>
      </c>
      <c r="C25" s="281">
        <f>IF(B30=0,0,C30)</f>
        <v>0</v>
      </c>
      <c r="D25" s="282"/>
      <c r="E25" s="302"/>
      <c r="F25" s="302"/>
      <c r="G25" s="302"/>
      <c r="H25" s="302"/>
      <c r="I25" s="302"/>
      <c r="J25" s="1751"/>
      <c r="K25" s="1123" t="str">
        <f ca="1">项目基本情况!A17&amp;"国有建设用地使用权价格："&amp;O38&amp;"万元"</f>
        <v>出让国有建设用地使用权价格：256484万元</v>
      </c>
      <c r="L25" s="1124"/>
      <c r="M25" s="1124"/>
      <c r="N25" s="1124"/>
      <c r="O25" s="1125"/>
      <c r="P25" s="1751"/>
      <c r="Q25" s="1751"/>
      <c r="R25" s="1751"/>
      <c r="S25" s="1751"/>
      <c r="T25" s="1751"/>
      <c r="U25" s="1751"/>
      <c r="V25" s="1751"/>
    </row>
    <row r="26" spans="1:26" s="1122" customFormat="1" ht="17.399999999999999">
      <c r="A26" s="284" t="s">
        <v>298</v>
      </c>
      <c r="B26" s="285" t="s">
        <v>299</v>
      </c>
      <c r="C26" s="285" t="s">
        <v>300</v>
      </c>
      <c r="D26" s="286" t="s">
        <v>301</v>
      </c>
      <c r="E26" s="302"/>
      <c r="F26" s="302"/>
      <c r="G26" s="302"/>
      <c r="H26" s="302"/>
      <c r="I26" s="302"/>
      <c r="J26" s="1751"/>
      <c r="K26" s="1126" t="str">
        <f ca="1">"大写金额：人民币"&amp;NUMBERSTRING(INT(O38*10000),2)&amp;"元整"</f>
        <v>大写金额：人民币贰拾伍亿陆仟肆佰捌拾肆万元整</v>
      </c>
      <c r="L26" s="1120"/>
      <c r="M26" s="1120"/>
      <c r="N26" s="1120"/>
      <c r="O26" s="1119"/>
      <c r="P26" s="1751"/>
      <c r="Q26" s="1751"/>
      <c r="R26" s="1751"/>
      <c r="S26" s="1751"/>
      <c r="T26" s="1751"/>
      <c r="U26" s="1751"/>
      <c r="V26" s="1751"/>
      <c r="W26" s="283"/>
      <c r="X26" s="283"/>
      <c r="Y26" s="283"/>
      <c r="Z26" s="283"/>
    </row>
    <row r="27" spans="1:26" ht="17.399999999999999">
      <c r="A27" s="284"/>
      <c r="B27" s="285"/>
      <c r="C27" s="3683" t="s">
        <v>3411</v>
      </c>
      <c r="D27" s="286">
        <f ca="1">G19-面积表、补缴!G6</f>
        <v>252969.86029352501</v>
      </c>
      <c r="E27" s="302"/>
      <c r="F27" s="302"/>
      <c r="G27" s="302"/>
      <c r="H27" s="302"/>
      <c r="I27" s="302"/>
      <c r="J27" s="1751"/>
      <c r="K27" s="1126" t="str">
        <f ca="1">"单位面积地价："&amp;M38&amp;"元/平方米"</f>
        <v>单位面积地价：37068元/平方米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楼面地价：17498元/平方米</v>
      </c>
      <c r="L28" s="1120"/>
      <c r="M28" s="1120"/>
      <c r="N28" s="1120"/>
      <c r="O28" s="1119"/>
      <c r="P28" s="1751"/>
      <c r="V28" s="1751"/>
    </row>
    <row r="29" spans="1:26" ht="17.399999999999999">
      <c r="A29" s="284"/>
      <c r="B29" s="285"/>
      <c r="C29" s="285"/>
      <c r="D29" s="286"/>
      <c r="E29" s="302"/>
      <c r="F29" s="302"/>
      <c r="G29" s="302"/>
      <c r="H29" s="302"/>
      <c r="I29" s="302"/>
      <c r="J29" s="1751"/>
      <c r="K29" s="1126" t="str">
        <f ca="1">IF(OR(项目基本情况!E8="抵押价格",项目基本情况!E8="已注销及未注销"),"抵押价格："&amp;O39&amp;"万元","——")</f>
        <v>抵押价格：256484万元</v>
      </c>
      <c r="L29" s="1120"/>
      <c r="M29" s="1120"/>
      <c r="N29" s="1120"/>
      <c r="O29" s="1119"/>
      <c r="P29" s="1751"/>
      <c r="V29" s="1751"/>
    </row>
    <row r="30" spans="1:26" ht="18" thickBot="1">
      <c r="A30" s="2553" t="s">
        <v>302</v>
      </c>
      <c r="B30" s="300"/>
      <c r="C30" s="300"/>
      <c r="D30" s="301"/>
      <c r="E30" s="2744" t="s">
        <v>2255</v>
      </c>
      <c r="F30" s="302"/>
      <c r="G30" s="302"/>
      <c r="H30" s="302"/>
      <c r="I30" s="302"/>
      <c r="J30" s="1751"/>
      <c r="K30" s="1126" t="str">
        <f ca="1">IF(K29="——","——","大写金额：人民币"&amp;NUMBERSTRING(INT(O39*10000),2)&amp;"元整")</f>
        <v>大写金额：人民币贰拾伍亿陆仟肆佰捌拾肆万元整</v>
      </c>
      <c r="L30" s="1120"/>
      <c r="M30" s="1120"/>
      <c r="N30" s="1120"/>
      <c r="O30" s="1119"/>
      <c r="P30" s="1751"/>
      <c r="V30" s="1751"/>
    </row>
    <row r="31" spans="1:26" ht="24" customHeight="1" thickBot="1">
      <c r="A31" s="3814" t="s">
        <v>2256</v>
      </c>
      <c r="B31" s="3814"/>
      <c r="C31" s="3814"/>
      <c r="D31" s="3814"/>
      <c r="E31" s="3814"/>
      <c r="F31" s="3814"/>
      <c r="G31" s="3814"/>
      <c r="H31" s="3814"/>
      <c r="I31" s="3814"/>
      <c r="J31" s="1751"/>
      <c r="K31" s="2117" t="str">
        <f>IF(项目基本情况!E8="抵押价格","——","抵押担保权已注销时的抵押价格："&amp;O40&amp;"万元")</f>
        <v>——</v>
      </c>
      <c r="L31" s="2113"/>
      <c r="M31" s="2113"/>
      <c r="N31" s="2113"/>
      <c r="O31" s="2114"/>
      <c r="P31" s="1751"/>
      <c r="V31" s="1751"/>
    </row>
    <row r="32" spans="1:26" ht="18.600000000000001" thickTop="1" thickBot="1">
      <c r="A32" s="265" t="s">
        <v>303</v>
      </c>
      <c r="B32" s="2745" t="s">
        <v>1221</v>
      </c>
      <c r="C32" s="257">
        <f ca="1">G19-C24</f>
        <v>256484</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 thickBot="1">
      <c r="A33" s="289" t="s">
        <v>306</v>
      </c>
      <c r="B33" s="1238" t="s">
        <v>1223</v>
      </c>
      <c r="C33" s="255">
        <f ca="1">ROUND(C32*10000/'数据-汇总表'!E3,0)</f>
        <v>17498</v>
      </c>
      <c r="D33" s="1239" t="s">
        <v>1224</v>
      </c>
      <c r="E33" s="3786"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 thickBot="1">
      <c r="A34" s="291"/>
      <c r="B34" s="1240" t="s">
        <v>1225</v>
      </c>
      <c r="C34" s="255">
        <f ca="1">ROUND(C32*10000/'数据-汇总表'!D3,0)</f>
        <v>37068</v>
      </c>
      <c r="D34" s="1241" t="s">
        <v>1224</v>
      </c>
      <c r="E34" s="3830"/>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 thickBot="1">
      <c r="A35" s="275"/>
      <c r="B35" s="1242"/>
      <c r="C35" s="1243">
        <f ca="1">ROUND(C32/('数据-汇总表'!D3/666.67),0)</f>
        <v>2471</v>
      </c>
      <c r="D35" s="1244" t="s">
        <v>1226</v>
      </c>
      <c r="E35" s="3831"/>
      <c r="F35" s="292" t="s">
        <v>308</v>
      </c>
      <c r="G35" s="943"/>
      <c r="H35" s="942" t="s">
        <v>309</v>
      </c>
      <c r="I35" s="302"/>
      <c r="J35" s="1751"/>
      <c r="K35" s="3804" t="s">
        <v>316</v>
      </c>
      <c r="L35" s="3804" t="s">
        <v>317</v>
      </c>
      <c r="M35" s="1132" t="s">
        <v>318</v>
      </c>
      <c r="N35" s="3804" t="s">
        <v>319</v>
      </c>
      <c r="O35" s="3804" t="s">
        <v>320</v>
      </c>
      <c r="P35" s="1751"/>
      <c r="V35" s="1751"/>
    </row>
    <row r="36" spans="1:26" ht="16.5" customHeight="1">
      <c r="A36" s="294" t="s">
        <v>310</v>
      </c>
      <c r="B36" s="295" t="s">
        <v>299</v>
      </c>
      <c r="C36" s="296" t="s">
        <v>311</v>
      </c>
      <c r="D36" s="296" t="s">
        <v>312</v>
      </c>
      <c r="E36" s="297" t="s">
        <v>313</v>
      </c>
      <c r="F36" s="302"/>
      <c r="G36" s="302"/>
      <c r="H36" s="302"/>
      <c r="I36" s="302"/>
      <c r="J36" s="1753"/>
      <c r="K36" s="3805"/>
      <c r="L36" s="3805"/>
      <c r="M36" s="1134" t="s">
        <v>321</v>
      </c>
      <c r="N36" s="3805"/>
      <c r="O36" s="3805"/>
      <c r="P36" s="1751"/>
      <c r="V36" s="1751"/>
    </row>
    <row r="37" spans="1:26" ht="16.5" customHeight="1" thickBot="1">
      <c r="A37" s="1128" t="s">
        <v>314</v>
      </c>
      <c r="B37" s="298"/>
      <c r="C37" s="285"/>
      <c r="D37" s="285"/>
      <c r="E37" s="286"/>
      <c r="F37" s="302"/>
      <c r="G37" s="302"/>
      <c r="H37" s="302"/>
      <c r="I37" s="302"/>
      <c r="J37" s="1753"/>
      <c r="K37" s="3806"/>
      <c r="L37" s="3806"/>
      <c r="M37" s="1135"/>
      <c r="N37" s="3806"/>
      <c r="O37" s="3806"/>
      <c r="P37" s="1751"/>
      <c r="V37" s="1751"/>
    </row>
    <row r="38" spans="1:26" ht="16.5" customHeight="1" thickBot="1">
      <c r="A38" s="1128" t="s">
        <v>315</v>
      </c>
      <c r="B38" s="298"/>
      <c r="C38" s="285"/>
      <c r="D38" s="285"/>
      <c r="E38" s="286"/>
      <c r="F38" s="302"/>
      <c r="G38" s="302"/>
      <c r="H38" s="302"/>
      <c r="I38" s="302"/>
      <c r="J38" s="1753"/>
      <c r="K38" s="1136">
        <f>'数据-汇总表'!D3</f>
        <v>69193.56</v>
      </c>
      <c r="L38" s="1137">
        <f>'数据-汇总表'!E3</f>
        <v>146577.54999999999</v>
      </c>
      <c r="M38" s="1137">
        <f ca="1">C34</f>
        <v>37068</v>
      </c>
      <c r="N38" s="1137">
        <f ca="1">C33</f>
        <v>17498</v>
      </c>
      <c r="O38" s="1138">
        <f ca="1">C32</f>
        <v>256484</v>
      </c>
      <c r="P38" s="1751"/>
      <c r="V38" s="1751"/>
    </row>
    <row r="39" spans="1:26" ht="16.5" customHeight="1" thickBot="1">
      <c r="A39" s="1133"/>
      <c r="B39" s="299"/>
      <c r="C39" s="300"/>
      <c r="D39" s="300"/>
      <c r="E39" s="301"/>
      <c r="F39" s="302"/>
      <c r="G39" s="302"/>
      <c r="H39" s="302"/>
      <c r="I39" s="302"/>
      <c r="J39" s="1753"/>
      <c r="K39" s="3844" t="str">
        <f>MID(A44,3,LEN(A44)-2)</f>
        <v>抵押价格</v>
      </c>
      <c r="L39" s="3845"/>
      <c r="M39" s="3845"/>
      <c r="N39" s="3846"/>
      <c r="O39" s="1246">
        <f ca="1">C44</f>
        <v>256484</v>
      </c>
      <c r="P39" s="1751"/>
      <c r="V39" s="1751"/>
    </row>
    <row r="40" spans="1:26" ht="18" thickBot="1">
      <c r="A40" s="100" t="s">
        <v>810</v>
      </c>
      <c r="B40" s="302"/>
      <c r="C40" s="302"/>
      <c r="D40" s="302"/>
      <c r="E40" s="302"/>
      <c r="F40" s="302"/>
      <c r="G40" s="302"/>
      <c r="H40" s="302"/>
      <c r="I40" s="302"/>
      <c r="J40" s="1753"/>
      <c r="K40" s="3844" t="str">
        <f>MID(A45,3,LEN(A45)-2)</f>
        <v/>
      </c>
      <c r="L40" s="3845"/>
      <c r="M40" s="3845"/>
      <c r="N40" s="3846"/>
      <c r="O40" s="1246" t="str">
        <f>C45</f>
        <v>——</v>
      </c>
      <c r="P40" s="1751"/>
      <c r="V40" s="1751"/>
    </row>
    <row r="41" spans="1:26" ht="16.2" thickBot="1">
      <c r="A41" s="303" t="s">
        <v>322</v>
      </c>
      <c r="B41" s="304"/>
      <c r="C41" s="305" t="s">
        <v>323</v>
      </c>
      <c r="D41" s="306" t="s">
        <v>324</v>
      </c>
      <c r="E41" s="306" t="s">
        <v>325</v>
      </c>
      <c r="F41" s="307" t="s">
        <v>326</v>
      </c>
      <c r="G41" s="302"/>
      <c r="H41" s="302"/>
      <c r="I41" s="302"/>
      <c r="J41" s="1753"/>
      <c r="K41" s="3844" t="str">
        <f>MID(A46,3,LEN(A46)-2)</f>
        <v/>
      </c>
      <c r="L41" s="3845"/>
      <c r="M41" s="3845"/>
      <c r="N41" s="3846"/>
      <c r="O41" s="1246" t="str">
        <f>C46</f>
        <v>——</v>
      </c>
      <c r="P41" s="1751"/>
      <c r="V41" s="1751"/>
    </row>
    <row r="42" spans="1:26" ht="31.2">
      <c r="A42" s="3788" t="s">
        <v>1585</v>
      </c>
      <c r="B42" s="3789"/>
      <c r="C42" s="255">
        <f ca="1">C32</f>
        <v>256484</v>
      </c>
      <c r="D42" s="308">
        <f ca="1">C33</f>
        <v>17498</v>
      </c>
      <c r="E42" s="308">
        <f ca="1">C34</f>
        <v>37068</v>
      </c>
      <c r="F42" s="309">
        <f ca="1">C35</f>
        <v>2471</v>
      </c>
      <c r="G42" s="302"/>
      <c r="H42" s="302"/>
      <c r="I42" s="310"/>
      <c r="J42" s="1753"/>
      <c r="K42" s="1139" t="s">
        <v>327</v>
      </c>
      <c r="L42" s="1770" t="s">
        <v>328</v>
      </c>
      <c r="M42" s="1140" t="s">
        <v>329</v>
      </c>
      <c r="N42" s="1771" t="s">
        <v>330</v>
      </c>
      <c r="O42" s="1772" t="s">
        <v>331</v>
      </c>
      <c r="P42" s="1751"/>
      <c r="V42" s="1751"/>
    </row>
    <row r="43" spans="1:26" ht="30">
      <c r="A43" s="3799" t="s">
        <v>2012</v>
      </c>
      <c r="B43" s="3800"/>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255671</v>
      </c>
      <c r="M43" s="1143">
        <f>C18</f>
        <v>0.5</v>
      </c>
      <c r="N43" s="1144">
        <f ca="1">IF(N42="测算结果/万元",G19,G20)</f>
        <v>256484</v>
      </c>
      <c r="O43" s="1145">
        <f ca="1">IF(O42="最终结果/万元",C32,C33)</f>
        <v>256484</v>
      </c>
      <c r="P43" s="1751"/>
      <c r="V43" s="1751"/>
    </row>
    <row r="44" spans="1:26" ht="30.6" thickBot="1">
      <c r="A44" s="3788" t="str">
        <f>IF(OR(项目基本情况!E8="抵押价格",项目基本情况!E8="已注销及未注销"),"3.抵押价格","——")</f>
        <v>3.抵押价格</v>
      </c>
      <c r="B44" s="3789"/>
      <c r="C44" s="255">
        <f ca="1">IF(A44="——","——",C42-C43)</f>
        <v>256484</v>
      </c>
      <c r="D44" s="308">
        <f ca="1">ROUND(C44*10000/'数据-汇总表'!E3,0)</f>
        <v>17498</v>
      </c>
      <c r="E44" s="308">
        <f ca="1">ROUND(C44*10000/'数据-汇总表'!D3,0)</f>
        <v>37068</v>
      </c>
      <c r="F44" s="309">
        <f ca="1">ROUND(C44/('数据-汇总表'!D3/666.67),0)</f>
        <v>2471</v>
      </c>
      <c r="G44" s="302"/>
      <c r="H44" s="302"/>
      <c r="I44" s="310"/>
      <c r="J44" s="1753"/>
      <c r="K44" s="1146" t="str">
        <f>D4</f>
        <v>剩余法-待开发</v>
      </c>
      <c r="L44" s="1147">
        <f ca="1">IF(L42="估价结果/万元",D19,D20)</f>
        <v>257297</v>
      </c>
      <c r="M44" s="1148">
        <f>D18</f>
        <v>0.5</v>
      </c>
      <c r="N44" s="1149"/>
      <c r="O44" s="1150"/>
      <c r="P44" s="1751"/>
      <c r="V44" s="1751"/>
    </row>
    <row r="45" spans="1:26" ht="13.8">
      <c r="A45" s="3794" t="str">
        <f>IF(项目基本情况!E8="已注销及未注销","4.抵押担保权已注销时的抵押价格",IF(项目基本情况!E8="已注销","3.抵押担保权已注销时的抵押价格","——"))</f>
        <v>——</v>
      </c>
      <c r="B45" s="3795"/>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4.4" thickBot="1">
      <c r="A46" s="3790" t="str">
        <f>IF(项目基本情况!E9="抵押净值",IF(A45="——","4.抵押净值","5.抵押净值"),"——")</f>
        <v>——</v>
      </c>
      <c r="B46" s="3791"/>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6">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3.2">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3.2">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3.2">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3.2">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3.2">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3.2">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3.2">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3.2">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3.2">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3.2">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3.2">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3.2">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3.2">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38" t="s">
        <v>340</v>
      </c>
      <c r="B63" s="3839"/>
      <c r="C63" s="3840"/>
      <c r="D63" s="332">
        <f ca="1">ROUND(C42*F63,0)</f>
        <v>256484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96" t="s">
        <v>344</v>
      </c>
      <c r="B64" s="3797"/>
      <c r="C64" s="3797"/>
      <c r="D64" s="3797"/>
      <c r="E64" s="3797"/>
      <c r="F64" s="3797"/>
      <c r="G64" s="3798"/>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6.4">
      <c r="A66" s="3792" t="s">
        <v>352</v>
      </c>
      <c r="B66" s="3793"/>
      <c r="C66" s="3793"/>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7"/>
      <c r="K66" s="1159">
        <v>1</v>
      </c>
      <c r="L66" s="3853" t="s">
        <v>351</v>
      </c>
      <c r="M66" s="3854"/>
      <c r="N66" s="2109"/>
      <c r="O66" s="2110"/>
      <c r="P66" s="2111"/>
      <c r="Q66" s="1751"/>
      <c r="R66" s="1751"/>
      <c r="S66" s="1751"/>
      <c r="T66" s="1751"/>
      <c r="U66" s="1751"/>
      <c r="V66" s="1751"/>
    </row>
    <row r="67" spans="1:22" ht="25.5" customHeight="1">
      <c r="A67" s="343" t="s">
        <v>355</v>
      </c>
      <c r="B67" s="3783" t="s">
        <v>356</v>
      </c>
      <c r="C67" s="3783"/>
      <c r="D67" s="344">
        <v>0</v>
      </c>
      <c r="E67" s="39" t="s">
        <v>357</v>
      </c>
      <c r="F67" s="60" t="s">
        <v>15</v>
      </c>
      <c r="G67" s="3841"/>
      <c r="H67" s="2747" t="s">
        <v>2257</v>
      </c>
      <c r="I67" s="2749"/>
      <c r="J67" s="1758"/>
      <c r="K67" s="1730">
        <v>2</v>
      </c>
      <c r="L67" s="3847" t="s">
        <v>354</v>
      </c>
      <c r="M67" s="3847"/>
      <c r="N67" s="1193">
        <f>'数据-取费表'!B2</f>
        <v>44929</v>
      </c>
      <c r="O67" s="1193"/>
      <c r="P67" s="1193"/>
      <c r="Q67" s="1751"/>
      <c r="R67" s="1751"/>
      <c r="S67" s="1751"/>
      <c r="T67" s="1751"/>
      <c r="U67" s="1751"/>
      <c r="V67" s="1751"/>
    </row>
    <row r="68" spans="1:22" ht="25.5" customHeight="1">
      <c r="A68" s="345"/>
      <c r="B68" s="3783" t="s">
        <v>359</v>
      </c>
      <c r="C68" s="3783"/>
      <c r="D68" s="346"/>
      <c r="E68" s="75"/>
      <c r="F68" s="347"/>
      <c r="G68" s="3842"/>
      <c r="H68" s="2748" t="s">
        <v>2258</v>
      </c>
      <c r="I68" s="2749"/>
      <c r="J68" s="1758"/>
      <c r="K68" s="1730">
        <v>3</v>
      </c>
      <c r="L68" s="3847" t="s">
        <v>358</v>
      </c>
      <c r="M68" s="3847"/>
      <c r="N68" s="1161">
        <f ca="1">C42</f>
        <v>256484</v>
      </c>
      <c r="O68" s="1161"/>
      <c r="P68" s="1161"/>
      <c r="Q68" s="1751"/>
      <c r="R68" s="1751"/>
      <c r="S68" s="1751"/>
      <c r="T68" s="1751"/>
      <c r="U68" s="1751"/>
      <c r="V68" s="1751"/>
    </row>
    <row r="69" spans="1:22" ht="23.4" customHeight="1">
      <c r="A69" s="348"/>
      <c r="B69" s="3783" t="s">
        <v>360</v>
      </c>
      <c r="C69" s="3783"/>
      <c r="D69" s="349"/>
      <c r="E69" s="71"/>
      <c r="F69" s="347"/>
      <c r="G69" s="3843"/>
      <c r="H69" s="2748" t="s">
        <v>2259</v>
      </c>
      <c r="I69" s="2749"/>
      <c r="J69" s="1758"/>
      <c r="K69" s="1162">
        <v>4</v>
      </c>
      <c r="L69" s="3857" t="s">
        <v>2157</v>
      </c>
      <c r="M69" s="3858"/>
      <c r="N69" s="1163">
        <f ca="1">C44</f>
        <v>256484</v>
      </c>
      <c r="O69" s="1163"/>
      <c r="P69" s="1163"/>
      <c r="Q69" s="1751"/>
      <c r="R69" s="1751"/>
      <c r="S69" s="1751"/>
      <c r="T69" s="1751"/>
      <c r="U69" s="1751"/>
      <c r="V69" s="1751"/>
    </row>
    <row r="70" spans="1:22" ht="24" customHeight="1">
      <c r="A70" s="350" t="s">
        <v>361</v>
      </c>
      <c r="B70" s="3783" t="s">
        <v>362</v>
      </c>
      <c r="C70" s="3783"/>
      <c r="D70" s="349">
        <f ca="1">ROUND(D63*'数据-取费表'!B41/(1+'数据-取费表'!C42),0)</f>
        <v>13435</v>
      </c>
      <c r="E70" s="15" t="s">
        <v>363</v>
      </c>
      <c r="F70" s="351">
        <f>'数据-取费表'!B41</f>
        <v>5.5000000000000007E-2</v>
      </c>
      <c r="G70" s="352"/>
      <c r="H70" s="302"/>
      <c r="I70" s="1160"/>
      <c r="J70" s="1758"/>
      <c r="K70" s="2520"/>
      <c r="L70" s="2521"/>
      <c r="M70" s="2521"/>
      <c r="N70" s="2522" t="s">
        <v>2161</v>
      </c>
      <c r="O70" s="2521"/>
      <c r="P70" s="2523"/>
      <c r="Q70" s="1751"/>
      <c r="R70" s="1751"/>
      <c r="S70" s="1751"/>
      <c r="T70" s="1751"/>
      <c r="U70" s="1751"/>
      <c r="V70" s="1751"/>
    </row>
    <row r="71" spans="1:22" ht="12" customHeight="1">
      <c r="A71" s="350" t="s">
        <v>369</v>
      </c>
      <c r="B71" s="3784" t="s">
        <v>2286</v>
      </c>
      <c r="C71" s="3785"/>
      <c r="D71" s="349">
        <f ca="1">ROUND(D63*'数据-取费表'!B41/(1+'数据-取费表'!C42),0)</f>
        <v>13435</v>
      </c>
      <c r="E71" s="15" t="s">
        <v>363</v>
      </c>
      <c r="F71" s="351">
        <f>'数据-取费表'!B41</f>
        <v>5.5000000000000007E-2</v>
      </c>
      <c r="G71" s="352"/>
      <c r="H71" s="302"/>
      <c r="I71" s="1160"/>
      <c r="J71" s="1758"/>
      <c r="K71" s="2519" t="s">
        <v>364</v>
      </c>
      <c r="L71" s="3859" t="s">
        <v>365</v>
      </c>
      <c r="M71" s="3859"/>
      <c r="N71" s="2519" t="s">
        <v>366</v>
      </c>
      <c r="O71" s="2519" t="s">
        <v>367</v>
      </c>
      <c r="P71" s="2519" t="s">
        <v>368</v>
      </c>
      <c r="Q71" s="1751"/>
      <c r="R71" s="1751"/>
      <c r="S71" s="1751"/>
      <c r="T71" s="1751"/>
      <c r="U71" s="1751"/>
      <c r="V71" s="1751"/>
    </row>
    <row r="72" spans="1:22" ht="12" customHeight="1">
      <c r="A72" s="350" t="s">
        <v>371</v>
      </c>
      <c r="B72" s="3784" t="s">
        <v>2287</v>
      </c>
      <c r="C72" s="3785"/>
      <c r="D72" s="349">
        <f ca="1">C86</f>
        <v>13435</v>
      </c>
      <c r="E72" s="71" t="s">
        <v>372</v>
      </c>
      <c r="F72" s="351">
        <f>'数据-取费表'!B41</f>
        <v>5.5000000000000007E-2</v>
      </c>
      <c r="G72" s="352"/>
      <c r="H72" s="1166"/>
      <c r="I72" s="1160"/>
      <c r="J72" s="1758"/>
      <c r="K72" s="1730">
        <v>1</v>
      </c>
      <c r="L72" s="3834" t="s">
        <v>370</v>
      </c>
      <c r="M72" s="3834"/>
      <c r="N72" s="1164" t="b">
        <f>D66</f>
        <v>0</v>
      </c>
      <c r="O72" s="1635" t="str">
        <f>E66</f>
        <v>销售额×税（费）率</v>
      </c>
      <c r="P72" s="1165">
        <f>F66</f>
        <v>5.5000000000000007E-2</v>
      </c>
      <c r="Q72" s="1751"/>
      <c r="R72" s="1751"/>
      <c r="S72" s="1751"/>
      <c r="T72" s="1751"/>
      <c r="U72" s="1751"/>
      <c r="V72" s="1751"/>
    </row>
    <row r="73" spans="1:22" ht="24" customHeight="1">
      <c r="A73" s="3829" t="s">
        <v>374</v>
      </c>
      <c r="B73" s="3793"/>
      <c r="C73" s="3793"/>
      <c r="D73" s="353">
        <f ca="1">IF(H73="个人住宅",0,ROUND(D63*I73,0))</f>
        <v>128</v>
      </c>
      <c r="E73" s="15" t="s">
        <v>375</v>
      </c>
      <c r="F73" s="351" t="str">
        <f>IF(H73="正常",I73,"免征")</f>
        <v>免征</v>
      </c>
      <c r="G73" s="352"/>
      <c r="H73" s="184"/>
      <c r="I73" s="351">
        <f>'数据-取费表'!B49</f>
        <v>5.0000000000000001E-4</v>
      </c>
      <c r="J73" s="1758"/>
      <c r="K73" s="1730">
        <v>2</v>
      </c>
      <c r="L73" s="3834" t="s">
        <v>373</v>
      </c>
      <c r="M73" s="3834"/>
      <c r="N73" s="1164">
        <f t="shared" ref="N73:P74" ca="1" si="0">D73</f>
        <v>128</v>
      </c>
      <c r="O73" s="1635" t="str">
        <f t="shared" si="0"/>
        <v>销售额×税（费）率</v>
      </c>
      <c r="P73" s="1165" t="str">
        <f t="shared" si="0"/>
        <v>免征</v>
      </c>
      <c r="Q73" s="1751"/>
      <c r="R73" s="1751"/>
      <c r="S73" s="1751"/>
      <c r="T73" s="1751"/>
      <c r="U73" s="1751"/>
      <c r="V73" s="1751"/>
    </row>
    <row r="74" spans="1:22" ht="25.2">
      <c r="A74" s="3829" t="s">
        <v>377</v>
      </c>
      <c r="B74" s="3793"/>
      <c r="C74" s="3793"/>
      <c r="D74" s="353">
        <f ca="1">IF(H74="个人住宅",D75,D76)</f>
        <v>145402</v>
      </c>
      <c r="E74" s="15" t="s">
        <v>378</v>
      </c>
      <c r="F74" s="351" t="str">
        <f>IF(H74="正常",F76,"免征")</f>
        <v>免征</v>
      </c>
      <c r="G74" s="944" t="s">
        <v>379</v>
      </c>
      <c r="H74" s="354"/>
      <c r="I74" s="40"/>
      <c r="J74" s="1758"/>
      <c r="K74" s="1730">
        <v>3</v>
      </c>
      <c r="L74" s="3834" t="s">
        <v>376</v>
      </c>
      <c r="M74" s="3834"/>
      <c r="N74" s="1164">
        <f t="shared" ca="1" si="0"/>
        <v>145402</v>
      </c>
      <c r="O74" s="1635" t="str">
        <f t="shared" si="0"/>
        <v>增值额×税（费）率</v>
      </c>
      <c r="P74" s="1167" t="str">
        <f t="shared" si="0"/>
        <v>免征</v>
      </c>
      <c r="Q74" s="1751"/>
      <c r="R74" s="1751"/>
      <c r="S74" s="1751"/>
      <c r="T74" s="1751"/>
      <c r="U74" s="1751"/>
      <c r="V74" s="1751"/>
    </row>
    <row r="75" spans="1:22" ht="13.2">
      <c r="A75" s="350" t="s">
        <v>380</v>
      </c>
      <c r="B75" s="3781" t="s">
        <v>381</v>
      </c>
      <c r="C75" s="3817"/>
      <c r="D75" s="355">
        <v>0</v>
      </c>
      <c r="E75" s="39" t="s">
        <v>382</v>
      </c>
      <c r="F75" s="356"/>
      <c r="G75" s="352"/>
      <c r="H75" s="40"/>
      <c r="I75" s="40"/>
      <c r="J75" s="1758"/>
      <c r="K75" s="2513">
        <f>IF(H77="非个人房产","",4)</f>
        <v>4</v>
      </c>
      <c r="L75" s="3834" t="str">
        <f>IF(H77="非个人房产","——","个人所得税")</f>
        <v>个人所得税</v>
      </c>
      <c r="M75" s="3834"/>
      <c r="N75" s="1168">
        <f>D77</f>
        <v>0</v>
      </c>
      <c r="O75" s="1636" t="str">
        <f>E77</f>
        <v>差额计税</v>
      </c>
      <c r="P75" s="1169">
        <f>F77</f>
        <v>0.01</v>
      </c>
      <c r="Q75" s="1751"/>
      <c r="R75" s="1751"/>
      <c r="S75" s="1751"/>
      <c r="T75" s="1751"/>
      <c r="U75" s="1751"/>
      <c r="V75" s="1751"/>
    </row>
    <row r="76" spans="1:22" ht="25.2">
      <c r="A76" s="350" t="s">
        <v>361</v>
      </c>
      <c r="B76" s="3781" t="s">
        <v>384</v>
      </c>
      <c r="C76" s="3782"/>
      <c r="D76" s="353">
        <f ca="1">IF(H76="转让取得",C99,C115)</f>
        <v>145402</v>
      </c>
      <c r="E76" s="15" t="s">
        <v>385</v>
      </c>
      <c r="F76" s="51" t="s">
        <v>15</v>
      </c>
      <c r="G76" s="352"/>
      <c r="H76" s="354"/>
      <c r="I76" s="40"/>
      <c r="J76" s="1758"/>
      <c r="K76" s="2513" t="str">
        <f>IF(项目基本情况!K6="上海银行",IF(K75="",4,K75+1),"")</f>
        <v/>
      </c>
      <c r="L76" s="3849" t="str">
        <f>IF(项目基本情况!K6="上海银行","其他处置费用","")</f>
        <v/>
      </c>
      <c r="M76" s="3850"/>
      <c r="N76" s="1164" t="str">
        <f>IF(项目基本情况!K6="上海银行",N89,"")</f>
        <v/>
      </c>
      <c r="O76" s="3851" t="str">
        <f>IF(项目基本情况!K6="上海银行","包含处置中涉及的律师、诉讼、拍卖、评估等费用","")</f>
        <v/>
      </c>
      <c r="P76" s="3852"/>
      <c r="Q76" s="1751"/>
      <c r="R76" s="1751"/>
      <c r="S76" s="1751"/>
      <c r="T76" s="1751"/>
      <c r="U76" s="1751"/>
      <c r="V76" s="1751"/>
    </row>
    <row r="77" spans="1:22" ht="24.6" thickBot="1">
      <c r="A77" s="3836" t="s">
        <v>387</v>
      </c>
      <c r="B77" s="3837"/>
      <c r="C77" s="3837"/>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2260</v>
      </c>
      <c r="J77" s="1758"/>
      <c r="K77" s="3835">
        <f>IF(AND(K75="",K76=""),4,IF(项目基本情况!K6="上海银行",K76+1,K75+1))</f>
        <v>5</v>
      </c>
      <c r="L77" s="3834" t="s">
        <v>2158</v>
      </c>
      <c r="M77" s="2518" t="s">
        <v>383</v>
      </c>
      <c r="N77" s="1170"/>
      <c r="O77" s="1171">
        <f ca="1">SUMIF(N72:N76,"&lt;9e307")</f>
        <v>145530</v>
      </c>
      <c r="P77" s="1172"/>
      <c r="Q77" s="2516">
        <f ca="1">O77/N69</f>
        <v>0.56740381466290291</v>
      </c>
      <c r="R77" s="1751"/>
      <c r="S77" s="1751"/>
      <c r="T77" s="1751"/>
      <c r="U77" s="1751"/>
      <c r="V77" s="1751"/>
    </row>
    <row r="78" spans="1:22" ht="12" customHeight="1">
      <c r="A78" s="1173"/>
      <c r="B78" s="302"/>
      <c r="C78" s="302"/>
      <c r="D78" s="302"/>
      <c r="E78" s="40"/>
      <c r="F78" s="40"/>
      <c r="G78" s="40"/>
      <c r="H78" s="964"/>
      <c r="I78" s="302"/>
      <c r="J78" s="1758"/>
      <c r="K78" s="3835"/>
      <c r="L78" s="3834"/>
      <c r="M78" s="2518" t="s">
        <v>386</v>
      </c>
      <c r="N78" s="1170"/>
      <c r="O78" s="1171" t="str">
        <f ca="1">NUMBERSTRING(INT(O77*10000),2)&amp;"元整"</f>
        <v>壹拾肆亿伍仟伍佰叁拾万元整</v>
      </c>
      <c r="P78" s="1172"/>
      <c r="Q78" s="1751"/>
      <c r="R78" s="1751"/>
      <c r="S78" s="1751"/>
      <c r="T78" s="1751"/>
      <c r="U78" s="1751"/>
      <c r="V78" s="1751"/>
    </row>
    <row r="79" spans="1:22" ht="13.8" thickBot="1">
      <c r="A79" s="3801" t="s">
        <v>388</v>
      </c>
      <c r="B79" s="3801"/>
      <c r="C79" s="3801"/>
      <c r="D79" s="3801"/>
      <c r="E79" s="3801"/>
      <c r="F79" s="40"/>
      <c r="G79" s="40"/>
      <c r="H79" s="964"/>
      <c r="I79" s="302"/>
      <c r="J79" s="1758"/>
      <c r="K79" s="3855">
        <f>K77+1</f>
        <v>6</v>
      </c>
      <c r="L79" s="3834" t="s">
        <v>2159</v>
      </c>
      <c r="M79" s="2518" t="s">
        <v>383</v>
      </c>
      <c r="N79" s="1170"/>
      <c r="O79" s="1171">
        <f ca="1">N69-O77</f>
        <v>110954</v>
      </c>
      <c r="P79" s="1172"/>
      <c r="Q79" s="1751"/>
      <c r="R79" s="1751"/>
      <c r="S79" s="1751"/>
      <c r="T79" s="1751"/>
      <c r="U79" s="1751"/>
      <c r="V79" s="1751"/>
    </row>
    <row r="80" spans="1:22" ht="39.6">
      <c r="A80" s="3802" t="s">
        <v>389</v>
      </c>
      <c r="B80" s="3803"/>
      <c r="C80" s="955"/>
      <c r="D80" s="955" t="s">
        <v>390</v>
      </c>
      <c r="E80" s="357" t="s">
        <v>391</v>
      </c>
      <c r="F80" s="40"/>
      <c r="G80" s="40"/>
      <c r="H80" s="964"/>
      <c r="I80" s="302"/>
      <c r="J80" s="1751"/>
      <c r="K80" s="3856"/>
      <c r="L80" s="3834"/>
      <c r="M80" s="2518" t="s">
        <v>386</v>
      </c>
      <c r="N80" s="1170"/>
      <c r="O80" s="1171" t="str">
        <f ca="1">NUMBERSTRING(INT(O79*10000),2)&amp;"元整"</f>
        <v>壹拾壹亿零玖佰伍拾肆万元整</v>
      </c>
      <c r="P80" s="1172"/>
      <c r="Q80" s="1751"/>
      <c r="R80" s="1751"/>
      <c r="S80" s="1751"/>
      <c r="T80" s="1751"/>
      <c r="U80" s="1751"/>
      <c r="V80" s="1751"/>
    </row>
    <row r="81" spans="1:26" ht="13.8" thickBot="1">
      <c r="A81" s="368" t="s">
        <v>1352</v>
      </c>
      <c r="B81" s="358" t="s">
        <v>392</v>
      </c>
      <c r="C81" s="359">
        <f ca="1">ROUND((C82+C83)/(1+'数据-取费表'!C42),0)</f>
        <v>244270</v>
      </c>
      <c r="D81" s="360"/>
      <c r="E81" s="361"/>
      <c r="F81" s="40"/>
      <c r="G81" s="40"/>
      <c r="H81" s="964"/>
      <c r="I81" s="302"/>
      <c r="J81" s="1751"/>
      <c r="K81" s="2513">
        <f>K79+1</f>
        <v>7</v>
      </c>
      <c r="L81" s="3832" t="s">
        <v>2160</v>
      </c>
      <c r="M81" s="3833"/>
      <c r="N81" s="1174"/>
      <c r="O81" s="1175">
        <f ca="1">ROUND(O79*10000/'数据-汇总表'!E3,0)</f>
        <v>7570</v>
      </c>
      <c r="P81" s="1176"/>
      <c r="Q81" s="1751"/>
      <c r="R81" s="1751"/>
      <c r="S81" s="1751"/>
      <c r="T81" s="1751"/>
      <c r="U81" s="1751"/>
      <c r="V81" s="1751"/>
    </row>
    <row r="82" spans="1:26" ht="13.8" thickTop="1">
      <c r="A82" s="362" t="s">
        <v>1353</v>
      </c>
      <c r="B82" s="363" t="s">
        <v>393</v>
      </c>
      <c r="C82" s="364">
        <f ca="1">D63</f>
        <v>256484</v>
      </c>
      <c r="D82" s="365" t="s">
        <v>13</v>
      </c>
      <c r="E82" s="366"/>
      <c r="F82" s="40"/>
      <c r="G82" s="40"/>
      <c r="H82" s="964"/>
      <c r="I82" s="302"/>
      <c r="J82" s="1751"/>
      <c r="K82" s="1751"/>
      <c r="L82" s="1751"/>
      <c r="M82" s="1751"/>
      <c r="N82" s="1751"/>
      <c r="O82" s="1751"/>
      <c r="P82" s="1751"/>
      <c r="Q82" s="1751"/>
      <c r="R82" s="1751"/>
      <c r="S82" s="1751"/>
      <c r="T82" s="1751"/>
      <c r="U82" s="1751"/>
      <c r="V82" s="1751"/>
    </row>
    <row r="83" spans="1:26" ht="13.2">
      <c r="A83" s="362" t="s">
        <v>1354</v>
      </c>
      <c r="B83" s="363" t="s">
        <v>394</v>
      </c>
      <c r="C83" s="367"/>
      <c r="D83" s="365"/>
      <c r="E83" s="366"/>
      <c r="F83" s="40"/>
      <c r="G83" s="40"/>
      <c r="H83" s="964"/>
      <c r="I83" s="302"/>
      <c r="J83" s="1751"/>
      <c r="K83" s="3848" t="s">
        <v>2148</v>
      </c>
      <c r="L83" s="2524" t="s">
        <v>2149</v>
      </c>
      <c r="M83" s="2514">
        <f ca="1">IF(N69&gt;10000,N69*0.5%,IF(AND(N69&gt;1000,N69&lt;=10000),N69*1%,IF(AND(N69&gt;100,N69&lt;=1000),N69*3%,IF(AND(N69&gt;10,N69&lt;=100),N69*5%,N69*8%))))</f>
        <v>1282.42</v>
      </c>
      <c r="N83" s="51">
        <f ca="1">ROUND(M83,1)</f>
        <v>1282.4000000000001</v>
      </c>
      <c r="O83" s="2517"/>
      <c r="P83" s="1751"/>
      <c r="Q83" s="1751"/>
      <c r="R83" s="1751"/>
      <c r="S83" s="1751"/>
      <c r="T83" s="1751"/>
      <c r="U83" s="1751"/>
      <c r="V83" s="1751"/>
    </row>
    <row r="84" spans="1:26" ht="25.2">
      <c r="A84" s="368" t="s">
        <v>1355</v>
      </c>
      <c r="B84" s="369" t="s">
        <v>395</v>
      </c>
      <c r="C84" s="370"/>
      <c r="D84" s="371" t="s">
        <v>13</v>
      </c>
      <c r="E84" s="2540" t="s">
        <v>2203</v>
      </c>
      <c r="F84" s="40"/>
      <c r="G84" s="40"/>
      <c r="H84" s="964"/>
      <c r="I84" s="302"/>
      <c r="J84" s="1751"/>
      <c r="K84" s="3848"/>
      <c r="L84" s="2524" t="s">
        <v>2150</v>
      </c>
      <c r="M84" s="2514">
        <f ca="1">IF(N69&gt;2000,N69*0.5%,IF(AND(N69&gt;1000,N69&lt;=2000),N69*0.6%,IF(AND(N69&gt;500,N69&lt;=1000),N69*0.7%,IF(AND(N69&gt;200,N69&lt;=500),N69*0.8%,IF(AND(N69&gt;100,N69&lt;=200),N69*0.9%,IF(AND(N69&gt;50,N69&lt;=100),N69*1%,IF(AND(N69&gt;20,N69&lt;=50),N69*1.5%,IF(AND(N69&gt;10,N69&lt;=20),N69*2%,IF(AND(N69&gt;1,N69&lt;=10),N69*2.5%)))))))))</f>
        <v>1282.42</v>
      </c>
      <c r="N84" s="51">
        <f ca="1">ROUND(M84,1)</f>
        <v>1282.4000000000001</v>
      </c>
      <c r="O84" s="1751" t="s">
        <v>2151</v>
      </c>
      <c r="P84" s="1751"/>
      <c r="Q84" s="1751"/>
      <c r="R84" s="1751"/>
      <c r="S84" s="1751"/>
      <c r="T84" s="1751"/>
      <c r="U84" s="1751"/>
      <c r="V84" s="1751"/>
    </row>
    <row r="85" spans="1:26" ht="13.2">
      <c r="A85" s="368" t="s">
        <v>1356</v>
      </c>
      <c r="B85" s="369" t="s">
        <v>396</v>
      </c>
      <c r="C85" s="372">
        <f ca="1">C81-C84</f>
        <v>244270</v>
      </c>
      <c r="D85" s="365" t="s">
        <v>13</v>
      </c>
      <c r="E85" s="366"/>
      <c r="F85" s="40"/>
      <c r="G85" s="40"/>
      <c r="H85" s="964"/>
      <c r="I85" s="302"/>
      <c r="J85" s="1751"/>
      <c r="K85" s="3848"/>
      <c r="L85" s="2524" t="s">
        <v>2152</v>
      </c>
      <c r="M85" s="2514">
        <f ca="1">IF(N69&gt;1000,N69*0.1%,IF(AND(N69&gt;500,N69&lt;=1000),N69*0.5%,IF(AND(N69&gt;50,N69&lt;=500),N69*1%,IF(AND(N69&gt;1,N69&lt;=50),N69*1.5%))))</f>
        <v>256.48399999999998</v>
      </c>
      <c r="N85" s="51">
        <f ca="1">ROUND(M85,1)</f>
        <v>256.5</v>
      </c>
      <c r="O85" s="1751" t="s">
        <v>2151</v>
      </c>
      <c r="P85" s="1751"/>
      <c r="Q85" s="1751"/>
      <c r="R85" s="1751"/>
      <c r="S85" s="1751"/>
      <c r="T85" s="1751"/>
      <c r="U85" s="1751"/>
      <c r="V85" s="1751"/>
    </row>
    <row r="86" spans="1:26" ht="13.8" thickBot="1">
      <c r="A86" s="373" t="s">
        <v>1357</v>
      </c>
      <c r="B86" s="374" t="s">
        <v>397</v>
      </c>
      <c r="C86" s="375">
        <f ca="1">IF(C85&lt;=0,0,ROUND(C85*D86,0))</f>
        <v>13435</v>
      </c>
      <c r="D86" s="376">
        <f>'数据-取费表'!B41</f>
        <v>5.5000000000000007E-2</v>
      </c>
      <c r="E86" s="377"/>
      <c r="F86" s="40"/>
      <c r="G86" s="40"/>
      <c r="H86" s="964"/>
      <c r="I86" s="302"/>
      <c r="J86" s="1751"/>
      <c r="K86" s="3848"/>
      <c r="L86" s="2524" t="s">
        <v>2153</v>
      </c>
      <c r="M86" s="2514">
        <f ca="1">N69*0.5%</f>
        <v>1282.42</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48"/>
      <c r="L87" s="2524" t="s">
        <v>2155</v>
      </c>
      <c r="M87" s="2514">
        <f ca="1">IF(N69&gt;=10000,(8.25+(N69-10000)*0.01%),IF(AND(N69&gt;=8000,N69&lt;10000),(7.85+(N69-8000)*0.02%),IF(AND(N69&gt;=5000,N69&lt;8000),(6.65+(N69-5000)*0.04%),IF(AND(N69&gt;=2000,N69&lt;5000),(4.25+(PN69-2000)*0.08%),IF(AND(N69&gt;=1000,N69&lt;2000),(2.75+(N69-1000)*0.15%),IF(AND(N69&gt;=100,N69&lt;1000),(0.5+(N69-100)*0.25%),IF(AND(N69&gt;0,N69&lt;100),N69*0.5%)))))))</f>
        <v>32.898400000000002</v>
      </c>
      <c r="N87" s="51">
        <f ca="1">ROUND(M87*0.9,1)</f>
        <v>29.6</v>
      </c>
      <c r="O87" s="2517"/>
      <c r="P87" s="1751"/>
      <c r="Q87" s="1751"/>
      <c r="R87" s="1751"/>
      <c r="S87" s="1751"/>
      <c r="T87" s="1751"/>
      <c r="U87" s="1751"/>
      <c r="V87" s="1751"/>
      <c r="W87" s="283"/>
      <c r="X87" s="283"/>
      <c r="Y87" s="283"/>
      <c r="Z87" s="283"/>
    </row>
    <row r="88" spans="1:26" s="1182" customFormat="1" ht="14.4" thickBot="1">
      <c r="A88" s="3827" t="s">
        <v>398</v>
      </c>
      <c r="B88" s="3828"/>
      <c r="C88" s="3828"/>
      <c r="D88" s="3828"/>
      <c r="E88" s="3828"/>
      <c r="F88" s="3828"/>
      <c r="G88" s="3828"/>
      <c r="H88" s="3828"/>
      <c r="I88" s="1183"/>
      <c r="J88" s="1759"/>
      <c r="K88" s="3848"/>
      <c r="L88" s="2524" t="s">
        <v>2156</v>
      </c>
      <c r="M88" s="2514">
        <f ca="1">IF(N69&gt;10000,N69*0.5%,IF(AND(N69&gt;5000,N69&lt;=10000),N69*1%,IF(AND(N69&gt;1000,N69&lt;=5000),N69*2%,IF(AND(N69&gt;200,N69&lt;=1000),N69*3%,N69*5%))))</f>
        <v>1282.42</v>
      </c>
      <c r="N88" s="51">
        <f ca="1">ROUND(M88,1)</f>
        <v>1282.4000000000001</v>
      </c>
      <c r="O88" s="2517"/>
      <c r="P88" s="1756"/>
      <c r="Q88" s="1756"/>
      <c r="R88" s="1756"/>
      <c r="S88" s="1756"/>
      <c r="T88" s="1756"/>
      <c r="U88" s="1756"/>
      <c r="V88" s="1756"/>
      <c r="W88" s="1760"/>
      <c r="X88" s="1760"/>
      <c r="Y88" s="1760"/>
      <c r="Z88" s="1760"/>
    </row>
    <row r="89" spans="1:26" s="1182" customFormat="1" ht="13.8">
      <c r="A89" s="3802" t="s">
        <v>389</v>
      </c>
      <c r="B89" s="3803"/>
      <c r="C89" s="955"/>
      <c r="D89" s="955" t="s">
        <v>390</v>
      </c>
      <c r="E89" s="378" t="s">
        <v>399</v>
      </c>
      <c r="F89" s="379"/>
      <c r="G89" s="379"/>
      <c r="H89" s="380"/>
      <c r="I89" s="1184"/>
      <c r="J89" s="1761"/>
      <c r="K89" s="3848"/>
      <c r="L89" s="2524" t="s">
        <v>16</v>
      </c>
      <c r="M89" s="2515"/>
      <c r="N89" s="51">
        <f ca="1">ROUND(SUM(N83:N88),0)</f>
        <v>4134</v>
      </c>
      <c r="O89" s="2525">
        <f ca="1">N89/N69</f>
        <v>1.6117964473417446E-2</v>
      </c>
      <c r="P89" s="1756"/>
      <c r="Q89" s="1756"/>
      <c r="R89" s="1756"/>
      <c r="S89" s="1756"/>
      <c r="T89" s="1756"/>
      <c r="U89" s="1756"/>
      <c r="V89" s="1756"/>
      <c r="W89" s="1760"/>
      <c r="X89" s="1760"/>
      <c r="Y89" s="1760"/>
      <c r="Z89" s="1760"/>
    </row>
    <row r="90" spans="1:26" s="1182" customFormat="1" ht="13.8">
      <c r="A90" s="368" t="s">
        <v>1352</v>
      </c>
      <c r="B90" s="369" t="s">
        <v>400</v>
      </c>
      <c r="C90" s="372">
        <f ca="1">ROUND(D63/(1+'数据-取费表'!C42),0)</f>
        <v>244270</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8" t="s">
        <v>1358</v>
      </c>
      <c r="B91" s="339" t="s">
        <v>401</v>
      </c>
      <c r="C91" s="372">
        <f ca="1">C92+C96</f>
        <v>1221</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784" t="s">
        <v>407</v>
      </c>
      <c r="F94" s="3783"/>
      <c r="G94" s="3783"/>
      <c r="H94" s="3826"/>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1221</v>
      </c>
      <c r="D96" s="393">
        <f>'数据-取费表'!B43</f>
        <v>5.000000000000001E-3</v>
      </c>
      <c r="E96" s="3818" t="s">
        <v>1780</v>
      </c>
      <c r="F96" s="3819"/>
      <c r="G96" s="3819"/>
      <c r="H96" s="3820"/>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9" t="s">
        <v>411</v>
      </c>
      <c r="C97" s="372">
        <f ca="1">C90-C91</f>
        <v>243049</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199.05733005733006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4" t="s">
        <v>413</v>
      </c>
      <c r="C99" s="395">
        <f ca="1">ROUND(IF(C97&lt;=0,0,IF(C98&gt;=200%,C97*60%-C91*35%,IF(C98&gt;=100%,C97*50%-C91*15%,IF(C98&gt;=50%,C97*40%-C91*5%,IF(C98&lt;50%,C97*30%,0))))),0)</f>
        <v>145402</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827" t="s">
        <v>414</v>
      </c>
      <c r="B101" s="3828"/>
      <c r="C101" s="3828"/>
      <c r="D101" s="3828"/>
      <c r="E101" s="3828"/>
      <c r="F101" s="3828"/>
      <c r="G101" s="3828"/>
      <c r="H101" s="3828"/>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02" t="s">
        <v>389</v>
      </c>
      <c r="B102" s="3803"/>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8" t="s">
        <v>1352</v>
      </c>
      <c r="B103" s="369" t="s">
        <v>400</v>
      </c>
      <c r="C103" s="372">
        <f ca="1">ROUND(D63/(1+'数据-取费表'!C42),0)</f>
        <v>244270</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8" t="s">
        <v>1358</v>
      </c>
      <c r="B104" s="339" t="s">
        <v>401</v>
      </c>
      <c r="C104" s="372">
        <f ca="1">IF(H106="仅含出让金",C105+C108+C109+C110+C111+C112,C105+C109+C110+C111+C112)</f>
        <v>1221</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2" t="s">
        <v>1360</v>
      </c>
      <c r="B106" s="363" t="s">
        <v>416</v>
      </c>
      <c r="C106" s="403"/>
      <c r="D106" s="393"/>
      <c r="E106" s="404" t="s">
        <v>417</v>
      </c>
      <c r="F106" s="947"/>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3.8">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2" t="s">
        <v>1363</v>
      </c>
      <c r="B108" s="363" t="s">
        <v>420</v>
      </c>
      <c r="C108" s="403"/>
      <c r="D108" s="393"/>
      <c r="E108" s="404" t="str">
        <f>IF(H106="-","土地取得成本中已包含该笔费用"," ")</f>
        <v xml:space="preserve"> </v>
      </c>
      <c r="F108" s="947"/>
      <c r="G108" s="3778" t="s">
        <v>2252</v>
      </c>
      <c r="H108" s="3779"/>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1" t="s">
        <v>422</v>
      </c>
      <c r="F109" s="3819"/>
      <c r="G109" s="3819"/>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21" t="s">
        <v>424</v>
      </c>
      <c r="F110" s="3819"/>
      <c r="G110" s="3819"/>
      <c r="H110" s="3820"/>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1221</v>
      </c>
      <c r="D111" s="393">
        <f>'数据-取费表'!B43</f>
        <v>5.000000000000001E-3</v>
      </c>
      <c r="E111" s="3818" t="s">
        <v>1780</v>
      </c>
      <c r="F111" s="3819"/>
      <c r="G111" s="3819"/>
      <c r="H111" s="3820"/>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1" t="s">
        <v>1799</v>
      </c>
      <c r="F112" s="3819"/>
      <c r="G112" s="3819"/>
      <c r="H112" s="3820"/>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9" t="s">
        <v>411</v>
      </c>
      <c r="C113" s="372">
        <f ca="1">ROUND(C103-C104,0)</f>
        <v>243049</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199.05733005733006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4" t="s">
        <v>413</v>
      </c>
      <c r="C115" s="395">
        <f ca="1">ROUND(IF(C113&lt;=0,0,IF(C114&gt;=200%,C113*60%-C104*35%,IF(C114&gt;=100%,C113*50%-C104*15%,IF(C114&gt;=50%,C113*40%-C104*5%,IF(C114&lt;50%,C113*30%,0))))),0)</f>
        <v>145402</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3" zoomScale="80" zoomScaleNormal="95" zoomScaleSheetLayoutView="80" workbookViewId="0">
      <selection activeCell="B59" sqref="B59"/>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255671</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17443</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36950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2463</v>
      </c>
      <c r="C5" s="418" t="s">
        <v>429</v>
      </c>
      <c r="D5" s="2962"/>
      <c r="E5" s="3684" t="s">
        <v>3361</v>
      </c>
      <c r="F5" s="2962"/>
      <c r="G5" s="3685" t="s">
        <v>3412</v>
      </c>
      <c r="H5" s="2963"/>
      <c r="I5" s="3685" t="s">
        <v>3413</v>
      </c>
      <c r="J5" s="2963"/>
      <c r="K5" s="2965"/>
      <c r="L5" s="1853"/>
      <c r="M5" s="1854"/>
      <c r="N5" s="1854"/>
      <c r="O5" s="1854"/>
      <c r="P5" s="1854"/>
      <c r="Q5" s="1854"/>
      <c r="R5" s="1854"/>
      <c r="S5" s="1854"/>
      <c r="T5" s="1854"/>
      <c r="U5" s="1854"/>
      <c r="V5" s="1854"/>
      <c r="W5" s="1854"/>
      <c r="X5" s="1854"/>
      <c r="Y5" s="1854"/>
      <c r="Z5" s="1854"/>
      <c r="AA5" s="1854"/>
      <c r="AB5" s="1854"/>
      <c r="AC5" s="1784"/>
    </row>
    <row r="6" spans="1:30" ht="21">
      <c r="A6" s="482" t="s">
        <v>470</v>
      </c>
      <c r="B6" s="483"/>
      <c r="C6" s="3867" t="s">
        <v>471</v>
      </c>
      <c r="D6" s="3868"/>
      <c r="E6" s="3867" t="s">
        <v>472</v>
      </c>
      <c r="F6" s="3868"/>
      <c r="G6" s="3867" t="s">
        <v>473</v>
      </c>
      <c r="H6" s="3868"/>
      <c r="I6" s="3867" t="s">
        <v>474</v>
      </c>
      <c r="J6" s="3868"/>
      <c r="K6" s="484" t="s">
        <v>475</v>
      </c>
      <c r="L6" s="1855"/>
      <c r="M6" s="1854"/>
      <c r="N6" s="1854"/>
      <c r="O6" s="1856"/>
      <c r="P6" s="3869" t="s">
        <v>476</v>
      </c>
      <c r="Q6" s="3870"/>
      <c r="R6" s="3875" t="s">
        <v>472</v>
      </c>
      <c r="S6" s="3876"/>
      <c r="T6" s="3875" t="s">
        <v>473</v>
      </c>
      <c r="U6" s="3876"/>
      <c r="V6" s="3862" t="s">
        <v>474</v>
      </c>
      <c r="W6" s="3862"/>
      <c r="X6" s="1379"/>
      <c r="Y6" s="3875" t="s">
        <v>476</v>
      </c>
      <c r="Z6" s="3876"/>
      <c r="AA6" s="3864" t="s">
        <v>472</v>
      </c>
      <c r="AB6" s="3865" t="s">
        <v>473</v>
      </c>
      <c r="AC6" s="3864" t="s">
        <v>474</v>
      </c>
    </row>
    <row r="7" spans="1:30" ht="21">
      <c r="A7" s="485"/>
      <c r="B7" s="486"/>
      <c r="C7" s="3883" t="s">
        <v>2192</v>
      </c>
      <c r="D7" s="3884"/>
      <c r="E7" s="3883" t="str">
        <f>土地案例!A7</f>
        <v>北京市顺义区顺义新城第5街区平各庄旧村改造项目SY00-0005-6046地块R2二类居住用地、SY00-0005-6045地块A334托幼用地</v>
      </c>
      <c r="F7" s="3884"/>
      <c r="G7" s="3883" t="str">
        <f>土地案例!A9</f>
        <v>北京市顺义区顺义新城第13街区SY00-0013-6055、6056地块二类居住用地</v>
      </c>
      <c r="H7" s="3884"/>
      <c r="I7" s="3883" t="str">
        <f>土地案例!A13</f>
        <v>北京市顺义区仁和镇临河村棚户区改造土地开发B片区SY00-0007-6072、6073、6075、6076、6078地块二类居住用地、托幼用地</v>
      </c>
      <c r="J7" s="3884"/>
      <c r="K7" s="484"/>
      <c r="L7" s="1855"/>
      <c r="M7" s="1854"/>
      <c r="N7" s="1854"/>
      <c r="O7" s="1856"/>
      <c r="P7" s="3871"/>
      <c r="Q7" s="3872"/>
      <c r="R7" s="3877"/>
      <c r="S7" s="3878"/>
      <c r="T7" s="3877"/>
      <c r="U7" s="3878"/>
      <c r="V7" s="3862"/>
      <c r="W7" s="3862"/>
      <c r="X7" s="1379"/>
      <c r="Y7" s="3877"/>
      <c r="Z7" s="3878"/>
      <c r="AA7" s="3865"/>
      <c r="AB7" s="3865"/>
      <c r="AC7" s="3865"/>
    </row>
    <row r="8" spans="1:30" ht="21.6" thickBot="1">
      <c r="A8" s="485"/>
      <c r="B8" s="486"/>
      <c r="C8" s="3885" t="s">
        <v>2196</v>
      </c>
      <c r="D8" s="3886"/>
      <c r="E8" s="3885" t="s">
        <v>2196</v>
      </c>
      <c r="F8" s="3886"/>
      <c r="G8" s="3881" t="s">
        <v>2196</v>
      </c>
      <c r="H8" s="3882"/>
      <c r="I8" s="3881" t="s">
        <v>2196</v>
      </c>
      <c r="J8" s="3882"/>
      <c r="K8" s="484" t="s">
        <v>477</v>
      </c>
      <c r="L8" s="1855"/>
      <c r="M8" s="1854"/>
      <c r="N8" s="1854"/>
      <c r="O8" s="1856"/>
      <c r="P8" s="3873"/>
      <c r="Q8" s="3874"/>
      <c r="R8" s="3877"/>
      <c r="S8" s="3878"/>
      <c r="T8" s="3879"/>
      <c r="U8" s="3880"/>
      <c r="V8" s="3862"/>
      <c r="W8" s="3862"/>
      <c r="X8" s="1379"/>
      <c r="Y8" s="3879"/>
      <c r="Z8" s="3880"/>
      <c r="AA8" s="3866"/>
      <c r="AB8" s="3866"/>
      <c r="AC8" s="3866"/>
    </row>
    <row r="9" spans="1:30" s="1117" customFormat="1" ht="21.6" thickBot="1">
      <c r="A9" s="2391"/>
      <c r="B9" s="2398" t="s">
        <v>478</v>
      </c>
      <c r="C9" s="2390">
        <f>'数据-取费表'!B2</f>
        <v>44929</v>
      </c>
      <c r="D9" s="490">
        <v>100</v>
      </c>
      <c r="E9" s="491" t="str">
        <f>土地案例!H7</f>
        <v>2022-02-16</v>
      </c>
      <c r="F9" s="492">
        <f>SUMIF(71:71,YEAR(E9)&amp;"-"&amp;INT((MONTH(E9)+2)/3),72:72)</f>
        <v>98</v>
      </c>
      <c r="G9" s="493" t="str">
        <f>土地案例!H9</f>
        <v>2021-01-26</v>
      </c>
      <c r="H9" s="490">
        <f>SUMIF(71:71,YEAR(G9)&amp;"-"&amp;INT((MONTH(G9)+2)/3),72:72)</f>
        <v>96</v>
      </c>
      <c r="I9" s="493" t="str">
        <f>土地案例!H13</f>
        <v>2020-08-27</v>
      </c>
      <c r="J9" s="490">
        <f>SUMIF(71:71,YEAR(I9)&amp;"-"&amp;INT((MONTH(I9)+2)/3),72:72)</f>
        <v>95</v>
      </c>
      <c r="K9" s="494"/>
      <c r="L9" s="1857"/>
      <c r="M9" s="1854"/>
      <c r="N9" s="1854"/>
      <c r="O9" s="1858"/>
      <c r="P9" s="3891" t="s">
        <v>479</v>
      </c>
      <c r="Q9" s="3893"/>
      <c r="R9" s="1380" t="s">
        <v>5</v>
      </c>
      <c r="S9" s="1381">
        <f t="shared" ref="S9:S17" si="0">F9</f>
        <v>98</v>
      </c>
      <c r="T9" s="1380" t="s">
        <v>5</v>
      </c>
      <c r="U9" s="1381">
        <f t="shared" ref="U9:U17" si="1">H9</f>
        <v>96</v>
      </c>
      <c r="V9" s="1380" t="s">
        <v>5</v>
      </c>
      <c r="W9" s="1381">
        <f t="shared" ref="W9:W17" si="2">J9</f>
        <v>95</v>
      </c>
      <c r="X9" s="1382"/>
      <c r="Y9" s="3891" t="s">
        <v>479</v>
      </c>
      <c r="Z9" s="3892"/>
      <c r="AA9" s="1383">
        <f>D9/F9</f>
        <v>1.0204081632653061</v>
      </c>
      <c r="AB9" s="1383">
        <f>D9/H9</f>
        <v>1.0416666666666667</v>
      </c>
      <c r="AC9" s="1383">
        <f>D9/J9</f>
        <v>1.0526315789473684</v>
      </c>
    </row>
    <row r="10" spans="1:30" s="1117" customFormat="1" ht="21.6" thickBot="1">
      <c r="A10" s="2392"/>
      <c r="B10" s="2399" t="s">
        <v>480</v>
      </c>
      <c r="C10" s="821" t="s">
        <v>481</v>
      </c>
      <c r="D10" s="490">
        <v>100</v>
      </c>
      <c r="E10" s="495" t="s">
        <v>3393</v>
      </c>
      <c r="F10" s="492">
        <f>SUMIF(74:74,E10,75:75)-SUMIF(74:74,C10,75:75)+100</f>
        <v>100</v>
      </c>
      <c r="G10" s="495" t="s">
        <v>3393</v>
      </c>
      <c r="H10" s="490">
        <f>SUMIF(74:74,G10,75:75)-SUMIF(74:74,C10,75:75)+100</f>
        <v>100</v>
      </c>
      <c r="I10" s="495" t="s">
        <v>3393</v>
      </c>
      <c r="J10" s="490">
        <f>SUMIF(74:74,I10,75:75)-SUMIF(74:74,C10,75:75)+100</f>
        <v>100</v>
      </c>
      <c r="K10" s="494"/>
      <c r="L10" s="1857"/>
      <c r="M10" s="1854"/>
      <c r="N10" s="1854"/>
      <c r="O10" s="1858"/>
      <c r="P10" s="3891" t="s">
        <v>482</v>
      </c>
      <c r="Q10" s="3892"/>
      <c r="R10" s="1380" t="s">
        <v>5</v>
      </c>
      <c r="S10" s="1381">
        <f t="shared" si="0"/>
        <v>100</v>
      </c>
      <c r="T10" s="1380" t="s">
        <v>5</v>
      </c>
      <c r="U10" s="1381">
        <f t="shared" si="1"/>
        <v>100</v>
      </c>
      <c r="V10" s="1380" t="s">
        <v>5</v>
      </c>
      <c r="W10" s="1381">
        <f t="shared" si="2"/>
        <v>100</v>
      </c>
      <c r="X10" s="1382"/>
      <c r="Y10" s="3891" t="s">
        <v>482</v>
      </c>
      <c r="Z10" s="3892"/>
      <c r="AA10" s="1383">
        <f t="shared" ref="AA10:AA47" si="3">D10/F10</f>
        <v>1</v>
      </c>
      <c r="AB10" s="1383">
        <f t="shared" ref="AB10:AB47" si="4">D10/H10</f>
        <v>1</v>
      </c>
      <c r="AC10" s="1383">
        <f t="shared" ref="AC10:AC47" si="5">D10/J10</f>
        <v>1</v>
      </c>
    </row>
    <row r="11" spans="1:30" s="1117" customFormat="1" ht="21">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61" t="s">
        <v>484</v>
      </c>
      <c r="Q11" s="1049" t="str">
        <f t="shared" ref="Q11:Q17" si="6">B11</f>
        <v>用途</v>
      </c>
      <c r="R11" s="1380" t="s">
        <v>5</v>
      </c>
      <c r="S11" s="1381">
        <f t="shared" si="0"/>
        <v>100</v>
      </c>
      <c r="T11" s="1380" t="s">
        <v>5</v>
      </c>
      <c r="U11" s="1381">
        <f t="shared" si="1"/>
        <v>100</v>
      </c>
      <c r="V11" s="1380" t="s">
        <v>5</v>
      </c>
      <c r="W11" s="1381">
        <f t="shared" si="2"/>
        <v>100</v>
      </c>
      <c r="X11" s="1382"/>
      <c r="Y11" s="3809" t="s">
        <v>485</v>
      </c>
      <c r="Z11" s="1048" t="str">
        <f t="shared" ref="Z11:Z17" si="7">Q11</f>
        <v>用途</v>
      </c>
      <c r="AA11" s="1383">
        <f t="shared" si="3"/>
        <v>1</v>
      </c>
      <c r="AB11" s="1383">
        <f t="shared" si="4"/>
        <v>1</v>
      </c>
      <c r="AC11" s="1383">
        <f t="shared" si="5"/>
        <v>1</v>
      </c>
    </row>
    <row r="12" spans="1:30" s="1198" customFormat="1" ht="28.8">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61"/>
      <c r="Q12" s="1049" t="str">
        <f t="shared" si="6"/>
        <v>土地使用年限（年）</v>
      </c>
      <c r="R12" s="1380" t="s">
        <v>5</v>
      </c>
      <c r="S12" s="1381">
        <f t="shared" si="0"/>
        <v>100</v>
      </c>
      <c r="T12" s="1380" t="s">
        <v>5</v>
      </c>
      <c r="U12" s="1381">
        <f t="shared" si="1"/>
        <v>100</v>
      </c>
      <c r="V12" s="1380" t="s">
        <v>5</v>
      </c>
      <c r="W12" s="1381">
        <f t="shared" si="2"/>
        <v>100</v>
      </c>
      <c r="X12" s="1382"/>
      <c r="Y12" s="3809"/>
      <c r="Z12" s="1048" t="str">
        <f t="shared" si="7"/>
        <v>土地使用年限（年）</v>
      </c>
      <c r="AA12" s="1383">
        <f t="shared" si="3"/>
        <v>1</v>
      </c>
      <c r="AB12" s="1383">
        <f t="shared" si="4"/>
        <v>1</v>
      </c>
      <c r="AC12" s="1383">
        <f t="shared" si="5"/>
        <v>1</v>
      </c>
    </row>
    <row r="13" spans="1:30" ht="21">
      <c r="A13" s="2395"/>
      <c r="B13" s="2399" t="s">
        <v>2040</v>
      </c>
      <c r="C13" s="504">
        <v>1.6</v>
      </c>
      <c r="D13" s="246">
        <v>100</v>
      </c>
      <c r="E13" s="503">
        <v>2</v>
      </c>
      <c r="F13" s="246">
        <f>LOOKUP(E13,81:81,82:82)-LOOKUP(C13,81:81,82:82)+100</f>
        <v>98</v>
      </c>
      <c r="G13" s="504">
        <v>1.6</v>
      </c>
      <c r="H13" s="246">
        <f>LOOKUP(G13,81:81,82:82)-LOOKUP(C13,81:81,82:82)+100</f>
        <v>100</v>
      </c>
      <c r="I13" s="503">
        <v>1.6</v>
      </c>
      <c r="J13" s="246">
        <f>LOOKUP(I13,81:81,82:82)-LOOKUP(C13,81:81,82:82)+100</f>
        <v>100</v>
      </c>
      <c r="K13" s="505">
        <v>2</v>
      </c>
      <c r="L13" s="1862"/>
      <c r="M13" s="1854"/>
      <c r="N13" s="1854"/>
      <c r="O13" s="1863"/>
      <c r="P13" s="3861"/>
      <c r="Q13" s="1049" t="str">
        <f t="shared" si="6"/>
        <v>容积率</v>
      </c>
      <c r="R13" s="1380" t="s">
        <v>5</v>
      </c>
      <c r="S13" s="1381">
        <f t="shared" si="0"/>
        <v>98</v>
      </c>
      <c r="T13" s="1380" t="s">
        <v>5</v>
      </c>
      <c r="U13" s="1381">
        <f t="shared" si="1"/>
        <v>100</v>
      </c>
      <c r="V13" s="1380" t="s">
        <v>5</v>
      </c>
      <c r="W13" s="1381">
        <f t="shared" si="2"/>
        <v>100</v>
      </c>
      <c r="X13" s="1382"/>
      <c r="Y13" s="3809"/>
      <c r="Z13" s="1048" t="str">
        <f t="shared" si="7"/>
        <v>容积率</v>
      </c>
      <c r="AA13" s="1383">
        <f t="shared" si="3"/>
        <v>1.0204081632653061</v>
      </c>
      <c r="AB13" s="1383">
        <f t="shared" si="4"/>
        <v>1</v>
      </c>
      <c r="AC13" s="1383">
        <f t="shared" si="5"/>
        <v>1</v>
      </c>
    </row>
    <row r="14" spans="1:30" s="1117" customFormat="1" ht="21">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61"/>
      <c r="Q14" s="1049" t="str">
        <f t="shared" si="6"/>
        <v>配建</v>
      </c>
      <c r="R14" s="1380" t="s">
        <v>5</v>
      </c>
      <c r="S14" s="1381">
        <f t="shared" si="0"/>
        <v>100</v>
      </c>
      <c r="T14" s="1380" t="s">
        <v>5</v>
      </c>
      <c r="U14" s="1381">
        <f t="shared" si="1"/>
        <v>100</v>
      </c>
      <c r="V14" s="1380" t="s">
        <v>5</v>
      </c>
      <c r="W14" s="1381">
        <f t="shared" si="2"/>
        <v>100</v>
      </c>
      <c r="X14" s="1382"/>
      <c r="Y14" s="3809"/>
      <c r="Z14" s="1048" t="str">
        <f t="shared" si="7"/>
        <v>配建</v>
      </c>
      <c r="AA14" s="1383">
        <f>D14/F14</f>
        <v>1</v>
      </c>
      <c r="AB14" s="1383">
        <f>D14/H14</f>
        <v>1</v>
      </c>
      <c r="AC14" s="1383">
        <f>D14/J14</f>
        <v>1</v>
      </c>
    </row>
    <row r="15" spans="1:30" ht="21">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1"/>
      <c r="Q15" s="1049">
        <f t="shared" si="6"/>
        <v>111</v>
      </c>
      <c r="R15" s="1380" t="s">
        <v>5</v>
      </c>
      <c r="S15" s="1381">
        <f t="shared" si="0"/>
        <v>100</v>
      </c>
      <c r="T15" s="1380" t="s">
        <v>5</v>
      </c>
      <c r="U15" s="1381">
        <f t="shared" si="1"/>
        <v>100</v>
      </c>
      <c r="V15" s="1380" t="s">
        <v>5</v>
      </c>
      <c r="W15" s="1381">
        <f t="shared" si="2"/>
        <v>100</v>
      </c>
      <c r="X15" s="1382"/>
      <c r="Y15" s="3809"/>
      <c r="Z15" s="1048">
        <f t="shared" si="7"/>
        <v>111</v>
      </c>
      <c r="AA15" s="1383">
        <f>D15/F15</f>
        <v>1</v>
      </c>
      <c r="AB15" s="1383">
        <f>D15/H15</f>
        <v>1</v>
      </c>
      <c r="AC15" s="1383">
        <f>D15/J15</f>
        <v>1</v>
      </c>
    </row>
    <row r="16" spans="1:30" ht="21.6"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1"/>
      <c r="Q16" s="1049">
        <f t="shared" si="6"/>
        <v>111</v>
      </c>
      <c r="R16" s="1380" t="s">
        <v>5</v>
      </c>
      <c r="S16" s="1381">
        <f t="shared" si="0"/>
        <v>100</v>
      </c>
      <c r="T16" s="1380" t="s">
        <v>5</v>
      </c>
      <c r="U16" s="1381">
        <f t="shared" si="1"/>
        <v>100</v>
      </c>
      <c r="V16" s="1380" t="s">
        <v>5</v>
      </c>
      <c r="W16" s="1381">
        <f t="shared" si="2"/>
        <v>100</v>
      </c>
      <c r="X16" s="1382"/>
      <c r="Y16" s="3809"/>
      <c r="Z16" s="1048">
        <f t="shared" si="7"/>
        <v>111</v>
      </c>
      <c r="AA16" s="1383">
        <f>D16/F16</f>
        <v>1</v>
      </c>
      <c r="AB16" s="1383">
        <f>D16/H16</f>
        <v>1</v>
      </c>
      <c r="AC16" s="1383">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98</v>
      </c>
      <c r="K17" s="505">
        <v>2</v>
      </c>
      <c r="L17" s="1864"/>
      <c r="M17" s="1854"/>
      <c r="N17" s="1854"/>
      <c r="O17" s="1863"/>
      <c r="P17" s="3894" t="s">
        <v>489</v>
      </c>
      <c r="Q17" s="1384" t="str">
        <f t="shared" si="6"/>
        <v>居住社区成熟度</v>
      </c>
      <c r="R17" s="1385" t="s">
        <v>5</v>
      </c>
      <c r="S17" s="1386">
        <f t="shared" si="0"/>
        <v>100</v>
      </c>
      <c r="T17" s="1385" t="s">
        <v>5</v>
      </c>
      <c r="U17" s="1386">
        <f t="shared" si="1"/>
        <v>100</v>
      </c>
      <c r="V17" s="1385" t="s">
        <v>5</v>
      </c>
      <c r="W17" s="1386">
        <f t="shared" si="2"/>
        <v>98</v>
      </c>
      <c r="X17" s="1379"/>
      <c r="Y17" s="3894" t="s">
        <v>489</v>
      </c>
      <c r="Z17" s="1387" t="str">
        <f t="shared" si="7"/>
        <v>居住社区成熟度</v>
      </c>
      <c r="AA17" s="1388">
        <f t="shared" si="3"/>
        <v>1</v>
      </c>
      <c r="AB17" s="1388">
        <f t="shared" si="4"/>
        <v>1</v>
      </c>
      <c r="AC17" s="1388">
        <f t="shared" si="5"/>
        <v>1.0204081632653061</v>
      </c>
    </row>
    <row r="18" spans="1:29" ht="21">
      <c r="A18" s="502"/>
      <c r="B18" s="523"/>
      <c r="C18" s="524" t="s">
        <v>3404</v>
      </c>
      <c r="D18" s="527"/>
      <c r="E18" s="528" t="s">
        <v>3404</v>
      </c>
      <c r="F18" s="525"/>
      <c r="G18" s="526" t="s">
        <v>3404</v>
      </c>
      <c r="H18" s="529"/>
      <c r="I18" s="528" t="s">
        <v>3407</v>
      </c>
      <c r="J18" s="525"/>
      <c r="K18" s="501"/>
      <c r="L18" s="1864"/>
      <c r="M18" s="1854"/>
      <c r="N18" s="1854"/>
      <c r="O18" s="1863"/>
      <c r="P18" s="3895"/>
      <c r="Q18" s="1384"/>
      <c r="R18" s="1385"/>
      <c r="S18" s="1386"/>
      <c r="T18" s="1385"/>
      <c r="U18" s="1386"/>
      <c r="V18" s="1385"/>
      <c r="W18" s="1386"/>
      <c r="X18" s="1379"/>
      <c r="Y18" s="3895"/>
      <c r="Z18" s="1387"/>
      <c r="AA18" s="1388">
        <v>1</v>
      </c>
      <c r="AB18" s="1388">
        <v>1</v>
      </c>
      <c r="AC18" s="1388">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99</v>
      </c>
      <c r="G19" s="532"/>
      <c r="H19" s="535">
        <f>SUMIF(91:91,G20,92:92)-SUMIF(91:91,C20,92:92)+100</f>
        <v>99</v>
      </c>
      <c r="I19" s="534"/>
      <c r="J19" s="535">
        <f>SUMIF(91:91,I20,92:92)-SUMIF(91:91,C20,92:92)+100</f>
        <v>99</v>
      </c>
      <c r="K19" s="505">
        <v>1</v>
      </c>
      <c r="L19" s="1864"/>
      <c r="M19" s="1854"/>
      <c r="N19" s="1854"/>
      <c r="O19" s="1863"/>
      <c r="P19" s="3895"/>
      <c r="Q19" s="1384" t="str">
        <f>B19</f>
        <v>商业繁华度</v>
      </c>
      <c r="R19" s="1385" t="s">
        <v>5</v>
      </c>
      <c r="S19" s="1386">
        <f>F19</f>
        <v>99</v>
      </c>
      <c r="T19" s="1385" t="s">
        <v>5</v>
      </c>
      <c r="U19" s="1386">
        <f>H19</f>
        <v>99</v>
      </c>
      <c r="V19" s="1385" t="s">
        <v>5</v>
      </c>
      <c r="W19" s="1386">
        <f>J19</f>
        <v>99</v>
      </c>
      <c r="X19" s="1379"/>
      <c r="Y19" s="3895"/>
      <c r="Z19" s="1387" t="str">
        <f>Q19</f>
        <v>商业繁华度</v>
      </c>
      <c r="AA19" s="1388">
        <f t="shared" si="3"/>
        <v>1.0101010101010102</v>
      </c>
      <c r="AB19" s="1388">
        <f t="shared" si="4"/>
        <v>1.0101010101010102</v>
      </c>
      <c r="AC19" s="1388">
        <f t="shared" si="5"/>
        <v>1.0101010101010102</v>
      </c>
    </row>
    <row r="20" spans="1:29" ht="21">
      <c r="A20" s="502"/>
      <c r="B20" s="536"/>
      <c r="C20" s="537" t="s">
        <v>3404</v>
      </c>
      <c r="D20" s="533"/>
      <c r="E20" s="539" t="s">
        <v>3407</v>
      </c>
      <c r="F20" s="529"/>
      <c r="G20" s="538" t="s">
        <v>3407</v>
      </c>
      <c r="H20" s="525"/>
      <c r="I20" s="539" t="s">
        <v>3407</v>
      </c>
      <c r="J20" s="525"/>
      <c r="K20" s="501"/>
      <c r="L20" s="1864"/>
      <c r="M20" s="1854"/>
      <c r="N20" s="1854"/>
      <c r="O20" s="1863"/>
      <c r="P20" s="3895"/>
      <c r="Q20" s="1384"/>
      <c r="R20" s="1385"/>
      <c r="S20" s="1386"/>
      <c r="T20" s="1385"/>
      <c r="U20" s="1386"/>
      <c r="V20" s="1385"/>
      <c r="W20" s="1386"/>
      <c r="X20" s="1379"/>
      <c r="Y20" s="3895"/>
      <c r="Z20" s="1387"/>
      <c r="AA20" s="1388">
        <v>1</v>
      </c>
      <c r="AB20" s="1388">
        <v>1</v>
      </c>
      <c r="AC20" s="1388">
        <v>1</v>
      </c>
    </row>
    <row r="21" spans="1:29" ht="69"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95"/>
      <c r="Q21" s="1384" t="str">
        <f>B21</f>
        <v>办公集聚程度</v>
      </c>
      <c r="R21" s="1385" t="s">
        <v>5</v>
      </c>
      <c r="S21" s="1386">
        <f>F21</f>
        <v>100</v>
      </c>
      <c r="T21" s="1385" t="s">
        <v>5</v>
      </c>
      <c r="U21" s="1386">
        <f>H21</f>
        <v>100</v>
      </c>
      <c r="V21" s="1385" t="s">
        <v>5</v>
      </c>
      <c r="W21" s="1386">
        <f>J21</f>
        <v>100</v>
      </c>
      <c r="X21" s="1379"/>
      <c r="Y21" s="3895"/>
      <c r="Z21" s="1387" t="str">
        <f>Q21</f>
        <v>办公集聚程度</v>
      </c>
      <c r="AA21" s="1388">
        <f t="shared" si="3"/>
        <v>1</v>
      </c>
      <c r="AB21" s="1388">
        <f t="shared" si="4"/>
        <v>1</v>
      </c>
      <c r="AC21" s="1388">
        <f t="shared" si="5"/>
        <v>1</v>
      </c>
    </row>
    <row r="22" spans="1:29" ht="21" hidden="1">
      <c r="A22" s="502"/>
      <c r="B22" s="536"/>
      <c r="C22" s="524"/>
      <c r="D22" s="527"/>
      <c r="E22" s="528"/>
      <c r="F22" s="525"/>
      <c r="G22" s="526"/>
      <c r="H22" s="525"/>
      <c r="I22" s="528"/>
      <c r="J22" s="525"/>
      <c r="K22" s="501"/>
      <c r="L22" s="1864"/>
      <c r="M22" s="1854"/>
      <c r="N22" s="1854"/>
      <c r="O22" s="1863"/>
      <c r="P22" s="3895"/>
      <c r="Q22" s="1384"/>
      <c r="R22" s="1385"/>
      <c r="S22" s="1386"/>
      <c r="T22" s="1385"/>
      <c r="U22" s="1386"/>
      <c r="V22" s="1385"/>
      <c r="W22" s="1386"/>
      <c r="X22" s="1379"/>
      <c r="Y22" s="3895"/>
      <c r="Z22" s="1387"/>
      <c r="AA22" s="1388">
        <v>1</v>
      </c>
      <c r="AB22" s="1388">
        <v>1</v>
      </c>
      <c r="AC22" s="1388">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895"/>
      <c r="Q23" s="1384" t="str">
        <f>B23</f>
        <v>交通便捷度</v>
      </c>
      <c r="R23" s="1385" t="s">
        <v>5</v>
      </c>
      <c r="S23" s="1386">
        <f>F23</f>
        <v>100</v>
      </c>
      <c r="T23" s="1385" t="s">
        <v>5</v>
      </c>
      <c r="U23" s="1386">
        <f>H23</f>
        <v>100</v>
      </c>
      <c r="V23" s="1385" t="s">
        <v>5</v>
      </c>
      <c r="W23" s="1386">
        <f>J23</f>
        <v>100</v>
      </c>
      <c r="X23" s="1379"/>
      <c r="Y23" s="3895"/>
      <c r="Z23" s="1387" t="str">
        <f>Q23</f>
        <v>交通便捷度</v>
      </c>
      <c r="AA23" s="1388">
        <f t="shared" si="3"/>
        <v>1</v>
      </c>
      <c r="AB23" s="1388">
        <f t="shared" si="4"/>
        <v>1</v>
      </c>
      <c r="AC23" s="1388">
        <f t="shared" si="5"/>
        <v>1</v>
      </c>
    </row>
    <row r="24" spans="1:29" ht="21">
      <c r="A24" s="502"/>
      <c r="B24" s="548"/>
      <c r="C24" s="524" t="s">
        <v>3404</v>
      </c>
      <c r="D24" s="527"/>
      <c r="E24" s="524" t="s">
        <v>3404</v>
      </c>
      <c r="F24" s="525"/>
      <c r="G24" s="524" t="s">
        <v>3404</v>
      </c>
      <c r="H24" s="525"/>
      <c r="I24" s="524" t="s">
        <v>3404</v>
      </c>
      <c r="J24" s="525"/>
      <c r="K24" s="501"/>
      <c r="L24" s="1864"/>
      <c r="M24" s="1854"/>
      <c r="N24" s="1854"/>
      <c r="O24" s="1863"/>
      <c r="P24" s="3895"/>
      <c r="Q24" s="1384"/>
      <c r="R24" s="1385"/>
      <c r="S24" s="1386"/>
      <c r="T24" s="1385"/>
      <c r="U24" s="1386"/>
      <c r="V24" s="1385"/>
      <c r="W24" s="1386"/>
      <c r="X24" s="1379"/>
      <c r="Y24" s="3895"/>
      <c r="Z24" s="1387"/>
      <c r="AA24" s="1388">
        <v>1</v>
      </c>
      <c r="AB24" s="1388">
        <v>1</v>
      </c>
      <c r="AC24" s="1388">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95"/>
      <c r="Q25" s="1384" t="str">
        <f t="shared" ref="Q25:Q39" si="8">B25</f>
        <v>区域土地利用方向</v>
      </c>
      <c r="R25" s="1385" t="s">
        <v>5</v>
      </c>
      <c r="S25" s="1386">
        <f>F25</f>
        <v>100</v>
      </c>
      <c r="T25" s="1385" t="s">
        <v>5</v>
      </c>
      <c r="U25" s="1386">
        <f>H25</f>
        <v>100</v>
      </c>
      <c r="V25" s="1385" t="s">
        <v>5</v>
      </c>
      <c r="W25" s="1386">
        <f>J25</f>
        <v>100</v>
      </c>
      <c r="X25" s="1379"/>
      <c r="Y25" s="3895"/>
      <c r="Z25" s="1387" t="str">
        <f>Q25</f>
        <v>区域土地利用方向</v>
      </c>
      <c r="AA25" s="1388">
        <f t="shared" si="3"/>
        <v>1</v>
      </c>
      <c r="AB25" s="1388">
        <f t="shared" si="4"/>
        <v>1</v>
      </c>
      <c r="AC25" s="1388">
        <f t="shared" si="5"/>
        <v>1</v>
      </c>
    </row>
    <row r="26" spans="1:29" ht="21">
      <c r="A26" s="485"/>
      <c r="B26" s="967"/>
      <c r="C26" s="524" t="s">
        <v>3404</v>
      </c>
      <c r="D26" s="527"/>
      <c r="E26" s="524" t="s">
        <v>3404</v>
      </c>
      <c r="F26" s="525"/>
      <c r="G26" s="524" t="s">
        <v>3404</v>
      </c>
      <c r="H26" s="525"/>
      <c r="I26" s="524" t="s">
        <v>3404</v>
      </c>
      <c r="J26" s="525"/>
      <c r="K26" s="501"/>
      <c r="L26" s="1864"/>
      <c r="M26" s="1854"/>
      <c r="N26" s="1854"/>
      <c r="O26" s="1863"/>
      <c r="P26" s="3895"/>
      <c r="Q26" s="1384"/>
      <c r="R26" s="1385"/>
      <c r="S26" s="1386"/>
      <c r="T26" s="1385"/>
      <c r="U26" s="1386"/>
      <c r="V26" s="1385"/>
      <c r="W26" s="1386"/>
      <c r="X26" s="1379"/>
      <c r="Y26" s="3895"/>
      <c r="Z26" s="1387"/>
      <c r="AA26" s="1388"/>
      <c r="AB26" s="1388"/>
      <c r="AC26" s="1388"/>
    </row>
    <row r="27" spans="1:29" ht="55.2">
      <c r="A27" s="485"/>
      <c r="B27" s="548" t="s">
        <v>494</v>
      </c>
      <c r="C27" s="531" t="str">
        <f>估价对象房地状况!C20</f>
        <v>区域自然环境：；人文环境；综合评价环境状况一般</v>
      </c>
      <c r="D27" s="533">
        <v>100</v>
      </c>
      <c r="E27" s="534"/>
      <c r="F27" s="529">
        <f>SUMIF(99:99,E28,100:100)-SUMIF(99:99,C28,100:100)+100</f>
        <v>98</v>
      </c>
      <c r="G27" s="532"/>
      <c r="H27" s="529">
        <f>SUMIF(99:99,G28,100:100)-SUMIF(99:99,C28,100:100)+100</f>
        <v>98</v>
      </c>
      <c r="I27" s="534"/>
      <c r="J27" s="529">
        <f>SUMIF(99:99,I28,100:100)-SUMIF(99:99,C28,100:100)+100</f>
        <v>98</v>
      </c>
      <c r="K27" s="505">
        <v>2</v>
      </c>
      <c r="L27" s="1864"/>
      <c r="M27" s="1854"/>
      <c r="N27" s="1854"/>
      <c r="O27" s="1863"/>
      <c r="P27" s="3895"/>
      <c r="Q27" s="1384" t="str">
        <f t="shared" si="8"/>
        <v>自然及人文环境状况</v>
      </c>
      <c r="R27" s="1385" t="s">
        <v>5</v>
      </c>
      <c r="S27" s="1386">
        <f>F27</f>
        <v>98</v>
      </c>
      <c r="T27" s="1385" t="s">
        <v>5</v>
      </c>
      <c r="U27" s="1386">
        <f>H27</f>
        <v>98</v>
      </c>
      <c r="V27" s="1385" t="s">
        <v>5</v>
      </c>
      <c r="W27" s="1386">
        <f>J27</f>
        <v>98</v>
      </c>
      <c r="X27" s="1379"/>
      <c r="Y27" s="3895"/>
      <c r="Z27" s="1387" t="str">
        <f>Q27</f>
        <v>自然及人文环境状况</v>
      </c>
      <c r="AA27" s="1388">
        <f t="shared" si="3"/>
        <v>1.0204081632653061</v>
      </c>
      <c r="AB27" s="1388">
        <f t="shared" si="4"/>
        <v>1.0204081632653061</v>
      </c>
      <c r="AC27" s="1388">
        <f t="shared" si="5"/>
        <v>1.0204081632653061</v>
      </c>
    </row>
    <row r="28" spans="1:29" ht="21">
      <c r="A28" s="485"/>
      <c r="B28" s="536"/>
      <c r="C28" s="524" t="s">
        <v>3404</v>
      </c>
      <c r="D28" s="527"/>
      <c r="E28" s="546" t="s">
        <v>3407</v>
      </c>
      <c r="F28" s="525"/>
      <c r="G28" s="546" t="s">
        <v>3407</v>
      </c>
      <c r="H28" s="525"/>
      <c r="I28" s="546" t="s">
        <v>3407</v>
      </c>
      <c r="J28" s="525"/>
      <c r="K28" s="501"/>
      <c r="L28" s="1864"/>
      <c r="M28" s="1854"/>
      <c r="N28" s="1854"/>
      <c r="O28" s="1863"/>
      <c r="P28" s="3895"/>
      <c r="Q28" s="1384"/>
      <c r="R28" s="1385"/>
      <c r="S28" s="1386"/>
      <c r="T28" s="1385"/>
      <c r="U28" s="1386"/>
      <c r="V28" s="1385"/>
      <c r="W28" s="1386"/>
      <c r="X28" s="1379"/>
      <c r="Y28" s="3895"/>
      <c r="Z28" s="1387"/>
      <c r="AA28" s="1388">
        <v>1</v>
      </c>
      <c r="AB28" s="1388">
        <v>1</v>
      </c>
      <c r="AC28" s="1388">
        <v>1</v>
      </c>
    </row>
    <row r="29" spans="1:29" s="1117" customFormat="1" ht="41.4">
      <c r="A29" s="547"/>
      <c r="B29" s="2198"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100</v>
      </c>
      <c r="I29" s="534"/>
      <c r="J29" s="529">
        <f>SUMIF(101:101,I30,102:102)-SUMIF(101:101,C30,102:102)+100</f>
        <v>98</v>
      </c>
      <c r="K29" s="505">
        <v>2</v>
      </c>
      <c r="L29" s="1857"/>
      <c r="M29" s="1854"/>
      <c r="N29" s="1854"/>
      <c r="O29" s="1859"/>
      <c r="P29" s="3895"/>
      <c r="Q29" s="1049" t="str">
        <f t="shared" si="8"/>
        <v>公共配套设施</v>
      </c>
      <c r="R29" s="1380" t="s">
        <v>5</v>
      </c>
      <c r="S29" s="1381">
        <f>F29</f>
        <v>98</v>
      </c>
      <c r="T29" s="1380" t="s">
        <v>5</v>
      </c>
      <c r="U29" s="1381">
        <f>H29</f>
        <v>100</v>
      </c>
      <c r="V29" s="1380" t="s">
        <v>5</v>
      </c>
      <c r="W29" s="1381">
        <f>J29</f>
        <v>98</v>
      </c>
      <c r="X29" s="1382"/>
      <c r="Y29" s="3895"/>
      <c r="Z29" s="1048" t="str">
        <f>Q29</f>
        <v>公共配套设施</v>
      </c>
      <c r="AA29" s="1388">
        <f>D29/F29</f>
        <v>1.0204081632653061</v>
      </c>
      <c r="AB29" s="1388">
        <f>D29/H29</f>
        <v>1</v>
      </c>
      <c r="AC29" s="1388">
        <f>D29/J29</f>
        <v>1.0204081632653061</v>
      </c>
    </row>
    <row r="30" spans="1:29" s="1117" customFormat="1" ht="21">
      <c r="A30" s="547"/>
      <c r="B30" s="536"/>
      <c r="C30" s="549" t="s">
        <v>3404</v>
      </c>
      <c r="D30" s="527"/>
      <c r="E30" s="546" t="s">
        <v>3407</v>
      </c>
      <c r="F30" s="525"/>
      <c r="G30" s="524" t="s">
        <v>3404</v>
      </c>
      <c r="H30" s="525"/>
      <c r="I30" s="546" t="s">
        <v>3407</v>
      </c>
      <c r="J30" s="525"/>
      <c r="K30" s="501"/>
      <c r="L30" s="1857"/>
      <c r="M30" s="1854"/>
      <c r="N30" s="1854"/>
      <c r="O30" s="1859"/>
      <c r="P30" s="3895"/>
      <c r="Q30" s="1049"/>
      <c r="R30" s="1380"/>
      <c r="S30" s="1381"/>
      <c r="T30" s="1380"/>
      <c r="U30" s="1381"/>
      <c r="V30" s="1380"/>
      <c r="W30" s="1381"/>
      <c r="X30" s="1382"/>
      <c r="Y30" s="3895"/>
      <c r="Z30" s="1048"/>
      <c r="AA30" s="1388">
        <v>1</v>
      </c>
      <c r="AB30" s="1388">
        <v>1</v>
      </c>
      <c r="AC30" s="1388">
        <v>1</v>
      </c>
    </row>
    <row r="31" spans="1:29" s="1117"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95"/>
      <c r="Q31" s="2191" t="str">
        <f>B31</f>
        <v>基础设施水平</v>
      </c>
      <c r="R31" s="1380" t="s">
        <v>5</v>
      </c>
      <c r="S31" s="1381">
        <f>F31</f>
        <v>100</v>
      </c>
      <c r="T31" s="1380" t="s">
        <v>5</v>
      </c>
      <c r="U31" s="1381">
        <f>H31</f>
        <v>100</v>
      </c>
      <c r="V31" s="1380" t="s">
        <v>5</v>
      </c>
      <c r="W31" s="1381">
        <f>J31</f>
        <v>100</v>
      </c>
      <c r="X31" s="1382"/>
      <c r="Y31" s="3895"/>
      <c r="Z31" s="2190" t="str">
        <f>Q31</f>
        <v>基础设施水平</v>
      </c>
      <c r="AA31" s="1388">
        <f>D31/F31</f>
        <v>1</v>
      </c>
      <c r="AB31" s="1388">
        <f>D31/H31</f>
        <v>1</v>
      </c>
      <c r="AC31" s="1388">
        <f>D31/J31</f>
        <v>1</v>
      </c>
    </row>
    <row r="32" spans="1:29" s="1117" customFormat="1" ht="21">
      <c r="A32" s="547"/>
      <c r="B32" s="536"/>
      <c r="C32" s="549" t="s">
        <v>3399</v>
      </c>
      <c r="D32" s="527"/>
      <c r="E32" s="549" t="s">
        <v>3399</v>
      </c>
      <c r="F32" s="525"/>
      <c r="G32" s="549" t="s">
        <v>3399</v>
      </c>
      <c r="H32" s="525"/>
      <c r="I32" s="549" t="s">
        <v>3399</v>
      </c>
      <c r="J32" s="525"/>
      <c r="K32" s="501"/>
      <c r="L32" s="1857"/>
      <c r="M32" s="1854"/>
      <c r="N32" s="1854"/>
      <c r="O32" s="1859"/>
      <c r="P32" s="3895"/>
      <c r="Q32" s="2191"/>
      <c r="R32" s="1380"/>
      <c r="S32" s="1381"/>
      <c r="T32" s="1380"/>
      <c r="U32" s="1381"/>
      <c r="V32" s="1380"/>
      <c r="W32" s="1381"/>
      <c r="X32" s="1382"/>
      <c r="Y32" s="3895"/>
      <c r="Z32" s="2190"/>
      <c r="AA32" s="1388">
        <v>1</v>
      </c>
      <c r="AB32" s="1388">
        <v>1</v>
      </c>
      <c r="AC32" s="1388">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95"/>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95"/>
      <c r="Z33" s="1387" t="str">
        <f t="shared" ref="Z33:Z47" si="12">Q33</f>
        <v>临街状况</v>
      </c>
      <c r="AA33" s="1388">
        <f t="shared" si="3"/>
        <v>1</v>
      </c>
      <c r="AB33" s="1388">
        <f t="shared" si="4"/>
        <v>1</v>
      </c>
      <c r="AC33" s="1388">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95"/>
      <c r="Q34" s="1384" t="str">
        <f t="shared" si="8"/>
        <v>毗邻道路的类型与等级</v>
      </c>
      <c r="R34" s="1385" t="s">
        <v>5</v>
      </c>
      <c r="S34" s="1386">
        <f t="shared" si="9"/>
        <v>100</v>
      </c>
      <c r="T34" s="1385" t="s">
        <v>5</v>
      </c>
      <c r="U34" s="1386">
        <f t="shared" si="10"/>
        <v>100</v>
      </c>
      <c r="V34" s="1385" t="s">
        <v>5</v>
      </c>
      <c r="W34" s="1386">
        <f t="shared" si="11"/>
        <v>100</v>
      </c>
      <c r="X34" s="1379"/>
      <c r="Y34" s="3895"/>
      <c r="Z34" s="1387" t="str">
        <f t="shared" si="12"/>
        <v>毗邻道路的类型与等级</v>
      </c>
      <c r="AA34" s="1388">
        <f t="shared" si="3"/>
        <v>1</v>
      </c>
      <c r="AB34" s="1388">
        <f t="shared" si="4"/>
        <v>1</v>
      </c>
      <c r="AC34" s="1388">
        <f t="shared" si="5"/>
        <v>1</v>
      </c>
    </row>
    <row r="35" spans="1:29" ht="21">
      <c r="A35" s="502"/>
      <c r="B35" s="536"/>
      <c r="C35" s="524"/>
      <c r="D35" s="527"/>
      <c r="E35" s="546"/>
      <c r="F35" s="525"/>
      <c r="G35" s="524"/>
      <c r="H35" s="525"/>
      <c r="I35" s="546"/>
      <c r="J35" s="525"/>
      <c r="K35" s="551"/>
      <c r="L35" s="1864"/>
      <c r="M35" s="1854"/>
      <c r="N35" s="1854"/>
      <c r="O35" s="1863"/>
      <c r="P35" s="3895"/>
      <c r="Q35" s="1384"/>
      <c r="R35" s="1385"/>
      <c r="S35" s="1386"/>
      <c r="T35" s="1385"/>
      <c r="U35" s="1386"/>
      <c r="V35" s="1385"/>
      <c r="W35" s="1386"/>
      <c r="X35" s="1379"/>
      <c r="Y35" s="3895"/>
      <c r="Z35" s="1387"/>
      <c r="AA35" s="1388">
        <v>1</v>
      </c>
      <c r="AB35" s="1388">
        <v>1</v>
      </c>
      <c r="AC35" s="1388">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95"/>
      <c r="Q36" s="1384" t="str">
        <f t="shared" si="8"/>
        <v>土地级别</v>
      </c>
      <c r="R36" s="1385" t="s">
        <v>5</v>
      </c>
      <c r="S36" s="1386">
        <f t="shared" si="9"/>
        <v>100</v>
      </c>
      <c r="T36" s="1385" t="s">
        <v>5</v>
      </c>
      <c r="U36" s="1386">
        <f t="shared" si="10"/>
        <v>100</v>
      </c>
      <c r="V36" s="1385" t="s">
        <v>5</v>
      </c>
      <c r="W36" s="1386">
        <f t="shared" si="11"/>
        <v>100</v>
      </c>
      <c r="X36" s="1379"/>
      <c r="Y36" s="3895"/>
      <c r="Z36" s="1387" t="str">
        <f t="shared" si="12"/>
        <v>土地级别</v>
      </c>
      <c r="AA36" s="1388">
        <f t="shared" si="3"/>
        <v>1</v>
      </c>
      <c r="AB36" s="1388">
        <f t="shared" si="4"/>
        <v>1</v>
      </c>
      <c r="AC36" s="1388">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95"/>
      <c r="Q37" s="1384">
        <f t="shared" si="8"/>
        <v>111</v>
      </c>
      <c r="R37" s="1385" t="s">
        <v>5</v>
      </c>
      <c r="S37" s="1386">
        <f t="shared" si="9"/>
        <v>100</v>
      </c>
      <c r="T37" s="1385" t="s">
        <v>5</v>
      </c>
      <c r="U37" s="1386">
        <f t="shared" si="10"/>
        <v>100</v>
      </c>
      <c r="V37" s="1385" t="s">
        <v>5</v>
      </c>
      <c r="W37" s="1386">
        <f t="shared" si="11"/>
        <v>100</v>
      </c>
      <c r="X37" s="1379"/>
      <c r="Y37" s="3895"/>
      <c r="Z37" s="1387">
        <f t="shared" si="12"/>
        <v>111</v>
      </c>
      <c r="AA37" s="1388">
        <f t="shared" si="3"/>
        <v>1</v>
      </c>
      <c r="AB37" s="1388">
        <f t="shared" si="4"/>
        <v>1</v>
      </c>
      <c r="AC37" s="1388">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96" t="s">
        <v>499</v>
      </c>
      <c r="Q38" s="1384">
        <f t="shared" si="8"/>
        <v>111</v>
      </c>
      <c r="R38" s="1385" t="s">
        <v>5</v>
      </c>
      <c r="S38" s="1386">
        <f t="shared" si="9"/>
        <v>100</v>
      </c>
      <c r="T38" s="1385" t="s">
        <v>5</v>
      </c>
      <c r="U38" s="1386">
        <f t="shared" si="10"/>
        <v>100</v>
      </c>
      <c r="V38" s="1385" t="s">
        <v>5</v>
      </c>
      <c r="W38" s="1386">
        <f t="shared" si="11"/>
        <v>100</v>
      </c>
      <c r="X38" s="1379"/>
      <c r="Y38" s="3897" t="s">
        <v>499</v>
      </c>
      <c r="Z38" s="1387">
        <f t="shared" si="12"/>
        <v>111</v>
      </c>
      <c r="AA38" s="1388">
        <f t="shared" si="3"/>
        <v>1</v>
      </c>
      <c r="AB38" s="1388">
        <f t="shared" si="4"/>
        <v>1</v>
      </c>
      <c r="AC38" s="1388">
        <f t="shared" si="5"/>
        <v>1</v>
      </c>
    </row>
    <row r="39" spans="1:29" s="1199"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97"/>
      <c r="Q39" s="1384">
        <f t="shared" si="8"/>
        <v>111</v>
      </c>
      <c r="R39" s="1389" t="s">
        <v>5</v>
      </c>
      <c r="S39" s="1390">
        <f t="shared" si="9"/>
        <v>100</v>
      </c>
      <c r="T39" s="1389" t="s">
        <v>5</v>
      </c>
      <c r="U39" s="1390">
        <f t="shared" si="10"/>
        <v>100</v>
      </c>
      <c r="V39" s="1389" t="s">
        <v>5</v>
      </c>
      <c r="W39" s="1390">
        <f t="shared" si="11"/>
        <v>100</v>
      </c>
      <c r="X39" s="1391"/>
      <c r="Y39" s="3897"/>
      <c r="Z39" s="1392">
        <f t="shared" si="12"/>
        <v>111</v>
      </c>
      <c r="AA39" s="1388">
        <f t="shared" si="3"/>
        <v>1</v>
      </c>
      <c r="AB39" s="1388">
        <f t="shared" si="4"/>
        <v>1</v>
      </c>
      <c r="AC39" s="1388">
        <f t="shared" si="5"/>
        <v>1</v>
      </c>
    </row>
    <row r="40" spans="1:29" ht="21">
      <c r="A40" s="2386" t="s">
        <v>2037</v>
      </c>
      <c r="B40" s="565" t="s">
        <v>501</v>
      </c>
      <c r="C40" s="566">
        <f>土地案例!D3</f>
        <v>69193.56</v>
      </c>
      <c r="D40" s="567">
        <v>100</v>
      </c>
      <c r="E40" s="566">
        <f>土地案例!D7</f>
        <v>40739.620000000003</v>
      </c>
      <c r="F40" s="567">
        <f>LOOKUP(E40,118:118,119:119)-LOOKUP(C40,118:118,119:119)+100</f>
        <v>99</v>
      </c>
      <c r="G40" s="566">
        <f>土地案例!D9</f>
        <v>57208.800000000003</v>
      </c>
      <c r="H40" s="567">
        <f>LOOKUP(G40,118:118,119:119)-LOOKUP(C40,118:118,119:119)+100</f>
        <v>100</v>
      </c>
      <c r="I40" s="568">
        <f>土地案例!D13</f>
        <v>99454.31</v>
      </c>
      <c r="J40" s="567">
        <f>LOOKUP(I40,118:118,119:119)-LOOKUP(C40,118:118,119:119)+100</f>
        <v>100</v>
      </c>
      <c r="K40" s="551"/>
      <c r="L40" s="1864"/>
      <c r="M40" s="1854"/>
      <c r="N40" s="1854"/>
      <c r="O40" s="1863"/>
      <c r="P40" s="3897"/>
      <c r="Q40" s="1384" t="str">
        <f>B40</f>
        <v>宗地面积</v>
      </c>
      <c r="R40" s="1385" t="s">
        <v>5</v>
      </c>
      <c r="S40" s="1386">
        <f t="shared" si="9"/>
        <v>99</v>
      </c>
      <c r="T40" s="1385" t="s">
        <v>5</v>
      </c>
      <c r="U40" s="1386">
        <f t="shared" si="10"/>
        <v>100</v>
      </c>
      <c r="V40" s="1385" t="s">
        <v>5</v>
      </c>
      <c r="W40" s="1386">
        <f t="shared" si="11"/>
        <v>100</v>
      </c>
      <c r="X40" s="1379"/>
      <c r="Y40" s="3897"/>
      <c r="Z40" s="1387" t="str">
        <f t="shared" si="12"/>
        <v>宗地面积</v>
      </c>
      <c r="AA40" s="1388">
        <f t="shared" si="3"/>
        <v>1.0101010101010102</v>
      </c>
      <c r="AB40" s="1388">
        <f t="shared" si="4"/>
        <v>1</v>
      </c>
      <c r="AC40" s="1388">
        <f t="shared" si="5"/>
        <v>1</v>
      </c>
    </row>
    <row r="41" spans="1:29" ht="21">
      <c r="A41" s="564"/>
      <c r="B41" s="497" t="s">
        <v>502</v>
      </c>
      <c r="C41" s="569" t="s">
        <v>3396</v>
      </c>
      <c r="D41" s="510">
        <v>100</v>
      </c>
      <c r="E41" s="569" t="s">
        <v>3396</v>
      </c>
      <c r="F41" s="510">
        <f>SUMIF(120:120,E41,121:121)-SUMIF(120:120,C41,121:121)+100</f>
        <v>100</v>
      </c>
      <c r="G41" s="569" t="s">
        <v>3396</v>
      </c>
      <c r="H41" s="510">
        <f>SUMIF(120:120,G41,121:121)-SUMIF(120:120,C41,121:121)+100</f>
        <v>100</v>
      </c>
      <c r="I41" s="569" t="s">
        <v>3396</v>
      </c>
      <c r="J41" s="510">
        <f>SUMIF(120:120,I41,121:121)-SUMIF(120:120,C41,121:121)+100</f>
        <v>100</v>
      </c>
      <c r="K41" s="554">
        <v>2</v>
      </c>
      <c r="L41" s="1864"/>
      <c r="M41" s="1854"/>
      <c r="N41" s="1854"/>
      <c r="O41" s="1863"/>
      <c r="P41" s="3897"/>
      <c r="Q41" s="1384" t="str">
        <f t="shared" ref="Q41:Q47" si="13">B41</f>
        <v>宗地形状</v>
      </c>
      <c r="R41" s="1385" t="s">
        <v>5</v>
      </c>
      <c r="S41" s="1386">
        <f t="shared" si="9"/>
        <v>100</v>
      </c>
      <c r="T41" s="1385" t="s">
        <v>5</v>
      </c>
      <c r="U41" s="1386">
        <f t="shared" si="10"/>
        <v>100</v>
      </c>
      <c r="V41" s="1385" t="s">
        <v>5</v>
      </c>
      <c r="W41" s="1386">
        <f t="shared" si="11"/>
        <v>100</v>
      </c>
      <c r="X41" s="1379"/>
      <c r="Y41" s="3897"/>
      <c r="Z41" s="1387" t="str">
        <f t="shared" si="12"/>
        <v>宗地形状</v>
      </c>
      <c r="AA41" s="1388">
        <f t="shared" si="3"/>
        <v>1</v>
      </c>
      <c r="AB41" s="1388">
        <f t="shared" si="4"/>
        <v>1</v>
      </c>
      <c r="AC41" s="1388">
        <f t="shared" si="5"/>
        <v>1</v>
      </c>
    </row>
    <row r="42" spans="1:29" ht="21">
      <c r="A42" s="564"/>
      <c r="B42" s="497" t="s">
        <v>503</v>
      </c>
      <c r="C42" s="569" t="s">
        <v>3405</v>
      </c>
      <c r="D42" s="510">
        <v>100</v>
      </c>
      <c r="E42" s="569" t="s">
        <v>3405</v>
      </c>
      <c r="F42" s="510">
        <f>SUMIF(122:122,E42,123:123)-SUMIF(122:122,C42,123:123)+100</f>
        <v>100</v>
      </c>
      <c r="G42" s="569" t="s">
        <v>3405</v>
      </c>
      <c r="H42" s="510">
        <f>SUMIF(122:122,G42,123:123)-SUMIF(122:122,C42,123:123)+100</f>
        <v>100</v>
      </c>
      <c r="I42" s="569" t="s">
        <v>3405</v>
      </c>
      <c r="J42" s="510">
        <f>SUMIF(122:122,I42,123:123)-SUMIF(122:122,C42,123:123)+100</f>
        <v>100</v>
      </c>
      <c r="K42" s="554">
        <v>2</v>
      </c>
      <c r="L42" s="1864"/>
      <c r="M42" s="1854"/>
      <c r="N42" s="1854"/>
      <c r="O42" s="1863"/>
      <c r="P42" s="3897"/>
      <c r="Q42" s="1384" t="str">
        <f t="shared" si="13"/>
        <v>临街宽度及深度</v>
      </c>
      <c r="R42" s="1385" t="s">
        <v>5</v>
      </c>
      <c r="S42" s="1386">
        <f t="shared" si="9"/>
        <v>100</v>
      </c>
      <c r="T42" s="1385" t="s">
        <v>5</v>
      </c>
      <c r="U42" s="1386">
        <f t="shared" si="10"/>
        <v>100</v>
      </c>
      <c r="V42" s="1385" t="s">
        <v>5</v>
      </c>
      <c r="W42" s="1386">
        <f t="shared" si="11"/>
        <v>100</v>
      </c>
      <c r="X42" s="1379"/>
      <c r="Y42" s="3897"/>
      <c r="Z42" s="1387" t="str">
        <f t="shared" si="12"/>
        <v>临街宽度及深度</v>
      </c>
      <c r="AA42" s="1388">
        <f t="shared" si="3"/>
        <v>1</v>
      </c>
      <c r="AB42" s="1388">
        <f t="shared" si="4"/>
        <v>1</v>
      </c>
      <c r="AC42" s="1388">
        <f t="shared" si="5"/>
        <v>1</v>
      </c>
    </row>
    <row r="43" spans="1:29" s="1117" customFormat="1" ht="21">
      <c r="A43" s="570"/>
      <c r="B43" s="1650" t="s">
        <v>1776</v>
      </c>
      <c r="C43" s="571" t="s">
        <v>3400</v>
      </c>
      <c r="D43" s="246">
        <v>100</v>
      </c>
      <c r="E43" s="571" t="s">
        <v>3402</v>
      </c>
      <c r="F43" s="510">
        <f>SUMIF(124:124,E43,125:125)-SUMIF(124:124,C43,125:125)+100</f>
        <v>98</v>
      </c>
      <c r="G43" s="571" t="s">
        <v>3400</v>
      </c>
      <c r="H43" s="510">
        <f>SUMIF(124:124,G43,125:125)-SUMIF(124:124,C43,125:125)+100</f>
        <v>100</v>
      </c>
      <c r="I43" s="571" t="s">
        <v>3400</v>
      </c>
      <c r="J43" s="510">
        <f>SUMIF(124:124,I43,125:125)-SUMIF(124:124,C43,125:125)+100</f>
        <v>100</v>
      </c>
      <c r="K43" s="554">
        <v>1</v>
      </c>
      <c r="L43" s="1857"/>
      <c r="M43" s="1854"/>
      <c r="N43" s="1854"/>
      <c r="O43" s="1859"/>
      <c r="P43" s="3897"/>
      <c r="Q43" s="1384" t="str">
        <f t="shared" si="13"/>
        <v>宗地开发程度</v>
      </c>
      <c r="R43" s="1380" t="s">
        <v>5</v>
      </c>
      <c r="S43" s="1381">
        <f t="shared" si="9"/>
        <v>98</v>
      </c>
      <c r="T43" s="1380" t="s">
        <v>5</v>
      </c>
      <c r="U43" s="1381">
        <f t="shared" si="10"/>
        <v>100</v>
      </c>
      <c r="V43" s="1380" t="s">
        <v>5</v>
      </c>
      <c r="W43" s="1381">
        <f t="shared" si="11"/>
        <v>100</v>
      </c>
      <c r="X43" s="1382"/>
      <c r="Y43" s="3897"/>
      <c r="Z43" s="1048" t="str">
        <f t="shared" si="12"/>
        <v>宗地开发程度</v>
      </c>
      <c r="AA43" s="1383">
        <f t="shared" si="3"/>
        <v>1.0204081632653061</v>
      </c>
      <c r="AB43" s="1383">
        <f t="shared" si="4"/>
        <v>1</v>
      </c>
      <c r="AC43" s="1383">
        <f t="shared" si="5"/>
        <v>1</v>
      </c>
    </row>
    <row r="44" spans="1:29" ht="21">
      <c r="A44" s="564"/>
      <c r="B44" s="497" t="s">
        <v>504</v>
      </c>
      <c r="C44" s="569" t="s">
        <v>3404</v>
      </c>
      <c r="D44" s="510">
        <v>100</v>
      </c>
      <c r="E44" s="569" t="s">
        <v>3404</v>
      </c>
      <c r="F44" s="510">
        <f>SUMIF(126:126,E44,127:127)-SUMIF(126:126,C44,127:127)+100</f>
        <v>100</v>
      </c>
      <c r="G44" s="569" t="s">
        <v>3404</v>
      </c>
      <c r="H44" s="510">
        <f>SUMIF(126:126,G44,127:127)-SUMIF(126:126,C44,127:127)+100</f>
        <v>100</v>
      </c>
      <c r="I44" s="569" t="s">
        <v>3404</v>
      </c>
      <c r="J44" s="510">
        <f>SUMIF(126:126,I44,127:127)-SUMIF(126:126,C44,127:127)+100</f>
        <v>100</v>
      </c>
      <c r="K44" s="554">
        <v>2</v>
      </c>
      <c r="L44" s="1864"/>
      <c r="M44" s="1854"/>
      <c r="N44" s="1854"/>
      <c r="O44" s="1863"/>
      <c r="P44" s="3897" t="s">
        <v>499</v>
      </c>
      <c r="Q44" s="1384" t="str">
        <f t="shared" si="13"/>
        <v>工程地质条件</v>
      </c>
      <c r="R44" s="1385" t="s">
        <v>5</v>
      </c>
      <c r="S44" s="1386">
        <f t="shared" si="9"/>
        <v>100</v>
      </c>
      <c r="T44" s="1385" t="s">
        <v>5</v>
      </c>
      <c r="U44" s="1386">
        <f t="shared" si="10"/>
        <v>100</v>
      </c>
      <c r="V44" s="1385" t="s">
        <v>5</v>
      </c>
      <c r="W44" s="1386">
        <f t="shared" si="11"/>
        <v>100</v>
      </c>
      <c r="X44" s="1379"/>
      <c r="Y44" s="3897" t="s">
        <v>499</v>
      </c>
      <c r="Z44" s="1387" t="str">
        <f t="shared" si="12"/>
        <v>工程地质条件</v>
      </c>
      <c r="AA44" s="1388">
        <f t="shared" si="3"/>
        <v>1</v>
      </c>
      <c r="AB44" s="1388">
        <f t="shared" si="4"/>
        <v>1</v>
      </c>
      <c r="AC44" s="1388">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97"/>
      <c r="Q45" s="1384">
        <f t="shared" si="13"/>
        <v>111</v>
      </c>
      <c r="R45" s="1385" t="s">
        <v>5</v>
      </c>
      <c r="S45" s="1386">
        <f t="shared" si="9"/>
        <v>100</v>
      </c>
      <c r="T45" s="1385" t="s">
        <v>5</v>
      </c>
      <c r="U45" s="1386">
        <f t="shared" si="10"/>
        <v>100</v>
      </c>
      <c r="V45" s="1385" t="s">
        <v>5</v>
      </c>
      <c r="W45" s="1386">
        <f t="shared" si="11"/>
        <v>100</v>
      </c>
      <c r="X45" s="1379"/>
      <c r="Y45" s="3897"/>
      <c r="Z45" s="1387">
        <f t="shared" si="12"/>
        <v>111</v>
      </c>
      <c r="AA45" s="1388">
        <f t="shared" si="3"/>
        <v>1</v>
      </c>
      <c r="AB45" s="1388">
        <f t="shared" si="4"/>
        <v>1</v>
      </c>
      <c r="AC45" s="1388">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97"/>
      <c r="Q46" s="1384">
        <f t="shared" si="13"/>
        <v>111</v>
      </c>
      <c r="R46" s="1385" t="s">
        <v>5</v>
      </c>
      <c r="S46" s="1386">
        <f t="shared" si="9"/>
        <v>100</v>
      </c>
      <c r="T46" s="1385" t="s">
        <v>5</v>
      </c>
      <c r="U46" s="1386">
        <f t="shared" si="10"/>
        <v>100</v>
      </c>
      <c r="V46" s="1385" t="s">
        <v>5</v>
      </c>
      <c r="W46" s="1386">
        <f t="shared" si="11"/>
        <v>100</v>
      </c>
      <c r="X46" s="1379"/>
      <c r="Y46" s="3897"/>
      <c r="Z46" s="1387">
        <f t="shared" si="12"/>
        <v>111</v>
      </c>
      <c r="AA46" s="1388">
        <f t="shared" si="3"/>
        <v>1</v>
      </c>
      <c r="AB46" s="1388">
        <f t="shared" si="4"/>
        <v>1</v>
      </c>
      <c r="AC46" s="1388">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97"/>
      <c r="Q47" s="1384">
        <f t="shared" si="13"/>
        <v>111</v>
      </c>
      <c r="R47" s="1389" t="s">
        <v>5</v>
      </c>
      <c r="S47" s="1390">
        <f t="shared" si="9"/>
        <v>100</v>
      </c>
      <c r="T47" s="1389" t="s">
        <v>5</v>
      </c>
      <c r="U47" s="1390">
        <f t="shared" si="10"/>
        <v>100</v>
      </c>
      <c r="V47" s="1389" t="s">
        <v>5</v>
      </c>
      <c r="W47" s="1390">
        <f t="shared" si="11"/>
        <v>100</v>
      </c>
      <c r="X47" s="1391"/>
      <c r="Y47" s="3897"/>
      <c r="Z47" s="1392">
        <f t="shared" si="12"/>
        <v>111</v>
      </c>
      <c r="AA47" s="1388">
        <f t="shared" si="3"/>
        <v>1</v>
      </c>
      <c r="AB47" s="1388">
        <f t="shared" si="4"/>
        <v>1</v>
      </c>
      <c r="AC47" s="1388">
        <f t="shared" si="5"/>
        <v>1</v>
      </c>
    </row>
    <row r="48" spans="1:29" ht="21">
      <c r="A48" s="577" t="s">
        <v>505</v>
      </c>
      <c r="B48" s="578" t="s">
        <v>3408</v>
      </c>
      <c r="C48" s="579" t="s">
        <v>0</v>
      </c>
      <c r="D48" s="580"/>
      <c r="E48" s="581">
        <v>18671</v>
      </c>
      <c r="F48" s="582"/>
      <c r="G48" s="583">
        <v>22396</v>
      </c>
      <c r="H48" s="584"/>
      <c r="I48" s="581">
        <v>21190</v>
      </c>
      <c r="J48" s="584"/>
      <c r="K48" s="1200"/>
      <c r="L48" s="1866"/>
      <c r="M48" s="1854"/>
      <c r="N48" s="1854"/>
      <c r="O48" s="1867"/>
      <c r="P48" s="3861" t="str">
        <f>A48</f>
        <v>成交单价</v>
      </c>
      <c r="Q48" s="3861"/>
      <c r="R48" s="3862">
        <f>E48</f>
        <v>18671</v>
      </c>
      <c r="S48" s="3862"/>
      <c r="T48" s="3862">
        <f>G48</f>
        <v>22396</v>
      </c>
      <c r="U48" s="3862"/>
      <c r="V48" s="3862">
        <f>I48</f>
        <v>21190</v>
      </c>
      <c r="W48" s="3862"/>
      <c r="X48" s="1374"/>
      <c r="Y48" s="1393"/>
      <c r="Z48" s="1374"/>
      <c r="AA48" s="1374"/>
      <c r="AB48" s="1374"/>
      <c r="AC48" s="1374"/>
    </row>
    <row r="49" spans="1:29" ht="21.6" thickBot="1">
      <c r="A49" s="585" t="s">
        <v>1975</v>
      </c>
      <c r="B49" s="586"/>
      <c r="C49" s="587">
        <f>R50</f>
        <v>23020</v>
      </c>
      <c r="D49" s="2755" t="s">
        <v>2261</v>
      </c>
      <c r="E49" s="587">
        <f>R49</f>
        <v>21075</v>
      </c>
      <c r="F49" s="2756"/>
      <c r="G49" s="588">
        <f>T49</f>
        <v>24046</v>
      </c>
      <c r="H49" s="2756"/>
      <c r="I49" s="587">
        <f>V49</f>
        <v>23938</v>
      </c>
      <c r="J49" s="2756"/>
      <c r="K49" s="2757">
        <f>F49+H49+J49</f>
        <v>0</v>
      </c>
      <c r="L49" s="1866"/>
      <c r="M49" s="1854"/>
      <c r="N49" s="1854"/>
      <c r="O49" s="1867"/>
      <c r="P49" s="3861" t="str">
        <f>A49</f>
        <v>比较价格（元/平方米）</v>
      </c>
      <c r="Q49" s="3861"/>
      <c r="R49" s="3863">
        <f>ROUND(PRODUCT(R48,AA9:AA47),0)</f>
        <v>21075</v>
      </c>
      <c r="S49" s="3863"/>
      <c r="T49" s="3863">
        <f>ROUND(PRODUCT(T48,AB9:AB47),0)</f>
        <v>24046</v>
      </c>
      <c r="U49" s="3863"/>
      <c r="V49" s="3863">
        <f>ROUND(PRODUCT(V48,AC9:AC47),0)</f>
        <v>23938</v>
      </c>
      <c r="W49" s="3863"/>
      <c r="X49" s="1374"/>
      <c r="Y49" s="1374"/>
      <c r="Z49" s="1374"/>
      <c r="AA49" s="1374"/>
      <c r="AB49" s="1374"/>
      <c r="AC49" s="1374"/>
    </row>
    <row r="50" spans="1:29" ht="21.6" thickBot="1">
      <c r="A50" s="589" t="s">
        <v>2198</v>
      </c>
      <c r="B50" s="590"/>
      <c r="C50" s="591">
        <f>R50</f>
        <v>23020</v>
      </c>
      <c r="D50" s="591"/>
      <c r="E50" s="591"/>
      <c r="F50" s="591"/>
      <c r="G50" s="591"/>
      <c r="H50" s="591"/>
      <c r="I50" s="591"/>
      <c r="J50" s="591"/>
      <c r="K50" s="1201"/>
      <c r="L50" s="1866"/>
      <c r="M50" s="1854"/>
      <c r="N50" s="1854"/>
      <c r="O50" s="1867"/>
      <c r="P50" s="3898" t="str">
        <f>A50</f>
        <v>估价对象XX用房的比较价格（楼面单价，元/平方米）</v>
      </c>
      <c r="Q50" s="3899"/>
      <c r="R50" s="3860">
        <f>ROUND(IF(D49="简单平均",AVERAGE(R49:W49),R49*F49+T49*H49+V49*J49),0)</f>
        <v>23020</v>
      </c>
      <c r="S50" s="3860"/>
      <c r="T50" s="3860"/>
      <c r="U50" s="3860"/>
      <c r="V50" s="3860"/>
      <c r="W50" s="3860"/>
      <c r="X50" s="1374"/>
      <c r="Y50" s="1374"/>
      <c r="Z50" s="1374"/>
      <c r="AA50" s="1374"/>
      <c r="AB50" s="1374"/>
      <c r="AC50" s="1374"/>
    </row>
    <row r="51" spans="1:29" ht="21">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1">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0.12875582454073164</v>
      </c>
      <c r="F53" s="595" t="str">
        <f>IF(OR(E53&gt;=0.3,E53&lt;=-0.3),"超过30%","")</f>
        <v/>
      </c>
      <c r="G53" s="594">
        <f>IF(G48&lt;G49,G49/G48-1,G48/G49-1)</f>
        <v>7.3673870333988312E-2</v>
      </c>
      <c r="H53" s="595" t="str">
        <f>IF(OR(G53&gt;=0.3,G53&lt;=-0.3),"超过30%","")</f>
        <v/>
      </c>
      <c r="I53" s="594">
        <f>IF(I48&lt;I49,I49/I48-1,I48/I49-1)</f>
        <v>0.12968381311939603</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0.14097271648873066</v>
      </c>
      <c r="F54" s="595" t="str">
        <f>IF(OR(E54&gt;=0.2,E54&lt;=-0.2),"超过20%","")</f>
        <v/>
      </c>
      <c r="G54" s="594">
        <f>IF(G49&lt;I49,I49/G49-1,G49/I49-1)</f>
        <v>4.5116551090316204E-3</v>
      </c>
      <c r="H54" s="595" t="str">
        <f>IF(OR(G54&gt;=0.2,G54&lt;=-0.2),"超过20%","")</f>
        <v/>
      </c>
      <c r="I54" s="594">
        <f>IF(I49&lt;E49,E49/I49-1,I49/E49-1)</f>
        <v>0.13584816132858846</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0.1995072572438541</v>
      </c>
      <c r="F55" s="595" t="str">
        <f>IF(OR(E55&gt;=0.3,E55&lt;=-0.3),"超过30%","")</f>
        <v/>
      </c>
      <c r="G55" s="594">
        <f>IF(G48&lt;I48,I48/G48-1,G48/I48-1)</f>
        <v>5.6913638508730546E-2</v>
      </c>
      <c r="H55" s="595" t="str">
        <f>IF(OR(G55&gt;=0.3,G55&lt;=-0.3),"超过30%","")</f>
        <v/>
      </c>
      <c r="I55" s="594">
        <f>IF(I48&lt;E48,E48/I48-1,I48/E48-1)</f>
        <v>0.13491510899255532</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87" t="s">
        <v>1639</v>
      </c>
      <c r="H57" s="3888"/>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1" t="s">
        <v>513</v>
      </c>
      <c r="B58" s="602">
        <f>C50</f>
        <v>23020</v>
      </c>
      <c r="C58" s="603">
        <v>1</v>
      </c>
      <c r="D58" s="1946">
        <v>1</v>
      </c>
      <c r="E58" s="603">
        <f>'数据-汇总表'!E8+'数据-汇总表'!E9</f>
        <v>109460.71999999999</v>
      </c>
      <c r="F58" s="604">
        <f t="shared" ref="F58:F66" si="14">ROUND(B58*E58/10000,0)</f>
        <v>251979</v>
      </c>
      <c r="G58" s="3889"/>
      <c r="H58" s="3890"/>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514</v>
      </c>
      <c r="B59" s="606">
        <f>ROUND($C$50*C59*D59,0)</f>
        <v>3453</v>
      </c>
      <c r="C59" s="365">
        <f t="shared" ref="C59:C66" si="15">IF($C$57="北京市系数",I59,J59)</f>
        <v>0.6</v>
      </c>
      <c r="D59" s="1947">
        <v>0.25</v>
      </c>
      <c r="E59" s="607">
        <f>'数据-基础表'!K13</f>
        <v>1860</v>
      </c>
      <c r="F59" s="604">
        <f t="shared" si="14"/>
        <v>642</v>
      </c>
      <c r="G59" s="3275" t="s">
        <v>1640</v>
      </c>
      <c r="H59" s="1703" t="str">
        <f>项目基本情况!B43</f>
        <v>七级</v>
      </c>
      <c r="I59" s="1372">
        <f>SUMIF(修正!$A$57:$A$68,H59,修正!B57:B68)</f>
        <v>0.6</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515</v>
      </c>
      <c r="B60" s="606">
        <f t="shared" ref="B60:B66" si="16">ROUND($C$50*C60*D60,0)</f>
        <v>1727</v>
      </c>
      <c r="C60" s="365">
        <f t="shared" si="15"/>
        <v>0.3</v>
      </c>
      <c r="D60" s="1947">
        <v>0.25</v>
      </c>
      <c r="E60" s="607">
        <v>0</v>
      </c>
      <c r="F60" s="604">
        <f t="shared" si="14"/>
        <v>0</v>
      </c>
      <c r="G60" s="3276"/>
      <c r="H60" s="1703" t="str">
        <f>项目基本情况!B43</f>
        <v>七级</v>
      </c>
      <c r="I60" s="1372">
        <f>SUMIF(修正!$A$57:$A$68,H60,修正!C57:C68)</f>
        <v>0.3</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5" t="s">
        <v>516</v>
      </c>
      <c r="B61" s="606">
        <f t="shared" si="16"/>
        <v>1439</v>
      </c>
      <c r="C61" s="365">
        <f t="shared" si="15"/>
        <v>0.25</v>
      </c>
      <c r="D61" s="1947">
        <v>0.25</v>
      </c>
      <c r="E61" s="607">
        <v>0</v>
      </c>
      <c r="F61" s="604">
        <f t="shared" si="14"/>
        <v>0</v>
      </c>
      <c r="G61" s="3276"/>
      <c r="H61" s="1703" t="str">
        <f>项目基本情况!B43</f>
        <v>七级</v>
      </c>
      <c r="I61" s="1372">
        <f>SUMIF(修正!$A$57:$A$68,H61,修正!D57:D68)</f>
        <v>0.25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6">
        <f t="shared" si="16"/>
        <v>1439</v>
      </c>
      <c r="C62" s="365">
        <f t="shared" si="15"/>
        <v>0.25</v>
      </c>
      <c r="D62" s="1947">
        <v>0.25</v>
      </c>
      <c r="E62" s="609">
        <f>'数据-汇总表'!E11</f>
        <v>50</v>
      </c>
      <c r="F62" s="604">
        <f t="shared" si="14"/>
        <v>7</v>
      </c>
      <c r="G62" s="1700" t="s">
        <v>1641</v>
      </c>
      <c r="H62" s="1703" t="str">
        <f>项目基本情况!C43</f>
        <v>七级</v>
      </c>
      <c r="I62" s="1372">
        <f>SUMIF(修正!$A$57:$A$68,H62,修正!E57:E68)</f>
        <v>0.25</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5" t="s">
        <v>517</v>
      </c>
      <c r="B63" s="606">
        <f t="shared" si="16"/>
        <v>1439</v>
      </c>
      <c r="C63" s="365">
        <f t="shared" si="15"/>
        <v>0.25</v>
      </c>
      <c r="D63" s="1947">
        <v>0.25</v>
      </c>
      <c r="E63" s="609">
        <f>'数据-汇总表'!E12</f>
        <v>11410.09</v>
      </c>
      <c r="F63" s="604">
        <f t="shared" si="14"/>
        <v>1642</v>
      </c>
      <c r="G63" s="1701" t="s">
        <v>851</v>
      </c>
      <c r="H63" s="1699" t="str">
        <f>IF(G63="商业",项目基本情况!B43,IF(G63="办公",项目基本情况!C43,IF(G63="住宅",项目基本情况!D43,项目基本情况!E43)))</f>
        <v>七级</v>
      </c>
      <c r="I63" s="1372">
        <f>SUMIF(修正!$A$57:$A$68,H63,修正!F57:F68)</f>
        <v>0.25</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5" t="s">
        <v>518</v>
      </c>
      <c r="B64" s="606">
        <f t="shared" si="16"/>
        <v>863</v>
      </c>
      <c r="C64" s="365">
        <f t="shared" si="15"/>
        <v>0.15</v>
      </c>
      <c r="D64" s="1947">
        <v>0.25</v>
      </c>
      <c r="E64" s="609">
        <f>'数据-汇总表'!E13</f>
        <v>16237.789999999999</v>
      </c>
      <c r="F64" s="604">
        <f t="shared" si="14"/>
        <v>1401</v>
      </c>
      <c r="G64" s="1701" t="s">
        <v>851</v>
      </c>
      <c r="H64" s="1699" t="str">
        <f>IF(G64="商业",项目基本情况!B43,IF(G64="办公",项目基本情况!C43,IF(G64="住宅",项目基本情况!D43,项目基本情况!E43)))</f>
        <v>七级</v>
      </c>
      <c r="I64" s="1372">
        <f>SUMIF(修正!$A$57:$A$68,H64,修正!G57:G68)</f>
        <v>0.15</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5" t="s">
        <v>519</v>
      </c>
      <c r="B65" s="606">
        <f t="shared" si="16"/>
        <v>863</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5" t="s">
        <v>520</v>
      </c>
      <c r="B66" s="606">
        <f t="shared" si="16"/>
        <v>863</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10" t="s">
        <v>521</v>
      </c>
      <c r="B67" s="611" t="s">
        <v>11</v>
      </c>
      <c r="C67" s="611" t="s">
        <v>12</v>
      </c>
      <c r="D67" s="611" t="s">
        <v>1651</v>
      </c>
      <c r="E67" s="611">
        <f>IF(B48="楼面地价",SUM(E58:E66),'数据-汇总表'!D3)</f>
        <v>139018.59999999998</v>
      </c>
      <c r="F67" s="612">
        <f>IF(B48="楼面地价",SUM(F58:F66),ROUND(C50*E67/10000,0))</f>
        <v>255671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3679">
        <f>C72-$C$73</f>
        <v>99.5</v>
      </c>
      <c r="E72" s="3679">
        <f t="shared" ref="E72:N72" si="19">D72-$C$73</f>
        <v>99</v>
      </c>
      <c r="F72" s="3679">
        <f t="shared" si="19"/>
        <v>98.5</v>
      </c>
      <c r="G72" s="3679">
        <f t="shared" si="19"/>
        <v>98</v>
      </c>
      <c r="H72" s="3679">
        <f t="shared" si="19"/>
        <v>97.5</v>
      </c>
      <c r="I72" s="3679">
        <f t="shared" si="19"/>
        <v>97</v>
      </c>
      <c r="J72" s="3679">
        <f t="shared" si="19"/>
        <v>96.5</v>
      </c>
      <c r="K72" s="3679">
        <f t="shared" si="19"/>
        <v>96</v>
      </c>
      <c r="L72" s="3679">
        <f t="shared" si="19"/>
        <v>95.5</v>
      </c>
      <c r="M72" s="3679">
        <f t="shared" si="19"/>
        <v>95</v>
      </c>
      <c r="N72" s="3679">
        <f t="shared" si="19"/>
        <v>94.5</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4.4">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4.4"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14.4">
      <c r="A76" s="632" t="s">
        <v>525</v>
      </c>
      <c r="B76" s="633" t="s">
        <v>483</v>
      </c>
      <c r="C76" s="3678" t="s">
        <v>3394</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4.4"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9.4"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c r="A81" s="637"/>
      <c r="B81" s="651"/>
      <c r="C81" s="511">
        <v>0</v>
      </c>
      <c r="D81" s="511">
        <v>0.5</v>
      </c>
      <c r="E81" s="511">
        <v>1</v>
      </c>
      <c r="F81" s="511">
        <v>1.5</v>
      </c>
      <c r="G81" s="511">
        <v>2</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4.4"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4.4"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4.4"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4.4"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4.4"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4.4"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ht="14.4">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4.4"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47">
        <v>100</v>
      </c>
      <c r="D92" s="647">
        <f>C92-$K19</f>
        <v>99</v>
      </c>
      <c r="E92" s="647">
        <f>D92-$K19</f>
        <v>98</v>
      </c>
      <c r="F92" s="647">
        <f>E92-$K19</f>
        <v>97</v>
      </c>
      <c r="G92" s="647">
        <f>F92-$K19</f>
        <v>96</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4.4"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4.4"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4.4"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4.4"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7.6">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5" t="str">
        <f t="shared" si="25"/>
        <v>(含)-</v>
      </c>
      <c r="K117" s="2535" t="str">
        <f t="shared" si="25"/>
        <v>(含)-</v>
      </c>
      <c r="L117" s="2536" t="str">
        <f t="shared" si="25"/>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7"/>
      <c r="B118" s="649"/>
      <c r="C118" s="698">
        <v>0</v>
      </c>
      <c r="D118" s="698">
        <v>50000</v>
      </c>
      <c r="E118" s="698">
        <v>100000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8">
        <v>100</v>
      </c>
      <c r="D119" s="694">
        <v>101</v>
      </c>
      <c r="E119" s="694">
        <v>102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0" t="s">
        <v>3395</v>
      </c>
      <c r="D120" s="3680" t="s">
        <v>3396</v>
      </c>
      <c r="E120" s="3680" t="s">
        <v>3397</v>
      </c>
      <c r="F120" s="3680" t="s">
        <v>3398</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4.4"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2" t="s">
        <v>3405</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3399</v>
      </c>
      <c r="D124" s="1232" t="s">
        <v>3400</v>
      </c>
      <c r="E124" s="1232" t="s">
        <v>3401</v>
      </c>
      <c r="F124" s="1232" t="s">
        <v>3402</v>
      </c>
      <c r="G124" s="1232" t="s">
        <v>3403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1" t="s">
        <v>3406</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4.4"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4.4"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4.4"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689" t="str">
        <f>项目基本情况!B1</f>
        <v>北京市出让国有建设用地使用权抵押价格预评估</v>
      </c>
      <c r="C37" s="3689"/>
      <c r="D37" s="3689"/>
      <c r="E37" s="3689"/>
      <c r="F37" s="3689"/>
      <c r="G37" s="3689"/>
      <c r="H37" s="3689"/>
      <c r="I37" s="3689"/>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F24" sqref="F24"/>
    </sheetView>
  </sheetViews>
  <sheetFormatPr defaultColWidth="8.88671875" defaultRowHeight="13.2"/>
  <cols>
    <col min="1" max="1" width="65.109375" style="3671" customWidth="1"/>
    <col min="2" max="2" width="7.109375" style="3671" customWidth="1"/>
    <col min="3" max="3" width="15.88671875" style="3671" customWidth="1"/>
    <col min="4" max="4" width="10.109375" style="3671" customWidth="1"/>
    <col min="5" max="5" width="12.88671875" style="3671" customWidth="1"/>
    <col min="6" max="6" width="41.6640625" style="3671" customWidth="1"/>
    <col min="7" max="7" width="9" style="3671" customWidth="1"/>
    <col min="8" max="8" width="10.21875" style="3671" customWidth="1"/>
    <col min="9" max="9" width="36.21875" style="3671" customWidth="1"/>
    <col min="10" max="11" width="7.21875" style="3671" customWidth="1"/>
    <col min="12" max="12" width="11" style="3671" customWidth="1"/>
    <col min="13" max="13" width="7.109375" style="3671" customWidth="1"/>
    <col min="14" max="16384" width="8.88671875" style="3671"/>
  </cols>
  <sheetData>
    <row r="1" spans="1:14">
      <c r="A1" s="3670" t="s">
        <v>3327</v>
      </c>
      <c r="B1" s="3670" t="s">
        <v>3328</v>
      </c>
      <c r="C1" s="3670" t="s">
        <v>3329</v>
      </c>
      <c r="D1" s="3670" t="s">
        <v>3330</v>
      </c>
      <c r="E1" s="3670" t="s">
        <v>3331</v>
      </c>
      <c r="F1" s="3670" t="s">
        <v>1550</v>
      </c>
      <c r="G1" s="3670" t="s">
        <v>3332</v>
      </c>
      <c r="H1" s="3670" t="s">
        <v>3333</v>
      </c>
      <c r="I1" s="3670" t="s">
        <v>3334</v>
      </c>
      <c r="J1" s="3670" t="s">
        <v>3335</v>
      </c>
      <c r="K1" s="3670" t="s">
        <v>3336</v>
      </c>
      <c r="L1" s="3670" t="s">
        <v>3337</v>
      </c>
      <c r="M1" s="3670" t="s">
        <v>3338</v>
      </c>
    </row>
    <row r="2" spans="1:14">
      <c r="A2" s="3670" t="s">
        <v>3339</v>
      </c>
      <c r="B2" s="3670" t="s">
        <v>1465</v>
      </c>
      <c r="C2" s="3670" t="s">
        <v>3340</v>
      </c>
      <c r="D2" s="3671">
        <v>89084.800000000003</v>
      </c>
      <c r="E2" s="3671">
        <v>141877.1</v>
      </c>
      <c r="F2" s="3671" t="s">
        <v>3341</v>
      </c>
      <c r="G2" s="3670" t="s">
        <v>3342</v>
      </c>
      <c r="H2" s="3671" t="s">
        <v>3343</v>
      </c>
      <c r="I2" s="3670" t="s">
        <v>3344</v>
      </c>
      <c r="J2" s="3671">
        <v>160000</v>
      </c>
      <c r="K2" s="3671">
        <v>160000</v>
      </c>
      <c r="L2" s="3671">
        <v>11277.37</v>
      </c>
      <c r="M2" s="3671">
        <v>0</v>
      </c>
    </row>
    <row r="3" spans="1:14" s="3673" customFormat="1">
      <c r="A3" s="3672" t="s">
        <v>3345</v>
      </c>
      <c r="B3" s="3672" t="s">
        <v>1465</v>
      </c>
      <c r="C3" s="3672" t="s">
        <v>3346</v>
      </c>
      <c r="D3" s="3673">
        <v>69193.56</v>
      </c>
      <c r="E3" s="3673">
        <v>110709.69</v>
      </c>
      <c r="F3" s="3673">
        <v>1.6</v>
      </c>
      <c r="G3" s="3672" t="s">
        <v>3342</v>
      </c>
      <c r="H3" s="3673" t="s">
        <v>3343</v>
      </c>
      <c r="I3" s="3672" t="s">
        <v>3347</v>
      </c>
      <c r="J3" s="3673">
        <v>243000</v>
      </c>
      <c r="K3" s="3673">
        <v>243000</v>
      </c>
      <c r="L3" s="3673">
        <v>21949.3</v>
      </c>
      <c r="M3" s="3673">
        <v>0</v>
      </c>
    </row>
    <row r="4" spans="1:14">
      <c r="A4" s="3670" t="s">
        <v>3348</v>
      </c>
      <c r="B4" s="3670" t="s">
        <v>1465</v>
      </c>
      <c r="C4" s="3670" t="s">
        <v>3340</v>
      </c>
      <c r="D4" s="3671">
        <v>157751.99</v>
      </c>
      <c r="E4" s="3671">
        <v>187262.38</v>
      </c>
      <c r="F4" s="3671" t="s">
        <v>3349</v>
      </c>
      <c r="G4" s="3670" t="s">
        <v>3342</v>
      </c>
      <c r="H4" s="3671" t="s">
        <v>3350</v>
      </c>
      <c r="I4" s="3670" t="s">
        <v>3351</v>
      </c>
      <c r="J4" s="3671">
        <v>539000</v>
      </c>
      <c r="K4" s="3671">
        <v>547000</v>
      </c>
      <c r="L4" s="3671">
        <v>29210.35</v>
      </c>
      <c r="M4" s="3671">
        <v>1.48</v>
      </c>
    </row>
    <row r="5" spans="1:14">
      <c r="A5" s="3670" t="s">
        <v>3352</v>
      </c>
      <c r="B5" s="3670" t="s">
        <v>1465</v>
      </c>
      <c r="C5" s="3670" t="s">
        <v>3340</v>
      </c>
      <c r="D5" s="3671">
        <v>39732.370000000003</v>
      </c>
      <c r="E5" s="3671">
        <v>62838.75</v>
      </c>
      <c r="F5" s="3671" t="s">
        <v>3353</v>
      </c>
      <c r="G5" s="3670" t="s">
        <v>3342</v>
      </c>
      <c r="H5" s="3671" t="s">
        <v>3350</v>
      </c>
      <c r="I5" s="3670" t="s">
        <v>3354</v>
      </c>
      <c r="J5" s="3671">
        <v>170000</v>
      </c>
      <c r="K5" s="3671">
        <v>195500</v>
      </c>
      <c r="L5" s="3671">
        <v>31111.38</v>
      </c>
      <c r="M5" s="3671">
        <v>15</v>
      </c>
    </row>
    <row r="6" spans="1:14">
      <c r="A6" s="3670" t="s">
        <v>3355</v>
      </c>
      <c r="B6" s="3670" t="s">
        <v>1465</v>
      </c>
      <c r="C6" s="3670" t="s">
        <v>3346</v>
      </c>
      <c r="D6" s="3671">
        <v>51409.62</v>
      </c>
      <c r="E6" s="3671">
        <v>83593.919999999998</v>
      </c>
      <c r="F6" s="3671">
        <v>1.6</v>
      </c>
      <c r="G6" s="3670" t="s">
        <v>3342</v>
      </c>
      <c r="H6" s="3671" t="s">
        <v>3356</v>
      </c>
      <c r="I6" s="3670" t="s">
        <v>3357</v>
      </c>
      <c r="J6" s="3671">
        <v>166000</v>
      </c>
      <c r="K6" s="3671">
        <v>166000</v>
      </c>
      <c r="L6" s="3671">
        <v>19857.900000000001</v>
      </c>
      <c r="M6" s="3671">
        <v>0</v>
      </c>
    </row>
    <row r="7" spans="1:14" s="3675" customFormat="1">
      <c r="A7" s="3674" t="s">
        <v>3358</v>
      </c>
      <c r="B7" s="3674" t="s">
        <v>1465</v>
      </c>
      <c r="C7" s="3674" t="s">
        <v>3340</v>
      </c>
      <c r="D7" s="3675">
        <v>40739.620000000003</v>
      </c>
      <c r="E7" s="3675">
        <v>75359.210000000006</v>
      </c>
      <c r="F7" s="3675" t="s">
        <v>3359</v>
      </c>
      <c r="G7" s="3674" t="s">
        <v>3342</v>
      </c>
      <c r="H7" s="3675" t="s">
        <v>3356</v>
      </c>
      <c r="I7" s="3674" t="s">
        <v>3360</v>
      </c>
      <c r="J7" s="3675">
        <v>140000</v>
      </c>
      <c r="K7" s="3675">
        <v>140700</v>
      </c>
      <c r="L7" s="3675">
        <v>18670.580000000002</v>
      </c>
      <c r="M7" s="3675">
        <v>0.5</v>
      </c>
      <c r="N7" s="3674" t="s">
        <v>3361</v>
      </c>
    </row>
    <row r="8" spans="1:14">
      <c r="A8" s="3670" t="s">
        <v>3362</v>
      </c>
      <c r="B8" s="3670" t="s">
        <v>1465</v>
      </c>
      <c r="C8" s="3670" t="s">
        <v>3346</v>
      </c>
      <c r="D8" s="3671">
        <v>105143.73</v>
      </c>
      <c r="E8" s="3671">
        <v>262859.32</v>
      </c>
      <c r="F8" s="3671" t="s">
        <v>3363</v>
      </c>
      <c r="G8" s="3670" t="s">
        <v>3342</v>
      </c>
      <c r="H8" s="3671" t="s">
        <v>3364</v>
      </c>
      <c r="I8" s="3670" t="s">
        <v>3365</v>
      </c>
      <c r="J8" s="3671">
        <v>502000</v>
      </c>
      <c r="K8" s="3671">
        <v>677700</v>
      </c>
      <c r="L8" s="3671">
        <v>25781.85</v>
      </c>
      <c r="M8" s="3671">
        <v>35</v>
      </c>
    </row>
    <row r="9" spans="1:14" s="3675" customFormat="1">
      <c r="A9" s="3674" t="s">
        <v>3366</v>
      </c>
      <c r="B9" s="3674" t="s">
        <v>1465</v>
      </c>
      <c r="C9" s="3674" t="s">
        <v>3346</v>
      </c>
      <c r="D9" s="3675">
        <v>57208.800000000003</v>
      </c>
      <c r="E9" s="3675">
        <v>91534.080000000002</v>
      </c>
      <c r="F9" s="3675" t="s">
        <v>3367</v>
      </c>
      <c r="G9" s="3674" t="s">
        <v>3342</v>
      </c>
      <c r="H9" s="3675" t="s">
        <v>3368</v>
      </c>
      <c r="I9" s="3674" t="s">
        <v>3369</v>
      </c>
      <c r="J9" s="3675">
        <v>177000</v>
      </c>
      <c r="K9" s="3675">
        <v>205000</v>
      </c>
      <c r="L9" s="3675">
        <v>22396.03</v>
      </c>
      <c r="M9" s="3675">
        <v>15.82</v>
      </c>
      <c r="N9" s="3674" t="s">
        <v>3370</v>
      </c>
    </row>
    <row r="10" spans="1:14">
      <c r="A10" s="3670" t="s">
        <v>3371</v>
      </c>
      <c r="B10" s="3670" t="s">
        <v>1465</v>
      </c>
      <c r="C10" s="3670" t="s">
        <v>3340</v>
      </c>
      <c r="D10" s="3671">
        <v>125102.17</v>
      </c>
      <c r="E10" s="3671">
        <v>219262.23</v>
      </c>
      <c r="F10" s="3671" t="s">
        <v>3372</v>
      </c>
      <c r="G10" s="3670" t="s">
        <v>3342</v>
      </c>
      <c r="H10" s="3671" t="s">
        <v>3368</v>
      </c>
      <c r="I10" s="3670" t="s">
        <v>3373</v>
      </c>
      <c r="J10" s="3671">
        <v>404000</v>
      </c>
      <c r="K10" s="3671">
        <v>406100</v>
      </c>
      <c r="L10" s="3671">
        <v>18521.2</v>
      </c>
      <c r="M10" s="3671">
        <v>0.52</v>
      </c>
    </row>
    <row r="11" spans="1:14" s="3677" customFormat="1">
      <c r="A11" s="3676" t="s">
        <v>3374</v>
      </c>
      <c r="B11" s="3676" t="s">
        <v>1465</v>
      </c>
      <c r="C11" s="3676" t="s">
        <v>3340</v>
      </c>
      <c r="D11" s="3677">
        <v>122243.7</v>
      </c>
      <c r="E11" s="3677">
        <v>206085.13</v>
      </c>
      <c r="F11" s="3677" t="s">
        <v>3375</v>
      </c>
      <c r="G11" s="3676" t="s">
        <v>3342</v>
      </c>
      <c r="H11" s="3677" t="s">
        <v>3376</v>
      </c>
      <c r="I11" s="3676" t="s">
        <v>3377</v>
      </c>
      <c r="J11" s="3677">
        <v>311800</v>
      </c>
      <c r="K11" s="3677">
        <v>311800</v>
      </c>
      <c r="L11" s="3677">
        <v>15129.67</v>
      </c>
      <c r="M11" s="3677">
        <v>0</v>
      </c>
      <c r="N11" s="3676" t="s">
        <v>3378</v>
      </c>
    </row>
    <row r="12" spans="1:14">
      <c r="A12" s="3670" t="s">
        <v>3379</v>
      </c>
      <c r="B12" s="3670" t="s">
        <v>1465</v>
      </c>
      <c r="C12" s="3670" t="s">
        <v>3340</v>
      </c>
      <c r="D12" s="3671">
        <v>83940.05</v>
      </c>
      <c r="E12" s="3671">
        <v>146004.07999999999</v>
      </c>
      <c r="F12" s="3671" t="s">
        <v>3380</v>
      </c>
      <c r="G12" s="3670" t="s">
        <v>3342</v>
      </c>
      <c r="H12" s="3671" t="s">
        <v>3376</v>
      </c>
      <c r="I12" s="3670" t="s">
        <v>3381</v>
      </c>
      <c r="J12" s="3671">
        <v>243400</v>
      </c>
      <c r="K12" s="3671">
        <v>243400</v>
      </c>
      <c r="L12" s="3671">
        <v>16670.77</v>
      </c>
      <c r="M12" s="3671">
        <v>0</v>
      </c>
    </row>
    <row r="13" spans="1:14" s="3675" customFormat="1">
      <c r="A13" s="3674" t="s">
        <v>3382</v>
      </c>
      <c r="B13" s="3674" t="s">
        <v>1465</v>
      </c>
      <c r="C13" s="3674" t="s">
        <v>3340</v>
      </c>
      <c r="D13" s="3675">
        <v>99454.31</v>
      </c>
      <c r="E13" s="3675">
        <v>153846.89000000001</v>
      </c>
      <c r="F13" s="3675" t="s">
        <v>3383</v>
      </c>
      <c r="G13" s="3674" t="s">
        <v>3342</v>
      </c>
      <c r="H13" s="3675" t="s">
        <v>3376</v>
      </c>
      <c r="I13" s="3674" t="s">
        <v>3384</v>
      </c>
      <c r="J13" s="3675">
        <v>302400</v>
      </c>
      <c r="K13" s="3675">
        <v>326000</v>
      </c>
      <c r="L13" s="3675">
        <v>21189.9</v>
      </c>
      <c r="M13" s="3675">
        <v>7.8</v>
      </c>
      <c r="N13" s="3674" t="s">
        <v>3385</v>
      </c>
    </row>
    <row r="14" spans="1:14">
      <c r="A14" s="3670" t="s">
        <v>3386</v>
      </c>
      <c r="B14" s="3670" t="s">
        <v>1465</v>
      </c>
      <c r="C14" s="3670" t="s">
        <v>3340</v>
      </c>
      <c r="D14" s="3671">
        <v>57706.7</v>
      </c>
      <c r="E14" s="3671">
        <v>86410.72</v>
      </c>
      <c r="F14" s="3671" t="s">
        <v>3387</v>
      </c>
      <c r="G14" s="3670" t="s">
        <v>3342</v>
      </c>
      <c r="H14" s="3671" t="s">
        <v>3388</v>
      </c>
      <c r="I14" s="3670" t="s">
        <v>3389</v>
      </c>
      <c r="J14" s="3671">
        <v>142400</v>
      </c>
      <c r="K14" s="3671">
        <v>167000</v>
      </c>
      <c r="L14" s="3671">
        <v>19326.310000000001</v>
      </c>
      <c r="M14" s="3671">
        <v>17.28</v>
      </c>
    </row>
    <row r="15" spans="1:14">
      <c r="A15" s="3670" t="s">
        <v>3390</v>
      </c>
      <c r="B15" s="3670" t="s">
        <v>1465</v>
      </c>
      <c r="C15" s="3670" t="s">
        <v>3340</v>
      </c>
      <c r="D15" s="3671">
        <v>87328.39</v>
      </c>
      <c r="E15" s="3671">
        <v>135355.79999999999</v>
      </c>
      <c r="F15" s="3671" t="s">
        <v>3391</v>
      </c>
      <c r="G15" s="3670" t="s">
        <v>3342</v>
      </c>
      <c r="H15" s="3671" t="s">
        <v>3388</v>
      </c>
      <c r="I15" s="3670" t="s">
        <v>3392</v>
      </c>
      <c r="J15" s="3671">
        <v>241000</v>
      </c>
      <c r="K15" s="3671">
        <v>241000</v>
      </c>
      <c r="L15" s="3671">
        <v>17804.93</v>
      </c>
      <c r="M15" s="3671">
        <v>0</v>
      </c>
    </row>
  </sheetData>
  <phoneticPr fontId="224"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2" sqref="G42"/>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257297</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17554</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37185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2479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461539</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4.4">
      <c r="A7" s="2311" t="s">
        <v>430</v>
      </c>
      <c r="B7" s="2312" t="s">
        <v>431</v>
      </c>
      <c r="C7" s="423" t="s">
        <v>851</v>
      </c>
      <c r="D7" s="423" t="s">
        <v>3259</v>
      </c>
      <c r="E7" s="423" t="s">
        <v>3260</v>
      </c>
      <c r="F7" s="423" t="s">
        <v>3261</v>
      </c>
      <c r="G7" s="423"/>
      <c r="H7" s="423"/>
      <c r="I7" s="423"/>
      <c r="J7" s="423"/>
      <c r="K7" s="424"/>
      <c r="AA7" s="1834"/>
      <c r="AB7" s="1834"/>
      <c r="AC7" s="1834"/>
      <c r="AD7" s="1834"/>
      <c r="AE7" s="1834"/>
    </row>
    <row r="8" spans="1:31" s="1837" customFormat="1" ht="13.5" customHeight="1">
      <c r="A8" s="769" t="s">
        <v>1374</v>
      </c>
      <c r="B8" s="252" t="s">
        <v>432</v>
      </c>
      <c r="C8" s="2313">
        <f>'不动产比较法-住宅'!C48</f>
        <v>40500</v>
      </c>
      <c r="D8" s="2313">
        <f ca="1">不动产收益法商业!B3</f>
        <v>10925</v>
      </c>
      <c r="E8" s="2313">
        <f>'不动产比较法-车位'!B3</f>
        <v>6592</v>
      </c>
      <c r="F8" s="2313">
        <f ca="1">不动产收益法仓储!B3</f>
        <v>4809</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109460.71999999999</v>
      </c>
      <c r="D9" s="428">
        <f>SUMIF('数据-汇总表'!$C19:$C33,'剩余法-待开发'!D7,'数据-汇总表'!$E19:$E33)</f>
        <v>1860</v>
      </c>
      <c r="E9" s="428">
        <f>SUMIF('数据-汇总表'!$C19:$C33,'剩余法-待开发'!E7,'数据-汇总表'!$E19:$E33)</f>
        <v>16237.789999999999</v>
      </c>
      <c r="F9" s="428">
        <f>SUMIF('数据-汇总表'!$C19:$C33,'剩余法-待开发'!F7,'数据-汇总表'!$E19:$E33)</f>
        <v>11410.09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'不动产比较法-住宅'!B2</f>
        <v>443316</v>
      </c>
      <c r="D10" s="2500">
        <f ca="1">不动产收益法商业!B2</f>
        <v>2032</v>
      </c>
      <c r="E10" s="2500">
        <f>'不动产比较法-车位'!B2</f>
        <v>10704</v>
      </c>
      <c r="F10" s="2316">
        <f ca="1">不动产收益法仓储!B2</f>
        <v>5487</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74762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2243</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6020</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2932</v>
      </c>
      <c r="D16" s="2323">
        <f ca="1">IF(B1="",'数据-汇总表'!E3,INDIRECT("'数据-取费表'!K"&amp;$K$1)+INDIRECT("'数据-取费表'!S"&amp;$K$1))</f>
        <v>146577.54999999999</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87078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733</v>
      </c>
      <c r="D19" s="2333">
        <f ca="1">D16</f>
        <v>146577.54999999999</v>
      </c>
      <c r="E19" s="2287">
        <f>'数据-取费表'!B32</f>
        <v>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109460.71999999999</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37116.83</v>
      </c>
      <c r="E22" s="51">
        <f>'数据-取费表'!B28</f>
        <v>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1756</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9231</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4100</v>
      </c>
      <c r="D26" s="453">
        <f ca="1">C27</f>
        <v>8.72E-2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8.72E-2</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4100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24176</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127074</v>
      </c>
      <c r="D30" s="463">
        <f ca="1">C32</f>
        <v>0.1162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127074</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0.1162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12844</v>
      </c>
      <c r="D33" s="453">
        <f ca="1">C34</f>
        <v>0.1338</v>
      </c>
      <c r="E33" s="455" t="s">
        <v>455</v>
      </c>
      <c r="F33" s="465">
        <f ca="1">IF(B1="",'数据-取费表'!Q16,INDIRECT("'数据-取费表'!q"&amp;$K$1))</f>
        <v>0.13</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0.1338</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12844</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257297</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4.4">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74762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2243</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6020</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2932</v>
      </c>
      <c r="D16" s="437">
        <f ca="1">IF(B1="",'数据-汇总表'!E3,INDIRECT("'数据-取费表'!K"&amp;$K$1)+INDIRECT("'数据-取费表'!S"&amp;$K$1))</f>
        <v>146577.54999999999</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87078</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1742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3686</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11547</v>
      </c>
      <c r="D21" s="3027"/>
      <c r="E21" s="448"/>
      <c r="F21" s="465">
        <f ca="1">IF(B1="",'数据-取费表'!Q16,INDIRECT("'数据-取费表'!q"&amp;$K$1))</f>
        <v>0.13</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00" t="s">
        <v>1394</v>
      </c>
      <c r="B24" s="3901"/>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00" t="s">
        <v>2296</v>
      </c>
      <c r="B25" s="3901"/>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00" t="s">
        <v>2297</v>
      </c>
      <c r="B26" s="3901"/>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02" t="s">
        <v>2295</v>
      </c>
      <c r="B27" s="3903"/>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867" t="s">
        <v>471</v>
      </c>
      <c r="D6" s="3868"/>
      <c r="E6" s="3906" t="s">
        <v>472</v>
      </c>
      <c r="F6" s="3907"/>
      <c r="G6" s="3867" t="s">
        <v>473</v>
      </c>
      <c r="H6" s="3868"/>
      <c r="I6" s="3867" t="s">
        <v>474</v>
      </c>
      <c r="J6" s="3868"/>
      <c r="K6" s="484" t="s">
        <v>475</v>
      </c>
      <c r="L6" s="1855"/>
      <c r="M6" s="1856"/>
      <c r="N6" s="1856"/>
      <c r="O6" s="1856"/>
      <c r="P6" s="3869" t="s">
        <v>476</v>
      </c>
      <c r="Q6" s="3870"/>
      <c r="R6" s="3875" t="s">
        <v>472</v>
      </c>
      <c r="S6" s="3876"/>
      <c r="T6" s="3875" t="s">
        <v>473</v>
      </c>
      <c r="U6" s="3876"/>
      <c r="V6" s="3862" t="s">
        <v>474</v>
      </c>
      <c r="W6" s="3862"/>
      <c r="X6" s="1379"/>
      <c r="Y6" s="3875" t="s">
        <v>476</v>
      </c>
      <c r="Z6" s="3876"/>
      <c r="AA6" s="3864" t="s">
        <v>472</v>
      </c>
      <c r="AB6" s="3865" t="s">
        <v>473</v>
      </c>
      <c r="AC6" s="3864" t="s">
        <v>474</v>
      </c>
    </row>
    <row r="7" spans="1:29">
      <c r="A7" s="485"/>
      <c r="B7" s="486"/>
      <c r="C7" s="3883" t="s">
        <v>2192</v>
      </c>
      <c r="D7" s="3884"/>
      <c r="E7" s="3908" t="s">
        <v>2193</v>
      </c>
      <c r="F7" s="3909"/>
      <c r="G7" s="3883" t="s">
        <v>2194</v>
      </c>
      <c r="H7" s="3884"/>
      <c r="I7" s="3883" t="s">
        <v>2195</v>
      </c>
      <c r="J7" s="3884"/>
      <c r="K7" s="484"/>
      <c r="L7" s="1855"/>
      <c r="M7" s="1856"/>
      <c r="N7" s="1856"/>
      <c r="O7" s="1856"/>
      <c r="P7" s="3871"/>
      <c r="Q7" s="3872"/>
      <c r="R7" s="3877"/>
      <c r="S7" s="3878"/>
      <c r="T7" s="3877"/>
      <c r="U7" s="3878"/>
      <c r="V7" s="3862"/>
      <c r="W7" s="3862"/>
      <c r="X7" s="1379"/>
      <c r="Y7" s="3877"/>
      <c r="Z7" s="3878"/>
      <c r="AA7" s="3865"/>
      <c r="AB7" s="3865"/>
      <c r="AC7" s="3865"/>
    </row>
    <row r="8" spans="1:29" ht="15" thickBot="1">
      <c r="A8" s="487"/>
      <c r="B8" s="488"/>
      <c r="C8" s="3881" t="s">
        <v>2196</v>
      </c>
      <c r="D8" s="3882"/>
      <c r="E8" s="3904" t="s">
        <v>2196</v>
      </c>
      <c r="F8" s="3905"/>
      <c r="G8" s="3881" t="s">
        <v>2196</v>
      </c>
      <c r="H8" s="3882"/>
      <c r="I8" s="3881" t="s">
        <v>2196</v>
      </c>
      <c r="J8" s="3882"/>
      <c r="K8" s="484" t="s">
        <v>477</v>
      </c>
      <c r="L8" s="1855"/>
      <c r="M8" s="1856"/>
      <c r="N8" s="1856"/>
      <c r="O8" s="1856"/>
      <c r="P8" s="3873"/>
      <c r="Q8" s="3874"/>
      <c r="R8" s="3877"/>
      <c r="S8" s="3878"/>
      <c r="T8" s="3879"/>
      <c r="U8" s="3880"/>
      <c r="V8" s="3862"/>
      <c r="W8" s="3862"/>
      <c r="X8" s="1379"/>
      <c r="Y8" s="3879"/>
      <c r="Z8" s="3880"/>
      <c r="AA8" s="3866"/>
      <c r="AB8" s="3866"/>
      <c r="AC8" s="3866"/>
    </row>
    <row r="9" spans="1:29" s="1117" customFormat="1" ht="1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1" t="s">
        <v>479</v>
      </c>
      <c r="Q9" s="3893"/>
      <c r="R9" s="1380" t="s">
        <v>5</v>
      </c>
      <c r="S9" s="1381">
        <f t="shared" ref="S9:S17" si="0">F9</f>
        <v>0</v>
      </c>
      <c r="T9" s="1380" t="s">
        <v>5</v>
      </c>
      <c r="U9" s="1381">
        <f t="shared" ref="U9:U17" si="1">H9</f>
        <v>0</v>
      </c>
      <c r="V9" s="1380" t="s">
        <v>5</v>
      </c>
      <c r="W9" s="1381">
        <f t="shared" ref="W9:W17" si="2">J9</f>
        <v>0</v>
      </c>
      <c r="X9" s="1382"/>
      <c r="Y9" s="3891" t="s">
        <v>479</v>
      </c>
      <c r="Z9" s="3892"/>
      <c r="AA9" s="1383" t="e">
        <f>D9/F9</f>
        <v>#DIV/0!</v>
      </c>
      <c r="AB9" s="1383" t="e">
        <f>D9/H9</f>
        <v>#DIV/0!</v>
      </c>
      <c r="AC9" s="1383" t="e">
        <f>D9/J9</f>
        <v>#DIV/0!</v>
      </c>
    </row>
    <row r="10" spans="1:29" s="1117" customFormat="1" ht="1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1" t="s">
        <v>482</v>
      </c>
      <c r="Q10" s="3892"/>
      <c r="R10" s="1380" t="s">
        <v>5</v>
      </c>
      <c r="S10" s="1381">
        <f t="shared" si="0"/>
        <v>0</v>
      </c>
      <c r="T10" s="1380" t="s">
        <v>5</v>
      </c>
      <c r="U10" s="1381">
        <f t="shared" si="1"/>
        <v>0</v>
      </c>
      <c r="V10" s="1380" t="s">
        <v>5</v>
      </c>
      <c r="W10" s="1381">
        <f t="shared" si="2"/>
        <v>0</v>
      </c>
      <c r="X10" s="1382"/>
      <c r="Y10" s="3891" t="s">
        <v>482</v>
      </c>
      <c r="Z10" s="3892"/>
      <c r="AA10" s="1383" t="e">
        <f t="shared" ref="AA10:AA42" si="3">D10/F10</f>
        <v>#DIV/0!</v>
      </c>
      <c r="AB10" s="1383" t="e">
        <f t="shared" ref="AB10:AB42" si="4">D10/H10</f>
        <v>#DIV/0!</v>
      </c>
      <c r="AC10" s="1383" t="e">
        <f t="shared" ref="AC10:AC42" si="5">D10/J10</f>
        <v>#DIV/0!</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1" t="s">
        <v>484</v>
      </c>
      <c r="Q11" s="1049" t="str">
        <f t="shared" ref="Q11:Q17" si="6">B11</f>
        <v>用途</v>
      </c>
      <c r="R11" s="1380" t="s">
        <v>5</v>
      </c>
      <c r="S11" s="1381">
        <f t="shared" si="0"/>
        <v>100</v>
      </c>
      <c r="T11" s="1380" t="s">
        <v>5</v>
      </c>
      <c r="U11" s="1381">
        <f t="shared" si="1"/>
        <v>100</v>
      </c>
      <c r="V11" s="1380" t="s">
        <v>5</v>
      </c>
      <c r="W11" s="1381">
        <f t="shared" si="2"/>
        <v>100</v>
      </c>
      <c r="X11" s="1382"/>
      <c r="Y11" s="3809" t="s">
        <v>485</v>
      </c>
      <c r="Z11" s="1048" t="str">
        <f t="shared" ref="Z11:Z17" si="7">Q11</f>
        <v>用途</v>
      </c>
      <c r="AA11" s="1383">
        <f t="shared" si="3"/>
        <v>1</v>
      </c>
      <c r="AB11" s="1383">
        <f t="shared" si="4"/>
        <v>1</v>
      </c>
      <c r="AC11" s="1383">
        <f t="shared" si="5"/>
        <v>1</v>
      </c>
    </row>
    <row r="12" spans="1:29" s="1198" customFormat="1" ht="28.8">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61"/>
      <c r="Q12" s="1049" t="str">
        <f t="shared" si="6"/>
        <v>土地使用年限（年）</v>
      </c>
      <c r="R12" s="1380" t="s">
        <v>5</v>
      </c>
      <c r="S12" s="1381">
        <f t="shared" si="0"/>
        <v>100</v>
      </c>
      <c r="T12" s="1380" t="s">
        <v>5</v>
      </c>
      <c r="U12" s="1381">
        <f t="shared" si="1"/>
        <v>100</v>
      </c>
      <c r="V12" s="1380" t="s">
        <v>5</v>
      </c>
      <c r="W12" s="1381">
        <f t="shared" si="2"/>
        <v>100</v>
      </c>
      <c r="X12" s="1382"/>
      <c r="Y12" s="3809"/>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1"/>
      <c r="Q13" s="1049" t="str">
        <f t="shared" si="6"/>
        <v>容积率</v>
      </c>
      <c r="R13" s="1380" t="s">
        <v>5</v>
      </c>
      <c r="S13" s="1381" t="e">
        <f t="shared" si="0"/>
        <v>#N/A</v>
      </c>
      <c r="T13" s="1380" t="s">
        <v>5</v>
      </c>
      <c r="U13" s="1381" t="e">
        <f t="shared" si="1"/>
        <v>#N/A</v>
      </c>
      <c r="V13" s="1380" t="s">
        <v>5</v>
      </c>
      <c r="W13" s="1381" t="e">
        <f t="shared" si="2"/>
        <v>#N/A</v>
      </c>
      <c r="X13" s="1382"/>
      <c r="Y13" s="3809"/>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1"/>
      <c r="Q14" s="1049">
        <f t="shared" si="6"/>
        <v>111</v>
      </c>
      <c r="R14" s="1380" t="s">
        <v>5</v>
      </c>
      <c r="S14" s="1381">
        <f t="shared" si="0"/>
        <v>100</v>
      </c>
      <c r="T14" s="1380" t="s">
        <v>5</v>
      </c>
      <c r="U14" s="1381">
        <f t="shared" si="1"/>
        <v>100</v>
      </c>
      <c r="V14" s="1380" t="s">
        <v>5</v>
      </c>
      <c r="W14" s="1381">
        <f t="shared" si="2"/>
        <v>100</v>
      </c>
      <c r="X14" s="1382"/>
      <c r="Y14" s="3809"/>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1"/>
      <c r="Q15" s="1049">
        <f t="shared" si="6"/>
        <v>111</v>
      </c>
      <c r="R15" s="1380" t="s">
        <v>5</v>
      </c>
      <c r="S15" s="1381">
        <f t="shared" si="0"/>
        <v>100</v>
      </c>
      <c r="T15" s="1380" t="s">
        <v>5</v>
      </c>
      <c r="U15" s="1381">
        <f t="shared" si="1"/>
        <v>100</v>
      </c>
      <c r="V15" s="1380" t="s">
        <v>5</v>
      </c>
      <c r="W15" s="1381">
        <f t="shared" si="2"/>
        <v>100</v>
      </c>
      <c r="X15" s="1382"/>
      <c r="Y15" s="3809"/>
      <c r="Z15" s="1048">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1"/>
      <c r="Q16" s="1049">
        <f t="shared" si="6"/>
        <v>111</v>
      </c>
      <c r="R16" s="1380" t="s">
        <v>5</v>
      </c>
      <c r="S16" s="1381">
        <f t="shared" si="0"/>
        <v>100</v>
      </c>
      <c r="T16" s="1380" t="s">
        <v>5</v>
      </c>
      <c r="U16" s="1381">
        <f t="shared" si="1"/>
        <v>100</v>
      </c>
      <c r="V16" s="1380" t="s">
        <v>5</v>
      </c>
      <c r="W16" s="1381">
        <f t="shared" si="2"/>
        <v>100</v>
      </c>
      <c r="X16" s="1382"/>
      <c r="Y16" s="3809"/>
      <c r="Z16" s="1048">
        <f t="shared" si="7"/>
        <v>111</v>
      </c>
      <c r="AA16" s="1383">
        <f t="shared" si="3"/>
        <v>1</v>
      </c>
      <c r="AB16" s="1383">
        <f t="shared" si="4"/>
        <v>1</v>
      </c>
      <c r="AC16" s="1383">
        <f t="shared" si="5"/>
        <v>1</v>
      </c>
    </row>
    <row r="17" spans="1:29" ht="69">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94" t="s">
        <v>489</v>
      </c>
      <c r="Q17" s="1384" t="str">
        <f t="shared" si="6"/>
        <v>产业集聚程度</v>
      </c>
      <c r="R17" s="1385" t="s">
        <v>5</v>
      </c>
      <c r="S17" s="1386">
        <f t="shared" si="0"/>
        <v>100</v>
      </c>
      <c r="T17" s="1385" t="s">
        <v>5</v>
      </c>
      <c r="U17" s="1386">
        <f t="shared" si="1"/>
        <v>100</v>
      </c>
      <c r="V17" s="1385" t="s">
        <v>5</v>
      </c>
      <c r="W17" s="1386">
        <f t="shared" si="2"/>
        <v>100</v>
      </c>
      <c r="X17" s="1379"/>
      <c r="Y17" s="3894"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95"/>
      <c r="Q18" s="1384"/>
      <c r="R18" s="1385"/>
      <c r="S18" s="1386"/>
      <c r="T18" s="1385"/>
      <c r="U18" s="1386"/>
      <c r="V18" s="1385"/>
      <c r="W18" s="1386"/>
      <c r="X18" s="1379"/>
      <c r="Y18" s="3895"/>
      <c r="Z18" s="1387"/>
      <c r="AA18" s="1388">
        <v>1</v>
      </c>
      <c r="AB18" s="1388">
        <v>1</v>
      </c>
      <c r="AC18" s="1388">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95"/>
      <c r="Q19" s="1384" t="str">
        <f>B19</f>
        <v>交通便捷度</v>
      </c>
      <c r="R19" s="1385" t="s">
        <v>5</v>
      </c>
      <c r="S19" s="1386">
        <f>F19</f>
        <v>100</v>
      </c>
      <c r="T19" s="1385" t="s">
        <v>5</v>
      </c>
      <c r="U19" s="1386">
        <f>H19</f>
        <v>100</v>
      </c>
      <c r="V19" s="1385" t="s">
        <v>5</v>
      </c>
      <c r="W19" s="1386">
        <f>J19</f>
        <v>100</v>
      </c>
      <c r="X19" s="1379"/>
      <c r="Y19" s="3895"/>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95"/>
      <c r="Q20" s="1384"/>
      <c r="R20" s="1385"/>
      <c r="S20" s="1386"/>
      <c r="T20" s="1385"/>
      <c r="U20" s="1386"/>
      <c r="V20" s="1385"/>
      <c r="W20" s="1386"/>
      <c r="X20" s="1379"/>
      <c r="Y20" s="3895"/>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95"/>
      <c r="Q21" s="1384" t="str">
        <f t="shared" ref="Q21:Q35" si="8">B21</f>
        <v>区域土地利用方向</v>
      </c>
      <c r="R21" s="1385" t="s">
        <v>5</v>
      </c>
      <c r="S21" s="1386">
        <f>F21</f>
        <v>100</v>
      </c>
      <c r="T21" s="1385" t="s">
        <v>5</v>
      </c>
      <c r="U21" s="1386">
        <f>H21</f>
        <v>100</v>
      </c>
      <c r="V21" s="1385" t="s">
        <v>5</v>
      </c>
      <c r="W21" s="1386">
        <f>J21</f>
        <v>100</v>
      </c>
      <c r="X21" s="1379"/>
      <c r="Y21" s="3895"/>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95"/>
      <c r="Q22" s="1384"/>
      <c r="R22" s="1385"/>
      <c r="S22" s="1386"/>
      <c r="T22" s="1385"/>
      <c r="U22" s="1386"/>
      <c r="V22" s="1385"/>
      <c r="W22" s="1386"/>
      <c r="X22" s="1379"/>
      <c r="Y22" s="3895"/>
      <c r="Z22" s="1387"/>
      <c r="AA22" s="1388"/>
      <c r="AB22" s="1388"/>
      <c r="AC22" s="1388"/>
    </row>
    <row r="23" spans="1:29" ht="82.8">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95"/>
      <c r="Q23" s="1384" t="str">
        <f t="shared" si="8"/>
        <v>环境状况</v>
      </c>
      <c r="R23" s="1385" t="s">
        <v>5</v>
      </c>
      <c r="S23" s="1386">
        <f>F23</f>
        <v>100</v>
      </c>
      <c r="T23" s="1385" t="s">
        <v>5</v>
      </c>
      <c r="U23" s="1386">
        <f>H23</f>
        <v>100</v>
      </c>
      <c r="V23" s="1385" t="s">
        <v>5</v>
      </c>
      <c r="W23" s="1386">
        <f>J23</f>
        <v>100</v>
      </c>
      <c r="X23" s="1379"/>
      <c r="Y23" s="3895"/>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95"/>
      <c r="Q24" s="1384"/>
      <c r="R24" s="1385"/>
      <c r="S24" s="1386"/>
      <c r="T24" s="1385"/>
      <c r="U24" s="1386"/>
      <c r="V24" s="1385"/>
      <c r="W24" s="1386"/>
      <c r="X24" s="1379"/>
      <c r="Y24" s="3895"/>
      <c r="Z24" s="1387"/>
      <c r="AA24" s="1388">
        <v>1</v>
      </c>
      <c r="AB24" s="1388">
        <v>1</v>
      </c>
      <c r="AC24" s="1388">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95"/>
      <c r="Q25" s="1049" t="str">
        <f t="shared" si="8"/>
        <v>公共配套设施</v>
      </c>
      <c r="R25" s="1380" t="s">
        <v>5</v>
      </c>
      <c r="S25" s="1381">
        <f>F25</f>
        <v>100</v>
      </c>
      <c r="T25" s="1380" t="s">
        <v>5</v>
      </c>
      <c r="U25" s="1381">
        <f>H25</f>
        <v>100</v>
      </c>
      <c r="V25" s="1380" t="s">
        <v>5</v>
      </c>
      <c r="W25" s="1381">
        <f>J25</f>
        <v>100</v>
      </c>
      <c r="X25" s="1382"/>
      <c r="Y25" s="3895"/>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95"/>
      <c r="Q26" s="1049"/>
      <c r="R26" s="1380"/>
      <c r="S26" s="1381"/>
      <c r="T26" s="1380"/>
      <c r="U26" s="1381"/>
      <c r="V26" s="1380"/>
      <c r="W26" s="1381"/>
      <c r="X26" s="1382"/>
      <c r="Y26" s="3895"/>
      <c r="Z26" s="1048"/>
      <c r="AA26" s="1383">
        <v>1</v>
      </c>
      <c r="AB26" s="1383">
        <v>1</v>
      </c>
      <c r="AC26" s="1383">
        <v>1</v>
      </c>
    </row>
    <row r="27" spans="1:29" s="1117" customFormat="1" ht="41.4">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95"/>
      <c r="Q27" s="2191" t="str">
        <f>B27</f>
        <v>基础设施水平</v>
      </c>
      <c r="R27" s="1380" t="s">
        <v>5</v>
      </c>
      <c r="S27" s="1381">
        <f>F27</f>
        <v>100</v>
      </c>
      <c r="T27" s="1380" t="s">
        <v>5</v>
      </c>
      <c r="U27" s="1381">
        <f>H27</f>
        <v>100</v>
      </c>
      <c r="V27" s="1380" t="s">
        <v>5</v>
      </c>
      <c r="W27" s="1381">
        <f>J27</f>
        <v>100</v>
      </c>
      <c r="X27" s="1382"/>
      <c r="Y27" s="3895"/>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95"/>
      <c r="Q28" s="2191"/>
      <c r="R28" s="1380"/>
      <c r="S28" s="1381"/>
      <c r="T28" s="1380"/>
      <c r="U28" s="1381"/>
      <c r="V28" s="1380"/>
      <c r="W28" s="1381"/>
      <c r="X28" s="1382"/>
      <c r="Y28" s="3895"/>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95"/>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95"/>
      <c r="Z29" s="1387" t="str">
        <f t="shared" ref="Z29:Z42" si="12">Q29</f>
        <v>临街状况</v>
      </c>
      <c r="AA29" s="1388">
        <f t="shared" si="3"/>
        <v>1</v>
      </c>
      <c r="AB29" s="1388">
        <f t="shared" si="4"/>
        <v>1</v>
      </c>
      <c r="AC29" s="1388">
        <f t="shared" si="5"/>
        <v>1</v>
      </c>
    </row>
    <row r="30" spans="1:29" ht="28.8">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95"/>
      <c r="Q30" s="1384" t="str">
        <f t="shared" si="8"/>
        <v>毗邻道路的类型与等级</v>
      </c>
      <c r="R30" s="1385" t="s">
        <v>5</v>
      </c>
      <c r="S30" s="1386">
        <f t="shared" si="9"/>
        <v>100</v>
      </c>
      <c r="T30" s="1385" t="s">
        <v>5</v>
      </c>
      <c r="U30" s="1386">
        <f t="shared" si="10"/>
        <v>100</v>
      </c>
      <c r="V30" s="1385" t="s">
        <v>5</v>
      </c>
      <c r="W30" s="1386">
        <f t="shared" si="11"/>
        <v>100</v>
      </c>
      <c r="X30" s="1379"/>
      <c r="Y30" s="3895"/>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95"/>
      <c r="Q31" s="1384"/>
      <c r="R31" s="1385"/>
      <c r="S31" s="1386"/>
      <c r="T31" s="1385"/>
      <c r="U31" s="1386"/>
      <c r="V31" s="1385"/>
      <c r="W31" s="1386"/>
      <c r="X31" s="1379"/>
      <c r="Y31" s="3895"/>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95"/>
      <c r="Q32" s="1384" t="str">
        <f t="shared" si="8"/>
        <v>土地级别</v>
      </c>
      <c r="R32" s="1385" t="s">
        <v>5</v>
      </c>
      <c r="S32" s="1386">
        <f t="shared" si="9"/>
        <v>100</v>
      </c>
      <c r="T32" s="1385" t="s">
        <v>5</v>
      </c>
      <c r="U32" s="1386">
        <f t="shared" si="10"/>
        <v>100</v>
      </c>
      <c r="V32" s="1385" t="s">
        <v>5</v>
      </c>
      <c r="W32" s="1386">
        <f t="shared" si="11"/>
        <v>100</v>
      </c>
      <c r="X32" s="1379"/>
      <c r="Y32" s="3895"/>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95"/>
      <c r="Q33" s="1384">
        <f t="shared" si="8"/>
        <v>111</v>
      </c>
      <c r="R33" s="1385" t="s">
        <v>5</v>
      </c>
      <c r="S33" s="1386">
        <f t="shared" si="9"/>
        <v>100</v>
      </c>
      <c r="T33" s="1385" t="s">
        <v>5</v>
      </c>
      <c r="U33" s="1386">
        <f t="shared" si="10"/>
        <v>100</v>
      </c>
      <c r="V33" s="1385" t="s">
        <v>5</v>
      </c>
      <c r="W33" s="1386">
        <f t="shared" si="11"/>
        <v>100</v>
      </c>
      <c r="X33" s="1379"/>
      <c r="Y33" s="3895"/>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96" t="s">
        <v>499</v>
      </c>
      <c r="Q34" s="1384">
        <f t="shared" si="8"/>
        <v>111</v>
      </c>
      <c r="R34" s="1385" t="s">
        <v>5</v>
      </c>
      <c r="S34" s="1386">
        <f t="shared" si="9"/>
        <v>100</v>
      </c>
      <c r="T34" s="1385" t="s">
        <v>5</v>
      </c>
      <c r="U34" s="1386">
        <f t="shared" si="10"/>
        <v>100</v>
      </c>
      <c r="V34" s="1385" t="s">
        <v>5</v>
      </c>
      <c r="W34" s="1386">
        <f t="shared" si="11"/>
        <v>100</v>
      </c>
      <c r="X34" s="1379"/>
      <c r="Y34" s="3897" t="s">
        <v>499</v>
      </c>
      <c r="Z34" s="1387">
        <f t="shared" si="12"/>
        <v>111</v>
      </c>
      <c r="AA34" s="1388">
        <f t="shared" si="3"/>
        <v>1</v>
      </c>
      <c r="AB34" s="1388">
        <f t="shared" si="4"/>
        <v>1</v>
      </c>
      <c r="AC34" s="1388">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97"/>
      <c r="Q35" s="1384">
        <f t="shared" si="8"/>
        <v>111</v>
      </c>
      <c r="R35" s="1389" t="s">
        <v>5</v>
      </c>
      <c r="S35" s="1390">
        <f t="shared" si="9"/>
        <v>100</v>
      </c>
      <c r="T35" s="1389" t="s">
        <v>5</v>
      </c>
      <c r="U35" s="1390">
        <f t="shared" si="10"/>
        <v>100</v>
      </c>
      <c r="V35" s="1389" t="s">
        <v>5</v>
      </c>
      <c r="W35" s="1390">
        <f t="shared" si="11"/>
        <v>100</v>
      </c>
      <c r="X35" s="1391"/>
      <c r="Y35" s="3897"/>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97"/>
      <c r="Q36" s="1384" t="str">
        <f>B36</f>
        <v>宗地面积</v>
      </c>
      <c r="R36" s="1385" t="s">
        <v>5</v>
      </c>
      <c r="S36" s="1386" t="e">
        <f t="shared" si="9"/>
        <v>#N/A</v>
      </c>
      <c r="T36" s="1385" t="s">
        <v>5</v>
      </c>
      <c r="U36" s="1386" t="e">
        <f t="shared" si="10"/>
        <v>#N/A</v>
      </c>
      <c r="V36" s="1385" t="s">
        <v>5</v>
      </c>
      <c r="W36" s="1386" t="e">
        <f t="shared" si="11"/>
        <v>#N/A</v>
      </c>
      <c r="X36" s="1379"/>
      <c r="Y36" s="3897"/>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97"/>
      <c r="Q37" s="1384" t="str">
        <f t="shared" ref="Q37:Q42" si="13">B37</f>
        <v>宗地形状</v>
      </c>
      <c r="R37" s="1385" t="s">
        <v>5</v>
      </c>
      <c r="S37" s="1386">
        <f t="shared" si="9"/>
        <v>100</v>
      </c>
      <c r="T37" s="1385" t="s">
        <v>5</v>
      </c>
      <c r="U37" s="1386">
        <f t="shared" si="10"/>
        <v>100</v>
      </c>
      <c r="V37" s="1385" t="s">
        <v>5</v>
      </c>
      <c r="W37" s="1386">
        <f t="shared" si="11"/>
        <v>100</v>
      </c>
      <c r="X37" s="1379"/>
      <c r="Y37" s="3897"/>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97"/>
      <c r="Q38" s="1384" t="str">
        <f t="shared" si="13"/>
        <v>宗地开发程度</v>
      </c>
      <c r="R38" s="1380" t="s">
        <v>5</v>
      </c>
      <c r="S38" s="1381">
        <f t="shared" si="9"/>
        <v>100</v>
      </c>
      <c r="T38" s="1380" t="s">
        <v>5</v>
      </c>
      <c r="U38" s="1381">
        <f t="shared" si="10"/>
        <v>100</v>
      </c>
      <c r="V38" s="1380" t="s">
        <v>5</v>
      </c>
      <c r="W38" s="1381">
        <f t="shared" si="11"/>
        <v>100</v>
      </c>
      <c r="X38" s="1382"/>
      <c r="Y38" s="3897"/>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97" t="s">
        <v>549</v>
      </c>
      <c r="Q39" s="1384" t="str">
        <f t="shared" si="13"/>
        <v>工程地质条件</v>
      </c>
      <c r="R39" s="1385" t="s">
        <v>5</v>
      </c>
      <c r="S39" s="1386">
        <f t="shared" si="9"/>
        <v>100</v>
      </c>
      <c r="T39" s="1385" t="s">
        <v>5</v>
      </c>
      <c r="U39" s="1386">
        <f t="shared" si="10"/>
        <v>100</v>
      </c>
      <c r="V39" s="1385" t="s">
        <v>5</v>
      </c>
      <c r="W39" s="1386">
        <f t="shared" si="11"/>
        <v>100</v>
      </c>
      <c r="X39" s="1379"/>
      <c r="Y39" s="3897"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97"/>
      <c r="Q40" s="1384">
        <f t="shared" si="13"/>
        <v>111</v>
      </c>
      <c r="R40" s="1385" t="s">
        <v>5</v>
      </c>
      <c r="S40" s="1386">
        <f t="shared" si="9"/>
        <v>100</v>
      </c>
      <c r="T40" s="1385" t="s">
        <v>5</v>
      </c>
      <c r="U40" s="1386">
        <f t="shared" si="10"/>
        <v>100</v>
      </c>
      <c r="V40" s="1385" t="s">
        <v>5</v>
      </c>
      <c r="W40" s="1386">
        <f t="shared" si="11"/>
        <v>100</v>
      </c>
      <c r="X40" s="1379"/>
      <c r="Y40" s="3897"/>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97"/>
      <c r="Q41" s="1384">
        <f t="shared" si="13"/>
        <v>111</v>
      </c>
      <c r="R41" s="1385" t="s">
        <v>5</v>
      </c>
      <c r="S41" s="1386">
        <f t="shared" si="9"/>
        <v>100</v>
      </c>
      <c r="T41" s="1385" t="s">
        <v>5</v>
      </c>
      <c r="U41" s="1386">
        <f t="shared" si="10"/>
        <v>100</v>
      </c>
      <c r="V41" s="1385" t="s">
        <v>5</v>
      </c>
      <c r="W41" s="1386">
        <f t="shared" si="11"/>
        <v>100</v>
      </c>
      <c r="X41" s="1379"/>
      <c r="Y41" s="3897"/>
      <c r="Z41" s="1387">
        <f t="shared" si="12"/>
        <v>111</v>
      </c>
      <c r="AA41" s="1388">
        <f t="shared" si="3"/>
        <v>1</v>
      </c>
      <c r="AB41" s="1388">
        <f t="shared" si="4"/>
        <v>1</v>
      </c>
      <c r="AC41" s="1388">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97"/>
      <c r="Q42" s="1384">
        <f t="shared" si="13"/>
        <v>111</v>
      </c>
      <c r="R42" s="1389" t="s">
        <v>5</v>
      </c>
      <c r="S42" s="1390">
        <f t="shared" si="9"/>
        <v>100</v>
      </c>
      <c r="T42" s="1389" t="s">
        <v>5</v>
      </c>
      <c r="U42" s="1390">
        <f t="shared" si="10"/>
        <v>100</v>
      </c>
      <c r="V42" s="1389" t="s">
        <v>5</v>
      </c>
      <c r="W42" s="1390">
        <f t="shared" si="11"/>
        <v>100</v>
      </c>
      <c r="X42" s="1391"/>
      <c r="Y42" s="3897"/>
      <c r="Z42" s="1392">
        <f t="shared" si="12"/>
        <v>111</v>
      </c>
      <c r="AA42" s="1388">
        <f t="shared" si="3"/>
        <v>1</v>
      </c>
      <c r="AB42" s="1388">
        <f t="shared" si="4"/>
        <v>1</v>
      </c>
      <c r="AC42" s="1388">
        <f t="shared" si="5"/>
        <v>1</v>
      </c>
    </row>
    <row r="43" spans="1:29" ht="14.4">
      <c r="A43" s="577" t="s">
        <v>505</v>
      </c>
      <c r="B43" s="578" t="s">
        <v>2197</v>
      </c>
      <c r="C43" s="579" t="s">
        <v>0</v>
      </c>
      <c r="D43" s="580"/>
      <c r="E43" s="581"/>
      <c r="F43" s="582"/>
      <c r="G43" s="583"/>
      <c r="H43" s="584"/>
      <c r="I43" s="581"/>
      <c r="J43" s="584"/>
      <c r="K43" s="1200"/>
      <c r="L43" s="1866"/>
      <c r="M43" s="1856"/>
      <c r="N43" s="1856"/>
      <c r="O43" s="1867"/>
      <c r="P43" s="3861" t="str">
        <f>A43</f>
        <v>成交单价</v>
      </c>
      <c r="Q43" s="3861"/>
      <c r="R43" s="3862">
        <f>E43</f>
        <v>0</v>
      </c>
      <c r="S43" s="3862"/>
      <c r="T43" s="3862">
        <f>G43</f>
        <v>0</v>
      </c>
      <c r="U43" s="3862"/>
      <c r="V43" s="3862">
        <f>I43</f>
        <v>0</v>
      </c>
      <c r="W43" s="3862"/>
      <c r="X43" s="1374"/>
      <c r="Y43" s="1393"/>
      <c r="Z43" s="1374"/>
      <c r="AA43" s="1374"/>
      <c r="AB43" s="1374"/>
      <c r="AC43" s="1374"/>
    </row>
    <row r="44" spans="1:29" ht="1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61" t="str">
        <f>A44</f>
        <v>比较价格（元/平方米）</v>
      </c>
      <c r="Q44" s="3861"/>
      <c r="R44" s="3863" t="e">
        <f>ROUND(PRODUCT(R43,AA9:AA42),0)</f>
        <v>#DIV/0!</v>
      </c>
      <c r="S44" s="3863"/>
      <c r="T44" s="3863" t="e">
        <f>ROUND(PRODUCT(T43,AB9:AB42),0)</f>
        <v>#DIV/0!</v>
      </c>
      <c r="U44" s="3863"/>
      <c r="V44" s="3863" t="e">
        <f>ROUND(PRODUCT(V43,AC9:AC42),0)</f>
        <v>#DIV/0!</v>
      </c>
      <c r="W44" s="3863"/>
      <c r="X44" s="1374"/>
      <c r="Y44" s="1374"/>
      <c r="Z44" s="1374"/>
      <c r="AA44" s="1374"/>
      <c r="AB44" s="1374"/>
      <c r="AC44" s="1374"/>
    </row>
    <row r="45" spans="1:29" ht="15" thickBot="1">
      <c r="A45" s="589" t="s">
        <v>2198</v>
      </c>
      <c r="B45" s="590"/>
      <c r="C45" s="591" t="e">
        <f>R45</f>
        <v>#DIV/0!</v>
      </c>
      <c r="D45" s="591"/>
      <c r="E45" s="591"/>
      <c r="F45" s="591"/>
      <c r="G45" s="591"/>
      <c r="H45" s="591"/>
      <c r="I45" s="591"/>
      <c r="J45" s="591"/>
      <c r="K45" s="1201"/>
      <c r="L45" s="1866"/>
      <c r="M45" s="1856"/>
      <c r="N45" s="1856"/>
      <c r="O45" s="1867"/>
      <c r="P45" s="3898" t="str">
        <f>A45</f>
        <v>估价对象XX用房的比较价格（楼面单价，元/平方米）</v>
      </c>
      <c r="Q45" s="3899"/>
      <c r="R45" s="3914" t="e">
        <f>ROUND(IF(D44="简单平均",AVERAGE(R44:W44),R44*F44+T44*H44+V44*J44),0)</f>
        <v>#DIV/0!</v>
      </c>
      <c r="S45" s="3914"/>
      <c r="T45" s="3914"/>
      <c r="U45" s="3914"/>
      <c r="V45" s="3914"/>
      <c r="W45" s="3914"/>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10" t="s">
        <v>1642</v>
      </c>
      <c r="H52" s="3911"/>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t="e">
        <f>C45</f>
        <v>#DIV/0!</v>
      </c>
      <c r="C53" s="603">
        <v>1</v>
      </c>
      <c r="D53" s="1946">
        <v>1</v>
      </c>
      <c r="E53" s="603">
        <f>'数据-汇总表'!E8+'数据-汇总表'!E9</f>
        <v>109460.71999999999</v>
      </c>
      <c r="F53" s="1705" t="e">
        <f t="shared" ref="F53:F61" si="14">ROUND(B53*E53/10000,0)</f>
        <v>#DIV/0!</v>
      </c>
      <c r="G53" s="3912"/>
      <c r="H53" s="3913"/>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t="e">
        <f>ROUND($C$45*C54*D54,0)</f>
        <v>#DIV/0!</v>
      </c>
      <c r="C54" s="365">
        <f t="shared" ref="C54:C61" si="15">IF($C$52="北京市系数",I54,J54)</f>
        <v>0.6</v>
      </c>
      <c r="D54" s="1947">
        <v>0.25</v>
      </c>
      <c r="E54" s="607"/>
      <c r="F54" s="1705" t="e">
        <f t="shared" si="14"/>
        <v>#DIV/0!</v>
      </c>
      <c r="G54" s="3277" t="s">
        <v>1643</v>
      </c>
      <c r="H54" s="1709" t="str">
        <f>项目基本情况!B43</f>
        <v>七级</v>
      </c>
      <c r="I54" s="1708">
        <f>SUMIF(修正!$A$57:$A$68,H54,修正!B57:B68)</f>
        <v>0.6</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t="e">
        <f t="shared" ref="B55:B61" si="16">ROUND($C$45*C55*D55,0)</f>
        <v>#DIV/0!</v>
      </c>
      <c r="C55" s="365">
        <f t="shared" si="15"/>
        <v>0.3</v>
      </c>
      <c r="D55" s="1947">
        <v>0.25</v>
      </c>
      <c r="E55" s="607"/>
      <c r="F55" s="1705" t="e">
        <f t="shared" si="14"/>
        <v>#DIV/0!</v>
      </c>
      <c r="G55" s="3278"/>
      <c r="H55" s="1710" t="str">
        <f>项目基本情况!B43</f>
        <v>七级</v>
      </c>
      <c r="I55" s="1708">
        <f>SUMIF(修正!$A$57:$A$68,H55,修正!C57:C68)</f>
        <v>0.3</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t="e">
        <f t="shared" si="16"/>
        <v>#DIV/0!</v>
      </c>
      <c r="C56" s="365">
        <f t="shared" si="15"/>
        <v>0.25</v>
      </c>
      <c r="D56" s="1947">
        <v>0.25</v>
      </c>
      <c r="E56" s="607"/>
      <c r="F56" s="1705" t="e">
        <f t="shared" si="14"/>
        <v>#DIV/0!</v>
      </c>
      <c r="G56" s="3278"/>
      <c r="H56" s="1710" t="str">
        <f>项目基本情况!B43</f>
        <v>七级</v>
      </c>
      <c r="I56" s="1708">
        <f>SUMIF(修正!$A$57:$A$68,H56,修正!D57:D68)</f>
        <v>0.25</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t="e">
        <f t="shared" si="16"/>
        <v>#DIV/0!</v>
      </c>
      <c r="C57" s="365">
        <f t="shared" si="15"/>
        <v>0.25</v>
      </c>
      <c r="D57" s="1947">
        <v>0.25</v>
      </c>
      <c r="E57" s="609">
        <f>'数据-汇总表'!E11</f>
        <v>50</v>
      </c>
      <c r="F57" s="1705" t="e">
        <f t="shared" si="14"/>
        <v>#DIV/0!</v>
      </c>
      <c r="G57" s="1711" t="s">
        <v>1644</v>
      </c>
      <c r="H57" s="1710" t="str">
        <f>项目基本情况!C43</f>
        <v>七级</v>
      </c>
      <c r="I57" s="1708">
        <f>SUMIF(修正!$A$57:$A$68,H57,修正!E57:E68)</f>
        <v>0.25</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t="e">
        <f t="shared" si="16"/>
        <v>#DIV/0!</v>
      </c>
      <c r="C58" s="365">
        <f t="shared" si="15"/>
        <v>0.25</v>
      </c>
      <c r="D58" s="1947">
        <v>0.25</v>
      </c>
      <c r="E58" s="609">
        <f>'数据-汇总表'!E12</f>
        <v>11410.09</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t="e">
        <f t="shared" si="16"/>
        <v>#DIV/0!</v>
      </c>
      <c r="C59" s="365">
        <f t="shared" si="15"/>
        <v>0.15</v>
      </c>
      <c r="D59" s="1947">
        <v>0.25</v>
      </c>
      <c r="E59" s="609">
        <f>'数据-汇总表'!E13</f>
        <v>16237.789999999999</v>
      </c>
      <c r="F59" s="1705" t="e">
        <f t="shared" si="14"/>
        <v>#DIV/0!</v>
      </c>
      <c r="G59" s="1701" t="s">
        <v>851</v>
      </c>
      <c r="H59" s="1709" t="str">
        <f>IF(G59="商业",项目基本情况!B43,IF(G59="办公",项目基本情况!C43,IF(G59="住宅",项目基本情况!D43,项目基本情况!E43)))</f>
        <v>七级</v>
      </c>
      <c r="I59" s="1708">
        <f>SUMIF(修正!$A$57:$A$68,H59,修正!G57:G68)</f>
        <v>0.15</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69193.56</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4.4">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23" sqref="J23"/>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6">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SUMPRODUCT((区片价!B10:B28=I2)*(区片价!C3:G3=E2)*(区片价!C10:G28))</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6">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31.2">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6" thickBot="1">
      <c r="A5" s="1443" t="s">
        <v>1352</v>
      </c>
      <c r="B5" s="1269" t="s">
        <v>859</v>
      </c>
      <c r="C5" s="993" t="e">
        <f>ROUND(IF(E2="商业",C6*C7*C17+C20,(IF(E2="住宅",C6*C13*C17+C20,IF(E2="办公",C6*C12*C17+C20,C6+C20)))),0)</f>
        <v>#DIV/0!</v>
      </c>
      <c r="D5" s="2546" t="e">
        <f>ROUND(C6*C17+C20,0)</f>
        <v>#DIV/0!</v>
      </c>
      <c r="E5" s="2546"/>
      <c r="F5" s="1270"/>
      <c r="G5" s="1271"/>
      <c r="H5" s="1271"/>
      <c r="I5" s="1271"/>
      <c r="J5" s="1272"/>
      <c r="K5" s="2975"/>
      <c r="L5" s="1640" t="s">
        <v>1601</v>
      </c>
      <c r="M5" s="1641">
        <f>SUMPRODUCT((区片价!B76:B109=I2)*(区片价!C3:G3=E2)*(区片价!C76:G109))</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6"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6"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16" t="s">
        <v>2060</v>
      </c>
      <c r="X8" s="3917"/>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15"/>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15"/>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8"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24.6"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26" t="s">
        <v>1370</v>
      </c>
      <c r="B20" s="1277" t="s">
        <v>875</v>
      </c>
      <c r="C20" s="997" t="e">
        <f>ROUND(IF(F21="与级别开发程度一致",0,(G21-E21)/C21),0)</f>
        <v>#DIV/0!</v>
      </c>
      <c r="D20" s="3921" t="s">
        <v>879</v>
      </c>
      <c r="E20" s="3922"/>
      <c r="F20" s="3921" t="s">
        <v>876</v>
      </c>
      <c r="G20" s="3922"/>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27"/>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4">
      <c r="A25" s="1446" t="s">
        <v>1366</v>
      </c>
      <c r="B25" s="1302" t="s">
        <v>2279</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6" t="s">
        <v>3218</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1"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 thickBot="1">
      <c r="A28" s="1445" t="s">
        <v>1397</v>
      </c>
      <c r="B28" s="1269" t="s">
        <v>904</v>
      </c>
      <c r="C28" s="1003">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4.4">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6"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9" t="s">
        <v>3249</v>
      </c>
      <c r="L36" s="3641">
        <v>3.6999999999999998E-2</v>
      </c>
      <c r="M36" s="3642">
        <f>ROUND($L$36*(1+M31),3)</f>
        <v>4.5999999999999999E-2</v>
      </c>
      <c r="N36" s="3642">
        <f>ROUND($L$36*(1+N31),3)</f>
        <v>4.3999999999999997E-2</v>
      </c>
      <c r="O36" s="3642">
        <f>ROUND($L$36*(1+O31),3)</f>
        <v>4.2999999999999997E-2</v>
      </c>
      <c r="P36" s="3642">
        <f>ROUND($L$36*(1+P31),3)</f>
        <v>4.1000000000000002E-2</v>
      </c>
      <c r="Q36" s="3642">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23"/>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3"/>
      <c r="K37" s="3640" t="s">
        <v>3250</v>
      </c>
      <c r="L37" s="3641">
        <f>L36+K38</f>
        <v>4.1999999999999996E-2</v>
      </c>
      <c r="M37" s="3642">
        <f>ROUND($L$37*(1+M31),3)</f>
        <v>5.2999999999999999E-2</v>
      </c>
      <c r="N37" s="3642">
        <f t="shared" ref="N37:Q37" si="3">ROUND($L$37*(1+N31),3)</f>
        <v>0.05</v>
      </c>
      <c r="O37" s="3642">
        <f t="shared" si="3"/>
        <v>4.8000000000000001E-2</v>
      </c>
      <c r="P37" s="3642">
        <f t="shared" si="3"/>
        <v>4.5999999999999999E-2</v>
      </c>
      <c r="Q37" s="3642">
        <f t="shared" si="3"/>
        <v>4.8000000000000001E-2</v>
      </c>
      <c r="R37" s="1911"/>
      <c r="S37" s="1911"/>
      <c r="T37" s="1911"/>
      <c r="U37" s="1911"/>
      <c r="V37" s="1911"/>
      <c r="W37" s="1910"/>
      <c r="X37" s="1910"/>
      <c r="Y37" s="1910"/>
      <c r="Z37" s="1910"/>
      <c r="AA37" s="1910"/>
      <c r="AB37" s="1910"/>
      <c r="AC37" s="1911"/>
    </row>
    <row r="38" spans="1:44" ht="13.2">
      <c r="A38" s="3924"/>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4"/>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8" thickBot="1">
      <c r="A39" s="3924"/>
      <c r="B39" s="3569" t="s">
        <v>3223</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4"/>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4.4">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48">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4.4">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48">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4.4">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48">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48">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4.4">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36">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48">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3.8">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36">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6"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4.4">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48">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48">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7.200000000000003">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36">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36.6"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28" t="s">
        <v>1172</v>
      </c>
      <c r="B104" s="3928"/>
      <c r="C104" s="3928"/>
      <c r="D104" s="3928"/>
      <c r="E104" s="3928"/>
      <c r="F104" s="3928"/>
      <c r="G104" s="3928"/>
      <c r="H104" s="3928"/>
      <c r="I104" s="3928"/>
      <c r="J104" s="3928"/>
      <c r="K104" s="2102"/>
      <c r="L104" s="2102"/>
      <c r="M104" s="2102"/>
      <c r="N104" s="2102"/>
    </row>
    <row r="105" spans="1:36">
      <c r="A105" s="3929" t="s">
        <v>1161</v>
      </c>
      <c r="B105" s="3929" t="s">
        <v>1173</v>
      </c>
      <c r="C105" s="1040" t="s">
        <v>1174</v>
      </c>
      <c r="D105" s="1041"/>
      <c r="E105" s="1041"/>
      <c r="F105" s="1041"/>
      <c r="G105" s="1041"/>
      <c r="H105" s="1041"/>
      <c r="I105" s="1041"/>
      <c r="J105" s="1042"/>
      <c r="K105" s="1034"/>
      <c r="L105" s="1034"/>
      <c r="M105" s="1034"/>
      <c r="N105" s="1034"/>
    </row>
    <row r="106" spans="1:36">
      <c r="A106" s="3929"/>
      <c r="B106" s="3929"/>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18"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9"/>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9"/>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9"/>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9"/>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9"/>
      <c r="B112" s="1043" t="s">
        <v>3241</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20"/>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25" t="s">
        <v>1175</v>
      </c>
      <c r="B114" s="3925"/>
      <c r="C114" s="3925"/>
      <c r="D114" s="3925"/>
      <c r="E114" s="3925"/>
      <c r="F114" s="3925"/>
      <c r="G114" s="3925"/>
      <c r="H114" s="3925"/>
      <c r="I114" s="3925"/>
      <c r="J114" s="3925"/>
      <c r="K114" s="2100"/>
      <c r="L114" s="2100"/>
      <c r="M114" s="2100"/>
      <c r="N114" s="2100"/>
    </row>
    <row r="116" spans="1:14" ht="12.6" thickBot="1"/>
    <row r="117" spans="1:14" ht="25.8"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3.2">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3.2">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8"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3.2">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6" t="s">
        <v>2768</v>
      </c>
      <c r="B8" s="3249">
        <v>80</v>
      </c>
      <c r="C8" s="3249">
        <v>80</v>
      </c>
      <c r="D8" s="3249">
        <v>70</v>
      </c>
      <c r="E8" s="3249">
        <v>70</v>
      </c>
      <c r="F8" s="3249">
        <v>70</v>
      </c>
      <c r="G8" s="3249">
        <v>70</v>
      </c>
      <c r="H8" s="3249">
        <v>70</v>
      </c>
      <c r="I8" s="3249">
        <v>60</v>
      </c>
      <c r="J8" s="3249">
        <v>60</v>
      </c>
      <c r="K8" s="3249">
        <v>60</v>
      </c>
      <c r="L8" s="3249">
        <v>60</v>
      </c>
      <c r="M8" s="3250">
        <v>60</v>
      </c>
    </row>
    <row r="9" spans="1:13">
      <c r="A9" s="1008" t="s">
        <v>2769</v>
      </c>
      <c r="B9" s="3251">
        <v>70</v>
      </c>
      <c r="C9" s="3251">
        <v>70</v>
      </c>
      <c r="D9" s="3251">
        <v>60</v>
      </c>
      <c r="E9" s="3251">
        <v>60</v>
      </c>
      <c r="F9" s="3251">
        <v>60</v>
      </c>
      <c r="G9" s="3251">
        <v>60</v>
      </c>
      <c r="H9" s="3251">
        <v>60</v>
      </c>
      <c r="I9" s="3251">
        <v>50</v>
      </c>
      <c r="J9" s="3251">
        <v>50</v>
      </c>
      <c r="K9" s="3251">
        <v>50</v>
      </c>
      <c r="L9" s="3251">
        <v>50</v>
      </c>
      <c r="M9" s="3252">
        <v>50</v>
      </c>
    </row>
    <row r="10" spans="1:13">
      <c r="A10" s="1008"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5" thickBot="1">
      <c r="A19" s="3253" t="s">
        <v>2458</v>
      </c>
      <c r="B19" s="3255" t="s">
        <v>2459</v>
      </c>
      <c r="C19" s="3256" t="s">
        <v>2460</v>
      </c>
      <c r="D19" s="3257"/>
      <c r="E19" s="3251" t="s">
        <v>2461</v>
      </c>
      <c r="F19" s="1032"/>
      <c r="G19" s="1032"/>
    </row>
    <row r="20" spans="1:13" s="1407" customFormat="1">
      <c r="A20" s="3930" t="s">
        <v>2452</v>
      </c>
      <c r="B20" s="3933" t="s">
        <v>2462</v>
      </c>
      <c r="C20" s="3258" t="s">
        <v>2463</v>
      </c>
      <c r="D20" s="3259"/>
      <c r="E20" s="3260">
        <v>1</v>
      </c>
      <c r="F20" s="3261" t="s">
        <v>2464</v>
      </c>
      <c r="G20" s="1034"/>
      <c r="H20" s="1024"/>
      <c r="I20" s="1024"/>
    </row>
    <row r="21" spans="1:13" s="1407" customFormat="1">
      <c r="A21" s="3931"/>
      <c r="B21" s="3934"/>
      <c r="C21" s="3262" t="s">
        <v>2465</v>
      </c>
      <c r="D21" s="3263"/>
      <c r="E21" s="3264">
        <v>1</v>
      </c>
      <c r="F21" s="3261" t="s">
        <v>2466</v>
      </c>
      <c r="G21" s="1034"/>
      <c r="H21" s="1024"/>
      <c r="I21" s="1024"/>
    </row>
    <row r="22" spans="1:13" s="1407" customFormat="1">
      <c r="A22" s="3931"/>
      <c r="B22" s="3934"/>
      <c r="C22" s="3262" t="s">
        <v>2467</v>
      </c>
      <c r="D22" s="3263"/>
      <c r="E22" s="3264">
        <v>0.9</v>
      </c>
      <c r="F22" s="3261" t="s">
        <v>2468</v>
      </c>
      <c r="G22" s="1034"/>
      <c r="H22" s="1024"/>
      <c r="I22" s="1024"/>
    </row>
    <row r="23" spans="1:13" s="1407" customFormat="1">
      <c r="A23" s="3931"/>
      <c r="B23" s="3934"/>
      <c r="C23" s="3262" t="s">
        <v>2469</v>
      </c>
      <c r="D23" s="3263"/>
      <c r="E23" s="3264">
        <v>0.9</v>
      </c>
      <c r="F23" s="3261" t="s">
        <v>2470</v>
      </c>
      <c r="G23" s="1034"/>
      <c r="H23" s="1024"/>
      <c r="I23" s="1024"/>
    </row>
    <row r="24" spans="1:13" s="1407" customFormat="1">
      <c r="A24" s="3931"/>
      <c r="B24" s="3934"/>
      <c r="C24" s="3262" t="s">
        <v>2471</v>
      </c>
      <c r="D24" s="3263"/>
      <c r="E24" s="3264">
        <v>0.8</v>
      </c>
      <c r="F24" s="3261" t="s">
        <v>2472</v>
      </c>
      <c r="G24" s="1034"/>
      <c r="H24" s="1024"/>
      <c r="I24" s="1024"/>
    </row>
    <row r="25" spans="1:13" s="1407" customFormat="1" ht="15" thickBot="1">
      <c r="A25" s="3932"/>
      <c r="B25" s="3935"/>
      <c r="C25" s="3265" t="s">
        <v>2473</v>
      </c>
      <c r="D25" s="3266"/>
      <c r="E25" s="3267">
        <v>0.8</v>
      </c>
      <c r="F25" s="3261" t="s">
        <v>2474</v>
      </c>
      <c r="G25" s="1034"/>
      <c r="H25" s="1024"/>
      <c r="I25" s="1024"/>
    </row>
    <row r="26" spans="1:13" s="1407" customFormat="1" ht="15" thickBot="1">
      <c r="A26" s="3268" t="s">
        <v>2453</v>
      </c>
      <c r="B26" s="3269" t="s">
        <v>2462</v>
      </c>
      <c r="C26" s="3270" t="s">
        <v>2475</v>
      </c>
      <c r="D26" s="3271"/>
      <c r="E26" s="3272">
        <v>1</v>
      </c>
      <c r="F26" s="3261" t="s">
        <v>2476</v>
      </c>
      <c r="G26" s="1034"/>
      <c r="H26" s="1024"/>
      <c r="I26" s="1024"/>
    </row>
    <row r="27" spans="1:13" s="1407" customFormat="1">
      <c r="A27" s="3936" t="s">
        <v>2457</v>
      </c>
      <c r="B27" s="3933" t="s">
        <v>2457</v>
      </c>
      <c r="C27" s="3258" t="s">
        <v>2477</v>
      </c>
      <c r="D27" s="3259"/>
      <c r="E27" s="3260">
        <v>1</v>
      </c>
      <c r="F27" s="3261" t="s">
        <v>2478</v>
      </c>
      <c r="G27" s="1034"/>
      <c r="H27" s="1024"/>
      <c r="I27" s="1024"/>
    </row>
    <row r="28" spans="1:13" s="1407" customFormat="1">
      <c r="A28" s="3937"/>
      <c r="B28" s="3934"/>
      <c r="C28" s="3262" t="s">
        <v>2479</v>
      </c>
      <c r="D28" s="3263"/>
      <c r="E28" s="3264">
        <v>1</v>
      </c>
      <c r="F28" s="3261" t="s">
        <v>2480</v>
      </c>
      <c r="G28" s="1034"/>
      <c r="H28" s="1024"/>
      <c r="I28" s="1024"/>
    </row>
    <row r="29" spans="1:13" s="1407" customFormat="1">
      <c r="A29" s="3937"/>
      <c r="B29" s="3934"/>
      <c r="C29" s="3262" t="s">
        <v>2481</v>
      </c>
      <c r="D29" s="3263"/>
      <c r="E29" s="3264">
        <v>0.8</v>
      </c>
      <c r="F29" s="3261" t="s">
        <v>2482</v>
      </c>
      <c r="G29" s="1034"/>
      <c r="H29" s="1024"/>
      <c r="I29" s="1024"/>
    </row>
    <row r="30" spans="1:13" s="1407" customFormat="1">
      <c r="A30" s="3937"/>
      <c r="B30" s="3934"/>
      <c r="C30" s="3262" t="s">
        <v>2483</v>
      </c>
      <c r="D30" s="3263"/>
      <c r="E30" s="3264">
        <v>0.8</v>
      </c>
      <c r="F30" s="3261" t="s">
        <v>2484</v>
      </c>
      <c r="G30" s="1034"/>
      <c r="H30" s="1024"/>
      <c r="I30" s="1024"/>
    </row>
    <row r="31" spans="1:13" s="1407" customFormat="1">
      <c r="A31" s="3937"/>
      <c r="B31" s="3934"/>
      <c r="C31" s="3262" t="s">
        <v>2485</v>
      </c>
      <c r="D31" s="3263"/>
      <c r="E31" s="3264">
        <v>0.8</v>
      </c>
      <c r="F31" s="3261" t="s">
        <v>2486</v>
      </c>
      <c r="G31" s="1034"/>
      <c r="H31" s="1024"/>
      <c r="I31" s="1024"/>
    </row>
    <row r="32" spans="1:13" s="1407" customFormat="1">
      <c r="A32" s="3937"/>
      <c r="B32" s="3934"/>
      <c r="C32" s="3262" t="s">
        <v>2487</v>
      </c>
      <c r="D32" s="3263"/>
      <c r="E32" s="3264">
        <v>0.7</v>
      </c>
      <c r="F32" s="3261" t="s">
        <v>2488</v>
      </c>
      <c r="G32" s="1034"/>
      <c r="H32" s="1024"/>
      <c r="I32" s="1024"/>
    </row>
    <row r="33" spans="1:9" s="1407" customFormat="1">
      <c r="A33" s="3937"/>
      <c r="B33" s="3934"/>
      <c r="C33" s="3262" t="s">
        <v>2489</v>
      </c>
      <c r="D33" s="3263"/>
      <c r="E33" s="3264">
        <v>0.8</v>
      </c>
      <c r="F33" s="3261" t="s">
        <v>2490</v>
      </c>
      <c r="G33" s="1034"/>
      <c r="H33" s="1024"/>
      <c r="I33" s="1024"/>
    </row>
    <row r="34" spans="1:9" s="1407" customFormat="1">
      <c r="A34" s="3937"/>
      <c r="B34" s="3934"/>
      <c r="C34" s="3262" t="s">
        <v>2491</v>
      </c>
      <c r="D34" s="3263"/>
      <c r="E34" s="3264">
        <v>0.6</v>
      </c>
      <c r="F34" s="3261" t="s">
        <v>2492</v>
      </c>
      <c r="G34" s="1034"/>
      <c r="H34" s="1024"/>
      <c r="I34" s="1024"/>
    </row>
    <row r="35" spans="1:9" s="1407" customFormat="1">
      <c r="A35" s="3937"/>
      <c r="B35" s="3934"/>
      <c r="C35" s="3262" t="s">
        <v>2493</v>
      </c>
      <c r="D35" s="3263"/>
      <c r="E35" s="3264">
        <v>0.2</v>
      </c>
      <c r="F35" s="3261" t="s">
        <v>2494</v>
      </c>
      <c r="G35" s="1034"/>
      <c r="H35" s="1024"/>
      <c r="I35" s="1024"/>
    </row>
    <row r="36" spans="1:9" s="1407" customFormat="1">
      <c r="A36" s="3937"/>
      <c r="B36" s="3934"/>
      <c r="C36" s="3262" t="s">
        <v>2495</v>
      </c>
      <c r="D36" s="3263"/>
      <c r="E36" s="3264">
        <v>0.2</v>
      </c>
      <c r="F36" s="3261" t="s">
        <v>2496</v>
      </c>
      <c r="G36" s="1034"/>
      <c r="H36" s="1024"/>
      <c r="I36" s="1024"/>
    </row>
    <row r="37" spans="1:9" s="1407" customFormat="1">
      <c r="A37" s="3937"/>
      <c r="B37" s="3939" t="s">
        <v>2497</v>
      </c>
      <c r="C37" s="3262" t="s">
        <v>2498</v>
      </c>
      <c r="D37" s="3263"/>
      <c r="E37" s="3264">
        <v>0.6</v>
      </c>
      <c r="F37" s="3261" t="s">
        <v>2499</v>
      </c>
      <c r="G37" s="1034"/>
      <c r="H37" s="1024"/>
      <c r="I37" s="1024"/>
    </row>
    <row r="38" spans="1:9" s="1407" customFormat="1">
      <c r="A38" s="3937"/>
      <c r="B38" s="3934"/>
      <c r="C38" s="3262" t="s">
        <v>2500</v>
      </c>
      <c r="D38" s="3263"/>
      <c r="E38" s="3264">
        <v>0.6</v>
      </c>
      <c r="F38" s="3261" t="s">
        <v>2501</v>
      </c>
      <c r="G38" s="1034"/>
      <c r="H38" s="1024"/>
      <c r="I38" s="1024"/>
    </row>
    <row r="39" spans="1:9" s="1407" customFormat="1" ht="15" thickBot="1">
      <c r="A39" s="3938"/>
      <c r="B39" s="3935"/>
      <c r="C39" s="3265" t="s">
        <v>2502</v>
      </c>
      <c r="D39" s="3266"/>
      <c r="E39" s="3267">
        <v>0.6</v>
      </c>
      <c r="F39" s="3261" t="s">
        <v>2503</v>
      </c>
      <c r="G39" s="1034"/>
      <c r="H39" s="1024"/>
      <c r="I39" s="1024"/>
    </row>
    <row r="40" spans="1:9" s="1407" customFormat="1" ht="15" thickBot="1">
      <c r="A40" s="3268" t="s">
        <v>2454</v>
      </c>
      <c r="B40" s="3269" t="s">
        <v>2454</v>
      </c>
      <c r="C40" s="3270" t="s">
        <v>2504</v>
      </c>
      <c r="D40" s="3271"/>
      <c r="E40" s="3272">
        <v>1</v>
      </c>
      <c r="F40" s="3261" t="s">
        <v>2505</v>
      </c>
      <c r="G40" s="1034"/>
      <c r="H40" s="1024"/>
      <c r="I40" s="1024"/>
    </row>
    <row r="41" spans="1:9" s="1407" customFormat="1">
      <c r="A41" s="3930" t="s">
        <v>2455</v>
      </c>
      <c r="B41" s="3933" t="s">
        <v>2506</v>
      </c>
      <c r="C41" s="3258" t="s">
        <v>2507</v>
      </c>
      <c r="D41" s="3259"/>
      <c r="E41" s="3260">
        <v>1</v>
      </c>
      <c r="F41" s="3261" t="s">
        <v>2508</v>
      </c>
      <c r="G41" s="1034"/>
      <c r="H41" s="1024"/>
      <c r="I41" s="1024"/>
    </row>
    <row r="42" spans="1:9" s="1407" customFormat="1">
      <c r="A42" s="3931"/>
      <c r="B42" s="3934"/>
      <c r="C42" s="3262" t="s">
        <v>2509</v>
      </c>
      <c r="D42" s="3263"/>
      <c r="E42" s="3264">
        <v>1</v>
      </c>
      <c r="F42" s="3261" t="s">
        <v>2510</v>
      </c>
      <c r="G42" s="1034"/>
      <c r="H42" s="1024"/>
      <c r="I42" s="1024"/>
    </row>
    <row r="43" spans="1:9" s="1407" customFormat="1">
      <c r="A43" s="3931"/>
      <c r="B43" s="3940"/>
      <c r="C43" s="3262" t="s">
        <v>2511</v>
      </c>
      <c r="D43" s="3263"/>
      <c r="E43" s="3264">
        <v>1.5</v>
      </c>
      <c r="F43" s="3261" t="s">
        <v>2512</v>
      </c>
      <c r="G43" s="1034"/>
      <c r="H43" s="1024"/>
      <c r="I43" s="1024"/>
    </row>
    <row r="44" spans="1:9" s="1407" customFormat="1">
      <c r="A44" s="3931"/>
      <c r="B44" s="3273" t="s">
        <v>2457</v>
      </c>
      <c r="C44" s="3262" t="s">
        <v>2456</v>
      </c>
      <c r="D44" s="3263"/>
      <c r="E44" s="3264">
        <v>2</v>
      </c>
      <c r="F44" s="3261" t="s">
        <v>2513</v>
      </c>
      <c r="G44" s="1034"/>
      <c r="H44" s="1024"/>
      <c r="I44" s="1024"/>
    </row>
    <row r="45" spans="1:9" s="1407" customFormat="1">
      <c r="A45" s="3931"/>
      <c r="B45" s="3939" t="s">
        <v>2514</v>
      </c>
      <c r="C45" s="3262" t="s">
        <v>2515</v>
      </c>
      <c r="D45" s="3263"/>
      <c r="E45" s="3264">
        <v>1</v>
      </c>
      <c r="F45" s="3261" t="s">
        <v>2516</v>
      </c>
      <c r="G45" s="1034"/>
      <c r="H45" s="1024"/>
      <c r="I45" s="1024"/>
    </row>
    <row r="46" spans="1:9" s="1407" customFormat="1">
      <c r="A46" s="3931"/>
      <c r="B46" s="3934"/>
      <c r="C46" s="3262" t="s">
        <v>2517</v>
      </c>
      <c r="D46" s="3263"/>
      <c r="E46" s="3264">
        <v>1</v>
      </c>
      <c r="F46" s="3261" t="s">
        <v>2518</v>
      </c>
      <c r="G46" s="1034"/>
      <c r="H46" s="1024"/>
      <c r="I46" s="1024"/>
    </row>
    <row r="47" spans="1:9" s="1407" customFormat="1">
      <c r="A47" s="3931"/>
      <c r="B47" s="3934"/>
      <c r="C47" s="3262" t="s">
        <v>2519</v>
      </c>
      <c r="D47" s="3263"/>
      <c r="E47" s="3264">
        <v>1</v>
      </c>
      <c r="F47" s="3261" t="s">
        <v>2520</v>
      </c>
      <c r="G47" s="1034"/>
      <c r="H47" s="1024"/>
      <c r="I47" s="1024"/>
    </row>
    <row r="48" spans="1:9" s="1407" customFormat="1">
      <c r="A48" s="3931"/>
      <c r="B48" s="3934"/>
      <c r="C48" s="3262" t="s">
        <v>2521</v>
      </c>
      <c r="D48" s="3263"/>
      <c r="E48" s="3264">
        <v>1</v>
      </c>
      <c r="F48" s="3261" t="s">
        <v>2522</v>
      </c>
      <c r="G48" s="1034"/>
      <c r="H48" s="1024"/>
      <c r="I48" s="1024"/>
    </row>
    <row r="49" spans="1:9" s="1407" customFormat="1">
      <c r="A49" s="3931"/>
      <c r="B49" s="3934"/>
      <c r="C49" s="3262" t="s">
        <v>2523</v>
      </c>
      <c r="D49" s="3263"/>
      <c r="E49" s="3264">
        <v>1</v>
      </c>
      <c r="F49" s="3261" t="s">
        <v>2524</v>
      </c>
      <c r="G49" s="1034"/>
      <c r="H49" s="1024"/>
      <c r="I49" s="1024"/>
    </row>
    <row r="50" spans="1:9" s="1407" customFormat="1">
      <c r="A50" s="3931"/>
      <c r="B50" s="3934"/>
      <c r="C50" s="3262" t="s">
        <v>2525</v>
      </c>
      <c r="D50" s="3263"/>
      <c r="E50" s="3264">
        <v>1</v>
      </c>
      <c r="F50" s="3261" t="s">
        <v>2526</v>
      </c>
      <c r="G50" s="1034"/>
      <c r="H50" s="1024"/>
      <c r="I50" s="1024"/>
    </row>
    <row r="51" spans="1:9" s="1407" customFormat="1" ht="15" thickBot="1">
      <c r="A51" s="3932"/>
      <c r="B51" s="3935"/>
      <c r="C51" s="3265" t="s">
        <v>2527</v>
      </c>
      <c r="D51" s="3266"/>
      <c r="E51" s="3267">
        <v>1</v>
      </c>
      <c r="F51" s="3261"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ht="24">
      <c r="A73" s="3273">
        <v>1</v>
      </c>
      <c r="B73" s="3939" t="s">
        <v>2530</v>
      </c>
      <c r="C73" s="3251" t="s">
        <v>2531</v>
      </c>
      <c r="D73" s="3251" t="s">
        <v>2532</v>
      </c>
      <c r="E73" s="3274">
        <v>0.2</v>
      </c>
      <c r="F73" s="3273">
        <v>25</v>
      </c>
      <c r="H73" s="1024">
        <f>SUMIF(C71:C139,基准地价!C8,E71:E139)</f>
        <v>0</v>
      </c>
    </row>
    <row r="74" spans="1:8" s="1024" customFormat="1" ht="36">
      <c r="A74" s="3273">
        <v>2</v>
      </c>
      <c r="B74" s="3934"/>
      <c r="C74" s="3251" t="s">
        <v>2533</v>
      </c>
      <c r="D74" s="3251" t="s">
        <v>2534</v>
      </c>
      <c r="E74" s="3274">
        <v>0.2</v>
      </c>
      <c r="F74" s="3273">
        <v>25</v>
      </c>
    </row>
    <row r="75" spans="1:8" s="1024" customFormat="1" ht="24">
      <c r="A75" s="3273">
        <v>3</v>
      </c>
      <c r="B75" s="3934"/>
      <c r="C75" s="3251" t="s">
        <v>2535</v>
      </c>
      <c r="D75" s="3251" t="s">
        <v>2536</v>
      </c>
      <c r="E75" s="3274">
        <v>0.2</v>
      </c>
      <c r="F75" s="3273">
        <v>25</v>
      </c>
    </row>
    <row r="76" spans="1:8" s="1024" customFormat="1" ht="24">
      <c r="A76" s="3273">
        <v>4</v>
      </c>
      <c r="B76" s="3934"/>
      <c r="C76" s="3251" t="s">
        <v>2537</v>
      </c>
      <c r="D76" s="3251" t="s">
        <v>2538</v>
      </c>
      <c r="E76" s="3274">
        <v>0.15</v>
      </c>
      <c r="F76" s="3273">
        <v>20</v>
      </c>
    </row>
    <row r="77" spans="1:8" s="1024" customFormat="1" ht="24">
      <c r="A77" s="3273">
        <v>5</v>
      </c>
      <c r="B77" s="3934"/>
      <c r="C77" s="3251" t="s">
        <v>2539</v>
      </c>
      <c r="D77" s="3251" t="s">
        <v>2540</v>
      </c>
      <c r="E77" s="3274">
        <v>0.15</v>
      </c>
      <c r="F77" s="3273">
        <v>20</v>
      </c>
    </row>
    <row r="78" spans="1:8" s="1024" customFormat="1" ht="24">
      <c r="A78" s="3273">
        <v>6</v>
      </c>
      <c r="B78" s="3934"/>
      <c r="C78" s="3251" t="s">
        <v>2541</v>
      </c>
      <c r="D78" s="3251" t="s">
        <v>2542</v>
      </c>
      <c r="E78" s="3274">
        <v>0.15</v>
      </c>
      <c r="F78" s="3273">
        <v>20</v>
      </c>
    </row>
    <row r="79" spans="1:8" s="1024" customFormat="1" ht="36">
      <c r="A79" s="3273">
        <v>7</v>
      </c>
      <c r="B79" s="3934"/>
      <c r="C79" s="3251" t="s">
        <v>2543</v>
      </c>
      <c r="D79" s="3251" t="s">
        <v>2544</v>
      </c>
      <c r="E79" s="3274">
        <v>0.15</v>
      </c>
      <c r="F79" s="3273">
        <v>20</v>
      </c>
    </row>
    <row r="80" spans="1:8" s="1024" customFormat="1" ht="24">
      <c r="A80" s="3273">
        <v>8</v>
      </c>
      <c r="B80" s="3934"/>
      <c r="C80" s="3251" t="s">
        <v>2545</v>
      </c>
      <c r="D80" s="3251" t="s">
        <v>2546</v>
      </c>
      <c r="E80" s="3274">
        <v>0.1</v>
      </c>
      <c r="F80" s="3273">
        <v>15</v>
      </c>
    </row>
    <row r="81" spans="1:6" s="1024" customFormat="1" ht="24">
      <c r="A81" s="3273">
        <v>9</v>
      </c>
      <c r="B81" s="3934"/>
      <c r="C81" s="3251" t="s">
        <v>2547</v>
      </c>
      <c r="D81" s="3251" t="s">
        <v>2548</v>
      </c>
      <c r="E81" s="3274">
        <v>0.1</v>
      </c>
      <c r="F81" s="3273">
        <v>15</v>
      </c>
    </row>
    <row r="82" spans="1:6" s="1024" customFormat="1" ht="24">
      <c r="A82" s="3273">
        <v>10</v>
      </c>
      <c r="B82" s="3934"/>
      <c r="C82" s="3251" t="s">
        <v>2549</v>
      </c>
      <c r="D82" s="3251" t="s">
        <v>2550</v>
      </c>
      <c r="E82" s="3274">
        <v>0.1</v>
      </c>
      <c r="F82" s="3273">
        <v>15</v>
      </c>
    </row>
    <row r="83" spans="1:6" s="1024" customFormat="1" ht="36">
      <c r="A83" s="3273">
        <v>11</v>
      </c>
      <c r="B83" s="3934"/>
      <c r="C83" s="3251" t="s">
        <v>2551</v>
      </c>
      <c r="D83" s="3251" t="s">
        <v>2552</v>
      </c>
      <c r="E83" s="3274">
        <v>0.1</v>
      </c>
      <c r="F83" s="3273">
        <v>15</v>
      </c>
    </row>
    <row r="84" spans="1:6" s="1024" customFormat="1" ht="36">
      <c r="A84" s="3273">
        <v>12</v>
      </c>
      <c r="B84" s="3934"/>
      <c r="C84" s="3251" t="s">
        <v>2553</v>
      </c>
      <c r="D84" s="3251" t="s">
        <v>2554</v>
      </c>
      <c r="E84" s="3274">
        <v>0.1</v>
      </c>
      <c r="F84" s="3273">
        <v>15</v>
      </c>
    </row>
    <row r="85" spans="1:6" s="1024" customFormat="1" ht="24">
      <c r="A85" s="3273">
        <v>13</v>
      </c>
      <c r="B85" s="3934"/>
      <c r="C85" s="3251" t="s">
        <v>2555</v>
      </c>
      <c r="D85" s="3251" t="s">
        <v>2556</v>
      </c>
      <c r="E85" s="3274">
        <v>0.1</v>
      </c>
      <c r="F85" s="3273">
        <v>15</v>
      </c>
    </row>
    <row r="86" spans="1:6" s="1024" customFormat="1" ht="24">
      <c r="A86" s="3273">
        <v>14</v>
      </c>
      <c r="B86" s="3934"/>
      <c r="C86" s="3251" t="s">
        <v>2557</v>
      </c>
      <c r="D86" s="3251" t="s">
        <v>2558</v>
      </c>
      <c r="E86" s="3274">
        <v>0.1</v>
      </c>
      <c r="F86" s="3273">
        <v>15</v>
      </c>
    </row>
    <row r="87" spans="1:6" s="1024" customFormat="1" ht="24">
      <c r="A87" s="3273">
        <v>15</v>
      </c>
      <c r="B87" s="3934"/>
      <c r="C87" s="3251" t="s">
        <v>2559</v>
      </c>
      <c r="D87" s="3251" t="s">
        <v>2560</v>
      </c>
      <c r="E87" s="3274">
        <v>0.1</v>
      </c>
      <c r="F87" s="3273">
        <v>15</v>
      </c>
    </row>
    <row r="88" spans="1:6" s="1024" customFormat="1" ht="24">
      <c r="A88" s="3273">
        <v>16</v>
      </c>
      <c r="B88" s="3934"/>
      <c r="C88" s="3251" t="s">
        <v>2561</v>
      </c>
      <c r="D88" s="3251" t="s">
        <v>2562</v>
      </c>
      <c r="E88" s="3274">
        <v>0.1</v>
      </c>
      <c r="F88" s="3273">
        <v>15</v>
      </c>
    </row>
    <row r="89" spans="1:6" s="1024" customFormat="1" ht="36">
      <c r="A89" s="3273">
        <v>17</v>
      </c>
      <c r="B89" s="3940"/>
      <c r="C89" s="3251" t="s">
        <v>2563</v>
      </c>
      <c r="D89" s="3251" t="s">
        <v>2564</v>
      </c>
      <c r="E89" s="3274">
        <v>0.1</v>
      </c>
      <c r="F89" s="3273">
        <v>15</v>
      </c>
    </row>
    <row r="90" spans="1:6" s="1024" customFormat="1" ht="24">
      <c r="A90" s="3273">
        <v>18</v>
      </c>
      <c r="B90" s="3939" t="s">
        <v>2565</v>
      </c>
      <c r="C90" s="3251" t="s">
        <v>2566</v>
      </c>
      <c r="D90" s="3251" t="s">
        <v>2567</v>
      </c>
      <c r="E90" s="3274">
        <v>0.2</v>
      </c>
      <c r="F90" s="3273">
        <v>25</v>
      </c>
    </row>
    <row r="91" spans="1:6" s="1024" customFormat="1" ht="36">
      <c r="A91" s="3273">
        <v>19</v>
      </c>
      <c r="B91" s="3934"/>
      <c r="C91" s="3251" t="s">
        <v>2568</v>
      </c>
      <c r="D91" s="3251" t="s">
        <v>2569</v>
      </c>
      <c r="E91" s="3274">
        <v>0.2</v>
      </c>
      <c r="F91" s="3273">
        <v>25</v>
      </c>
    </row>
    <row r="92" spans="1:6" s="1024" customFormat="1" ht="24">
      <c r="A92" s="3273">
        <v>20</v>
      </c>
      <c r="B92" s="3934"/>
      <c r="C92" s="3251" t="s">
        <v>2570</v>
      </c>
      <c r="D92" s="3251" t="s">
        <v>2571</v>
      </c>
      <c r="E92" s="3274">
        <v>0.15</v>
      </c>
      <c r="F92" s="3273">
        <v>20</v>
      </c>
    </row>
    <row r="93" spans="1:6" s="1024" customFormat="1" ht="24">
      <c r="A93" s="3273">
        <v>21</v>
      </c>
      <c r="B93" s="3934"/>
      <c r="C93" s="3251" t="s">
        <v>2572</v>
      </c>
      <c r="D93" s="3251" t="s">
        <v>2573</v>
      </c>
      <c r="E93" s="3274">
        <v>0.15</v>
      </c>
      <c r="F93" s="3273">
        <v>20</v>
      </c>
    </row>
    <row r="94" spans="1:6" s="1024" customFormat="1" ht="24">
      <c r="A94" s="3273">
        <v>22</v>
      </c>
      <c r="B94" s="3934"/>
      <c r="C94" s="3251" t="s">
        <v>2574</v>
      </c>
      <c r="D94" s="3251" t="s">
        <v>2575</v>
      </c>
      <c r="E94" s="3274">
        <v>0.15</v>
      </c>
      <c r="F94" s="3273">
        <v>20</v>
      </c>
    </row>
    <row r="95" spans="1:6" s="1024" customFormat="1" ht="48">
      <c r="A95" s="3273">
        <v>23</v>
      </c>
      <c r="B95" s="3934"/>
      <c r="C95" s="3251" t="s">
        <v>2576</v>
      </c>
      <c r="D95" s="3251" t="s">
        <v>2577</v>
      </c>
      <c r="E95" s="3274">
        <v>0.15</v>
      </c>
      <c r="F95" s="3273">
        <v>20</v>
      </c>
    </row>
    <row r="96" spans="1:6" s="1024" customFormat="1" ht="24">
      <c r="A96" s="3273">
        <v>24</v>
      </c>
      <c r="B96" s="3934"/>
      <c r="C96" s="3251" t="s">
        <v>2578</v>
      </c>
      <c r="D96" s="3251" t="s">
        <v>2579</v>
      </c>
      <c r="E96" s="3274">
        <v>0.1</v>
      </c>
      <c r="F96" s="3273">
        <v>15</v>
      </c>
    </row>
    <row r="97" spans="1:6" s="1024" customFormat="1" ht="24">
      <c r="A97" s="3273">
        <v>25</v>
      </c>
      <c r="B97" s="3934"/>
      <c r="C97" s="3251" t="s">
        <v>2580</v>
      </c>
      <c r="D97" s="3251" t="s">
        <v>2581</v>
      </c>
      <c r="E97" s="3274">
        <v>0.1</v>
      </c>
      <c r="F97" s="3273">
        <v>15</v>
      </c>
    </row>
    <row r="98" spans="1:6" s="1024" customFormat="1" ht="36">
      <c r="A98" s="3273">
        <v>26</v>
      </c>
      <c r="B98" s="3934"/>
      <c r="C98" s="3251" t="s">
        <v>2582</v>
      </c>
      <c r="D98" s="3251" t="s">
        <v>2583</v>
      </c>
      <c r="E98" s="3274">
        <v>0.1</v>
      </c>
      <c r="F98" s="3273">
        <v>15</v>
      </c>
    </row>
    <row r="99" spans="1:6" s="1024" customFormat="1" ht="24">
      <c r="A99" s="3273">
        <v>27</v>
      </c>
      <c r="B99" s="3934"/>
      <c r="C99" s="3251" t="s">
        <v>2584</v>
      </c>
      <c r="D99" s="3251" t="s">
        <v>2585</v>
      </c>
      <c r="E99" s="3274">
        <v>0.1</v>
      </c>
      <c r="F99" s="3273">
        <v>15</v>
      </c>
    </row>
    <row r="100" spans="1:6" s="1024" customFormat="1" ht="24">
      <c r="A100" s="3273">
        <v>28</v>
      </c>
      <c r="B100" s="3934"/>
      <c r="C100" s="3251" t="s">
        <v>2586</v>
      </c>
      <c r="D100" s="3251" t="s">
        <v>2587</v>
      </c>
      <c r="E100" s="3274">
        <v>0.1</v>
      </c>
      <c r="F100" s="3273">
        <v>15</v>
      </c>
    </row>
    <row r="101" spans="1:6" s="1024" customFormat="1" ht="24">
      <c r="A101" s="3273">
        <v>29</v>
      </c>
      <c r="B101" s="3934"/>
      <c r="C101" s="3251" t="s">
        <v>2588</v>
      </c>
      <c r="D101" s="3251" t="s">
        <v>2589</v>
      </c>
      <c r="E101" s="3274">
        <v>0.1</v>
      </c>
      <c r="F101" s="3273">
        <v>15</v>
      </c>
    </row>
    <row r="102" spans="1:6" s="1024" customFormat="1" ht="24">
      <c r="A102" s="3273">
        <v>30</v>
      </c>
      <c r="B102" s="3934"/>
      <c r="C102" s="3251" t="s">
        <v>2590</v>
      </c>
      <c r="D102" s="3251" t="s">
        <v>2591</v>
      </c>
      <c r="E102" s="3274">
        <v>0.1</v>
      </c>
      <c r="F102" s="3273">
        <v>15</v>
      </c>
    </row>
    <row r="103" spans="1:6" s="1024" customFormat="1" ht="24">
      <c r="A103" s="3273">
        <v>31</v>
      </c>
      <c r="B103" s="3934"/>
      <c r="C103" s="3251" t="s">
        <v>2592</v>
      </c>
      <c r="D103" s="3251" t="s">
        <v>2593</v>
      </c>
      <c r="E103" s="3274">
        <v>0.1</v>
      </c>
      <c r="F103" s="3273">
        <v>15</v>
      </c>
    </row>
    <row r="104" spans="1:6" s="1024" customFormat="1" ht="36">
      <c r="A104" s="3273">
        <v>32</v>
      </c>
      <c r="B104" s="3934"/>
      <c r="C104" s="3251" t="s">
        <v>2594</v>
      </c>
      <c r="D104" s="3251" t="s">
        <v>2595</v>
      </c>
      <c r="E104" s="3274">
        <v>0.1</v>
      </c>
      <c r="F104" s="3273">
        <v>15</v>
      </c>
    </row>
    <row r="105" spans="1:6" s="1024" customFormat="1" ht="36">
      <c r="A105" s="3273">
        <v>33</v>
      </c>
      <c r="B105" s="3934"/>
      <c r="C105" s="3251" t="s">
        <v>2596</v>
      </c>
      <c r="D105" s="3251" t="s">
        <v>2597</v>
      </c>
      <c r="E105" s="3274">
        <v>0.1</v>
      </c>
      <c r="F105" s="3273">
        <v>15</v>
      </c>
    </row>
    <row r="106" spans="1:6" s="1024" customFormat="1" ht="24">
      <c r="A106" s="3273">
        <v>34</v>
      </c>
      <c r="B106" s="3940"/>
      <c r="C106" s="3251" t="s">
        <v>2598</v>
      </c>
      <c r="D106" s="3251" t="s">
        <v>2599</v>
      </c>
      <c r="E106" s="3274">
        <v>0.1</v>
      </c>
      <c r="F106" s="3273">
        <v>15</v>
      </c>
    </row>
    <row r="107" spans="1:6" s="1024" customFormat="1" ht="36">
      <c r="A107" s="3273">
        <v>35</v>
      </c>
      <c r="B107" s="3939" t="s">
        <v>2600</v>
      </c>
      <c r="C107" s="3273" t="s">
        <v>2601</v>
      </c>
      <c r="D107" s="3251" t="s">
        <v>2602</v>
      </c>
      <c r="E107" s="3274">
        <v>0.15</v>
      </c>
      <c r="F107" s="3273">
        <v>20</v>
      </c>
    </row>
    <row r="108" spans="1:6" s="1024" customFormat="1" ht="24">
      <c r="A108" s="3273">
        <v>36</v>
      </c>
      <c r="B108" s="3934"/>
      <c r="C108" s="3273" t="s">
        <v>2603</v>
      </c>
      <c r="D108" s="3251" t="s">
        <v>2604</v>
      </c>
      <c r="E108" s="3274">
        <v>0.15</v>
      </c>
      <c r="F108" s="3273">
        <v>20</v>
      </c>
    </row>
    <row r="109" spans="1:6" s="1024" customFormat="1" ht="24">
      <c r="A109" s="3273">
        <v>37</v>
      </c>
      <c r="B109" s="3934"/>
      <c r="C109" s="3273" t="s">
        <v>2605</v>
      </c>
      <c r="D109" s="3251" t="s">
        <v>2606</v>
      </c>
      <c r="E109" s="3274">
        <v>0.15</v>
      </c>
      <c r="F109" s="3273">
        <v>20</v>
      </c>
    </row>
    <row r="110" spans="1:6" s="1024" customFormat="1" ht="24">
      <c r="A110" s="3273">
        <v>38</v>
      </c>
      <c r="B110" s="3934"/>
      <c r="C110" s="3273" t="s">
        <v>2607</v>
      </c>
      <c r="D110" s="3251" t="s">
        <v>2608</v>
      </c>
      <c r="E110" s="3274">
        <v>0.1</v>
      </c>
      <c r="F110" s="3273">
        <v>15</v>
      </c>
    </row>
    <row r="111" spans="1:6" s="1024" customFormat="1" ht="24">
      <c r="A111" s="3273">
        <v>39</v>
      </c>
      <c r="B111" s="3934"/>
      <c r="C111" s="3273" t="s">
        <v>2609</v>
      </c>
      <c r="D111" s="3251" t="s">
        <v>2610</v>
      </c>
      <c r="E111" s="3274">
        <v>0.1</v>
      </c>
      <c r="F111" s="3273">
        <v>15</v>
      </c>
    </row>
    <row r="112" spans="1:6" s="1024" customFormat="1" ht="24">
      <c r="A112" s="3273">
        <v>40</v>
      </c>
      <c r="B112" s="3940"/>
      <c r="C112" s="3273" t="s">
        <v>2611</v>
      </c>
      <c r="D112" s="3251" t="s">
        <v>2612</v>
      </c>
      <c r="E112" s="3274">
        <v>0.1</v>
      </c>
      <c r="F112" s="3273">
        <v>15</v>
      </c>
    </row>
    <row r="113" spans="1:6" s="1024" customFormat="1" ht="24">
      <c r="A113" s="3273">
        <v>41</v>
      </c>
      <c r="B113" s="3941" t="s">
        <v>2613</v>
      </c>
      <c r="C113" s="3273" t="s">
        <v>2614</v>
      </c>
      <c r="D113" s="3251" t="s">
        <v>2615</v>
      </c>
      <c r="E113" s="3274">
        <v>0.1</v>
      </c>
      <c r="F113" s="3273">
        <v>15</v>
      </c>
    </row>
    <row r="114" spans="1:6" s="1024" customFormat="1" ht="24">
      <c r="A114" s="3273">
        <v>42</v>
      </c>
      <c r="B114" s="3941"/>
      <c r="C114" s="3273" t="s">
        <v>2616</v>
      </c>
      <c r="D114" s="3251" t="s">
        <v>2617</v>
      </c>
      <c r="E114" s="3274">
        <v>0.1</v>
      </c>
      <c r="F114" s="3273">
        <v>15</v>
      </c>
    </row>
    <row r="115" spans="1:6" s="1024" customFormat="1" ht="24">
      <c r="A115" s="3273">
        <v>43</v>
      </c>
      <c r="B115" s="3941"/>
      <c r="C115" s="3273" t="s">
        <v>2618</v>
      </c>
      <c r="D115" s="3251" t="s">
        <v>2619</v>
      </c>
      <c r="E115" s="3274">
        <v>0.1</v>
      </c>
      <c r="F115" s="3273">
        <v>15</v>
      </c>
    </row>
    <row r="116" spans="1:6" s="1024" customFormat="1" ht="24">
      <c r="A116" s="3273">
        <v>44</v>
      </c>
      <c r="B116" s="3939" t="s">
        <v>2620</v>
      </c>
      <c r="C116" s="3273" t="s">
        <v>2621</v>
      </c>
      <c r="D116" s="3251" t="s">
        <v>2622</v>
      </c>
      <c r="E116" s="3274">
        <v>0.1</v>
      </c>
      <c r="F116" s="3273">
        <v>15</v>
      </c>
    </row>
    <row r="117" spans="1:6" s="1024" customFormat="1" ht="24">
      <c r="A117" s="3273">
        <v>45</v>
      </c>
      <c r="B117" s="3940"/>
      <c r="C117" s="3251" t="s">
        <v>2623</v>
      </c>
      <c r="D117" s="3251" t="s">
        <v>2624</v>
      </c>
      <c r="E117" s="3274">
        <v>0.1</v>
      </c>
      <c r="F117" s="3273">
        <v>15</v>
      </c>
    </row>
    <row r="118" spans="1:6" s="1024" customFormat="1" ht="24">
      <c r="A118" s="3273">
        <v>46</v>
      </c>
      <c r="B118" s="3939" t="s">
        <v>2625</v>
      </c>
      <c r="C118" s="3273" t="s">
        <v>2626</v>
      </c>
      <c r="D118" s="3251" t="s">
        <v>2627</v>
      </c>
      <c r="E118" s="3274">
        <v>0.1</v>
      </c>
      <c r="F118" s="3273">
        <v>15</v>
      </c>
    </row>
    <row r="119" spans="1:6" s="1024" customFormat="1" ht="24">
      <c r="A119" s="3273">
        <v>47</v>
      </c>
      <c r="B119" s="3940"/>
      <c r="C119" s="3273" t="s">
        <v>2628</v>
      </c>
      <c r="D119" s="3251" t="s">
        <v>2629</v>
      </c>
      <c r="E119" s="3274">
        <v>0.1</v>
      </c>
      <c r="F119" s="3273">
        <v>15</v>
      </c>
    </row>
    <row r="120" spans="1:6" s="1024" customFormat="1" ht="24">
      <c r="A120" s="3273">
        <v>48</v>
      </c>
      <c r="B120" s="3939" t="s">
        <v>2630</v>
      </c>
      <c r="C120" s="3273" t="s">
        <v>2631</v>
      </c>
      <c r="D120" s="3251" t="s">
        <v>2632</v>
      </c>
      <c r="E120" s="3274">
        <v>0.1</v>
      </c>
      <c r="F120" s="3273">
        <v>15</v>
      </c>
    </row>
    <row r="121" spans="1:6" s="1024" customFormat="1" ht="24">
      <c r="A121" s="3273">
        <v>49</v>
      </c>
      <c r="B121" s="3940"/>
      <c r="C121" s="3273" t="s">
        <v>2633</v>
      </c>
      <c r="D121" s="3251" t="s">
        <v>2634</v>
      </c>
      <c r="E121" s="3274">
        <v>0.1</v>
      </c>
      <c r="F121" s="3273">
        <v>15</v>
      </c>
    </row>
    <row r="122" spans="1:6" s="1024" customFormat="1" ht="24">
      <c r="A122" s="3273">
        <v>50</v>
      </c>
      <c r="B122" s="3941" t="s">
        <v>2635</v>
      </c>
      <c r="C122" s="3273" t="s">
        <v>2636</v>
      </c>
      <c r="D122" s="3251" t="s">
        <v>2637</v>
      </c>
      <c r="E122" s="3274">
        <v>0.1</v>
      </c>
      <c r="F122" s="3273">
        <v>15</v>
      </c>
    </row>
    <row r="123" spans="1:6" s="1024" customFormat="1" ht="24">
      <c r="A123" s="3273">
        <v>51</v>
      </c>
      <c r="B123" s="3941"/>
      <c r="C123" s="3273" t="s">
        <v>2638</v>
      </c>
      <c r="D123" s="3251" t="s">
        <v>2639</v>
      </c>
      <c r="E123" s="3274">
        <v>0.1</v>
      </c>
      <c r="F123" s="3273">
        <v>15</v>
      </c>
    </row>
    <row r="124" spans="1:6" s="1024" customFormat="1" ht="24">
      <c r="A124" s="3273">
        <v>52</v>
      </c>
      <c r="B124" s="3941" t="s">
        <v>2640</v>
      </c>
      <c r="C124" s="3273" t="s">
        <v>2641</v>
      </c>
      <c r="D124" s="3251" t="s">
        <v>2642</v>
      </c>
      <c r="E124" s="3274">
        <v>0.1</v>
      </c>
      <c r="F124" s="3273">
        <v>15</v>
      </c>
    </row>
    <row r="125" spans="1:6" s="1024" customFormat="1" ht="24">
      <c r="A125" s="3273">
        <v>53</v>
      </c>
      <c r="B125" s="3941"/>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ht="24">
      <c r="A127" s="3273">
        <v>55</v>
      </c>
      <c r="B127" s="3941" t="s">
        <v>2648</v>
      </c>
      <c r="C127" s="3273" t="s">
        <v>2649</v>
      </c>
      <c r="D127" s="3251" t="s">
        <v>2650</v>
      </c>
      <c r="E127" s="3274">
        <v>0.1</v>
      </c>
      <c r="F127" s="3273">
        <v>15</v>
      </c>
    </row>
    <row r="128" spans="1:6" ht="24">
      <c r="A128" s="3273">
        <v>56</v>
      </c>
      <c r="B128" s="3941"/>
      <c r="C128" s="3273" t="s">
        <v>2651</v>
      </c>
      <c r="D128" s="3251" t="s">
        <v>2652</v>
      </c>
      <c r="E128" s="3274">
        <v>0.1</v>
      </c>
      <c r="F128" s="3273">
        <v>15</v>
      </c>
    </row>
    <row r="129" spans="1:14" ht="24">
      <c r="A129" s="3273">
        <v>57</v>
      </c>
      <c r="B129" s="3941"/>
      <c r="C129" s="3273" t="s">
        <v>2653</v>
      </c>
      <c r="D129" s="3251" t="s">
        <v>2654</v>
      </c>
      <c r="E129" s="3274">
        <v>0.1</v>
      </c>
      <c r="F129" s="3273">
        <v>15</v>
      </c>
    </row>
    <row r="130" spans="1:14" ht="24">
      <c r="A130" s="3273">
        <v>58</v>
      </c>
      <c r="B130" s="3941" t="s">
        <v>2655</v>
      </c>
      <c r="C130" s="3273" t="s">
        <v>2656</v>
      </c>
      <c r="D130" s="3251" t="s">
        <v>2657</v>
      </c>
      <c r="E130" s="3274">
        <v>0.1</v>
      </c>
      <c r="F130" s="3273">
        <v>15</v>
      </c>
    </row>
    <row r="131" spans="1:14" ht="24">
      <c r="A131" s="3273">
        <v>59</v>
      </c>
      <c r="B131" s="3941"/>
      <c r="C131" s="3273" t="s">
        <v>2658</v>
      </c>
      <c r="D131" s="3251" t="s">
        <v>2659</v>
      </c>
      <c r="E131" s="3274">
        <v>0.1</v>
      </c>
      <c r="F131" s="3273">
        <v>15</v>
      </c>
    </row>
    <row r="132" spans="1:14" ht="24">
      <c r="A132" s="3273">
        <v>60</v>
      </c>
      <c r="B132" s="3939" t="s">
        <v>2660</v>
      </c>
      <c r="C132" s="3273" t="s">
        <v>2661</v>
      </c>
      <c r="D132" s="3251" t="s">
        <v>2662</v>
      </c>
      <c r="E132" s="3274">
        <v>0.1</v>
      </c>
      <c r="F132" s="3273">
        <v>15</v>
      </c>
    </row>
    <row r="133" spans="1:14" ht="24">
      <c r="A133" s="3273">
        <v>61</v>
      </c>
      <c r="B133" s="3940"/>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41" t="s">
        <v>2668</v>
      </c>
      <c r="C135" s="3273" t="s">
        <v>2669</v>
      </c>
      <c r="D135" s="3251" t="s">
        <v>2670</v>
      </c>
      <c r="E135" s="3274">
        <v>0.1</v>
      </c>
      <c r="F135" s="3273">
        <v>15</v>
      </c>
    </row>
    <row r="136" spans="1:14" ht="24">
      <c r="A136" s="3273">
        <v>64</v>
      </c>
      <c r="B136" s="3941"/>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0"/>
    <col min="9" max="9" width="9" style="1007"/>
    <col min="10" max="10" width="17.33203125" style="3458" customWidth="1"/>
    <col min="11" max="21" width="17.33203125" style="3432" customWidth="1"/>
    <col min="22" max="16384" width="9" style="1007"/>
  </cols>
  <sheetData>
    <row r="1" spans="1:21">
      <c r="A1" s="3942" t="s">
        <v>2820</v>
      </c>
      <c r="B1" s="3942"/>
      <c r="C1" s="3942"/>
      <c r="D1" s="3942"/>
      <c r="E1" s="3942"/>
      <c r="F1" s="3942"/>
      <c r="G1" s="3943"/>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1" customFormat="1" ht="19.5" customHeight="1">
      <c r="A3" s="3944" t="s">
        <v>2823</v>
      </c>
      <c r="B3" s="3414"/>
      <c r="C3" s="3415" t="s">
        <v>2800</v>
      </c>
      <c r="D3" s="3415" t="s">
        <v>2824</v>
      </c>
      <c r="E3" s="3415" t="s">
        <v>2802</v>
      </c>
      <c r="F3" s="3415" t="s">
        <v>2825</v>
      </c>
      <c r="G3" s="3415" t="s">
        <v>2740</v>
      </c>
      <c r="H3" s="1014"/>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1" customFormat="1" ht="19.5" customHeight="1" thickBot="1">
      <c r="A4" s="3945"/>
      <c r="B4" s="3416" t="s">
        <v>2826</v>
      </c>
      <c r="C4" s="3416" t="s">
        <v>2827</v>
      </c>
      <c r="D4" s="3416" t="s">
        <v>2827</v>
      </c>
      <c r="E4" s="3416" t="s">
        <v>2827</v>
      </c>
      <c r="F4" s="3417" t="s">
        <v>2827</v>
      </c>
      <c r="G4" s="3417" t="s">
        <v>2827</v>
      </c>
      <c r="H4" s="1014"/>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1"/>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1"/>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1"/>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1"/>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1"/>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1"/>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1"/>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2"/>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3"/>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3"/>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3"/>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3"/>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3"/>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3"/>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3"/>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1"/>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3"/>
      <c r="O46" s="3422" t="s">
        <v>2881</v>
      </c>
      <c r="P46" s="3422"/>
      <c r="R46" s="3422" t="s">
        <v>2988</v>
      </c>
    </row>
    <row r="47" spans="1:18" ht="14.25" customHeight="1">
      <c r="A47" s="3422" t="s">
        <v>1145</v>
      </c>
      <c r="B47" s="2599" t="s">
        <v>1100</v>
      </c>
      <c r="C47" s="1286">
        <v>27150</v>
      </c>
      <c r="D47" s="1286">
        <v>23310</v>
      </c>
      <c r="E47" s="1286">
        <v>25150</v>
      </c>
      <c r="F47" s="3433"/>
      <c r="G47" s="3433">
        <v>16310</v>
      </c>
      <c r="I47" s="1023"/>
      <c r="O47" s="3422" t="s">
        <v>2882</v>
      </c>
      <c r="P47" s="3422"/>
      <c r="R47" s="3431" t="s">
        <v>2989</v>
      </c>
    </row>
    <row r="48" spans="1:18" ht="14.25" customHeight="1">
      <c r="A48" s="3422" t="s">
        <v>1145</v>
      </c>
      <c r="B48" s="3422" t="s">
        <v>1108</v>
      </c>
      <c r="C48" s="3422">
        <v>23100</v>
      </c>
      <c r="D48" s="3422">
        <v>21110</v>
      </c>
      <c r="E48" s="3422">
        <v>23080</v>
      </c>
      <c r="F48" s="3428"/>
      <c r="G48" s="3435">
        <v>14780</v>
      </c>
      <c r="I48" s="1021"/>
      <c r="O48" s="3422" t="s">
        <v>2883</v>
      </c>
      <c r="P48" s="3422"/>
      <c r="R48" s="3431" t="s">
        <v>2990</v>
      </c>
    </row>
    <row r="49" spans="1:18" ht="14.25" customHeight="1">
      <c r="A49" s="3422" t="s">
        <v>1145</v>
      </c>
      <c r="B49" s="1288" t="s">
        <v>1115</v>
      </c>
      <c r="C49" s="1288">
        <v>23400</v>
      </c>
      <c r="D49" s="1288">
        <v>22920</v>
      </c>
      <c r="E49" s="1288">
        <v>24900</v>
      </c>
      <c r="F49" s="3423"/>
      <c r="G49" s="3423">
        <v>16040</v>
      </c>
      <c r="I49" s="1023"/>
      <c r="O49" s="3422" t="s">
        <v>2884</v>
      </c>
      <c r="P49" s="3422"/>
      <c r="R49" s="3431" t="s">
        <v>2991</v>
      </c>
    </row>
    <row r="50" spans="1:18" ht="14.25" customHeight="1">
      <c r="A50" s="3422" t="s">
        <v>1145</v>
      </c>
      <c r="B50" s="3422" t="s">
        <v>2833</v>
      </c>
      <c r="C50" s="3422">
        <v>21200</v>
      </c>
      <c r="D50" s="3422">
        <v>26540</v>
      </c>
      <c r="E50" s="3422">
        <v>23200</v>
      </c>
      <c r="F50" s="3428"/>
      <c r="G50" s="3428">
        <v>18580</v>
      </c>
      <c r="I50" s="1023"/>
      <c r="O50" s="3431" t="s">
        <v>2885</v>
      </c>
      <c r="R50" s="3431" t="s">
        <v>2992</v>
      </c>
    </row>
    <row r="51" spans="1:18" ht="14.25" customHeight="1">
      <c r="A51" s="3422" t="s">
        <v>1145</v>
      </c>
      <c r="B51" s="3422" t="s">
        <v>2834</v>
      </c>
      <c r="C51" s="3422">
        <v>23000</v>
      </c>
      <c r="D51" s="3422">
        <v>23460</v>
      </c>
      <c r="E51" s="3422">
        <v>25290</v>
      </c>
      <c r="F51" s="3428"/>
      <c r="G51" s="3428">
        <v>16420</v>
      </c>
      <c r="I51" s="1023"/>
      <c r="O51" s="3431" t="s">
        <v>2886</v>
      </c>
      <c r="R51" s="3431" t="s">
        <v>2993</v>
      </c>
    </row>
    <row r="52" spans="1:18" ht="14.25" customHeight="1">
      <c r="A52" s="3422" t="s">
        <v>1145</v>
      </c>
      <c r="B52" s="3422" t="s">
        <v>2835</v>
      </c>
      <c r="C52" s="3422">
        <v>26660</v>
      </c>
      <c r="D52" s="3422">
        <v>22350</v>
      </c>
      <c r="E52" s="3422">
        <v>22920</v>
      </c>
      <c r="F52" s="3428"/>
      <c r="G52" s="3428">
        <v>15640</v>
      </c>
      <c r="I52" s="1023"/>
      <c r="O52" s="3431" t="s">
        <v>2887</v>
      </c>
    </row>
    <row r="53" spans="1:18" ht="14.25" customHeight="1">
      <c r="A53" s="3422" t="s">
        <v>1145</v>
      </c>
      <c r="B53" s="3422" t="s">
        <v>2836</v>
      </c>
      <c r="C53" s="3422">
        <v>23580</v>
      </c>
      <c r="D53" s="3422"/>
      <c r="E53" s="3422">
        <v>24280</v>
      </c>
      <c r="F53" s="3428"/>
      <c r="G53" s="3428"/>
      <c r="I53" s="1023"/>
      <c r="O53" s="3431" t="s">
        <v>2888</v>
      </c>
    </row>
    <row r="54" spans="1:18" ht="14.25" customHeight="1" thickBot="1">
      <c r="A54" s="3437" t="s">
        <v>1145</v>
      </c>
      <c r="B54" s="3425" t="s">
        <v>2837</v>
      </c>
      <c r="C54" s="3425">
        <v>22460</v>
      </c>
      <c r="D54" s="3425"/>
      <c r="E54" s="3425"/>
      <c r="F54" s="3426"/>
      <c r="G54" s="3438"/>
      <c r="I54" s="1023"/>
      <c r="O54" s="3431" t="s">
        <v>2889</v>
      </c>
    </row>
    <row r="55" spans="1:18" ht="14.25" customHeight="1">
      <c r="A55" s="3436" t="s">
        <v>853</v>
      </c>
      <c r="B55" s="1288" t="s">
        <v>2838</v>
      </c>
      <c r="C55" s="1288">
        <v>21970</v>
      </c>
      <c r="D55" s="1288">
        <v>20370</v>
      </c>
      <c r="E55" s="1288">
        <v>20180</v>
      </c>
      <c r="F55" s="3423">
        <v>5730</v>
      </c>
      <c r="G55" s="3423">
        <v>13820</v>
      </c>
      <c r="I55" s="1023"/>
      <c r="O55" s="3431" t="s">
        <v>2890</v>
      </c>
    </row>
    <row r="56" spans="1:18" ht="14.25" customHeight="1">
      <c r="A56" s="3422" t="s">
        <v>853</v>
      </c>
      <c r="B56" s="3422" t="s">
        <v>975</v>
      </c>
      <c r="C56" s="3422">
        <v>20470</v>
      </c>
      <c r="D56" s="3422">
        <v>20700</v>
      </c>
      <c r="E56" s="3422">
        <v>20380</v>
      </c>
      <c r="F56" s="3428">
        <v>4760</v>
      </c>
      <c r="G56" s="3428">
        <v>14050</v>
      </c>
      <c r="I56" s="1023"/>
      <c r="O56" s="3431" t="s">
        <v>2891</v>
      </c>
    </row>
    <row r="57" spans="1:18" ht="14.25" customHeight="1">
      <c r="A57" s="3422" t="s">
        <v>853</v>
      </c>
      <c r="B57" s="3422" t="s">
        <v>985</v>
      </c>
      <c r="C57" s="3422">
        <v>20790</v>
      </c>
      <c r="D57" s="3422">
        <v>21370</v>
      </c>
      <c r="E57" s="3422">
        <v>20890</v>
      </c>
      <c r="F57" s="3428">
        <v>4910</v>
      </c>
      <c r="G57" s="3428">
        <v>14510</v>
      </c>
      <c r="I57" s="1023"/>
      <c r="O57" s="3431" t="s">
        <v>2892</v>
      </c>
    </row>
    <row r="58" spans="1:18" ht="14.25" customHeight="1">
      <c r="A58" s="3422" t="s">
        <v>853</v>
      </c>
      <c r="B58" s="3422" t="s">
        <v>994</v>
      </c>
      <c r="C58" s="3422">
        <v>21460</v>
      </c>
      <c r="D58" s="3422">
        <v>20920</v>
      </c>
      <c r="E58" s="3422">
        <v>23410</v>
      </c>
      <c r="F58" s="3428">
        <v>5100</v>
      </c>
      <c r="G58" s="3428">
        <v>14200</v>
      </c>
      <c r="I58" s="1023"/>
      <c r="O58" s="3431" t="s">
        <v>2893</v>
      </c>
    </row>
    <row r="59" spans="1:18" ht="14.25" customHeight="1">
      <c r="A59" s="3422" t="s">
        <v>853</v>
      </c>
      <c r="B59" s="3422" t="s">
        <v>1004</v>
      </c>
      <c r="C59" s="3422">
        <v>21000</v>
      </c>
      <c r="D59" s="3422">
        <v>21550</v>
      </c>
      <c r="E59" s="3422">
        <v>21150</v>
      </c>
      <c r="F59" s="3428">
        <v>5250</v>
      </c>
      <c r="G59" s="3428">
        <v>14630</v>
      </c>
      <c r="I59" s="1023"/>
      <c r="O59" s="3431" t="s">
        <v>2894</v>
      </c>
    </row>
    <row r="60" spans="1:18" ht="14.25" customHeight="1">
      <c r="A60" s="3422" t="s">
        <v>853</v>
      </c>
      <c r="B60" s="3422" t="s">
        <v>1011</v>
      </c>
      <c r="C60" s="3422">
        <v>21640</v>
      </c>
      <c r="D60" s="3422">
        <v>21260</v>
      </c>
      <c r="E60" s="3422">
        <v>24040</v>
      </c>
      <c r="F60" s="3428">
        <v>4470</v>
      </c>
      <c r="G60" s="3428">
        <v>14430</v>
      </c>
      <c r="I60" s="1023"/>
      <c r="O60" s="3431" t="s">
        <v>2895</v>
      </c>
    </row>
    <row r="61" spans="1:18" ht="14.25" customHeight="1">
      <c r="A61" s="3422" t="s">
        <v>853</v>
      </c>
      <c r="B61" s="3422" t="s">
        <v>1017</v>
      </c>
      <c r="C61" s="3422">
        <v>21330</v>
      </c>
      <c r="D61" s="3422">
        <v>18640</v>
      </c>
      <c r="E61" s="3422">
        <v>21190</v>
      </c>
      <c r="F61" s="3428">
        <v>4180</v>
      </c>
      <c r="G61" s="3430">
        <v>12650</v>
      </c>
      <c r="I61" s="1023"/>
      <c r="O61" s="3431" t="s">
        <v>2896</v>
      </c>
    </row>
    <row r="62" spans="1:18" ht="14.25" customHeight="1">
      <c r="A62" s="3422" t="s">
        <v>853</v>
      </c>
      <c r="B62" s="3422" t="s">
        <v>1024</v>
      </c>
      <c r="C62" s="3422">
        <v>18710</v>
      </c>
      <c r="D62" s="3422">
        <v>19400</v>
      </c>
      <c r="E62" s="3422">
        <v>23750</v>
      </c>
      <c r="F62" s="3428">
        <v>4860</v>
      </c>
      <c r="G62" s="3430">
        <v>13170</v>
      </c>
      <c r="I62" s="1023"/>
      <c r="O62" s="3431" t="s">
        <v>2897</v>
      </c>
    </row>
    <row r="63" spans="1:18" ht="14.25" customHeight="1">
      <c r="A63" s="3422" t="s">
        <v>853</v>
      </c>
      <c r="B63" s="3422" t="s">
        <v>1034</v>
      </c>
      <c r="C63" s="3422">
        <v>19480</v>
      </c>
      <c r="D63" s="3422">
        <v>16830</v>
      </c>
      <c r="E63" s="3422">
        <v>21590</v>
      </c>
      <c r="F63" s="3428">
        <v>4560</v>
      </c>
      <c r="G63" s="3430">
        <v>11420</v>
      </c>
      <c r="I63" s="1023"/>
      <c r="O63" s="3431" t="s">
        <v>2898</v>
      </c>
    </row>
    <row r="64" spans="1:18" ht="14.25" customHeight="1">
      <c r="A64" s="3422" t="s">
        <v>853</v>
      </c>
      <c r="B64" s="3422" t="s">
        <v>1043</v>
      </c>
      <c r="C64" s="3422">
        <v>16920</v>
      </c>
      <c r="D64" s="3422">
        <v>19190</v>
      </c>
      <c r="E64" s="3422">
        <v>22200</v>
      </c>
      <c r="F64" s="3428">
        <v>4390</v>
      </c>
      <c r="G64" s="3430">
        <v>13030</v>
      </c>
      <c r="I64" s="1023"/>
      <c r="O64" s="3431" t="s">
        <v>2899</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2839</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2840</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2841</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2842</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2843</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2844</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2845</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2846</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2847</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2848</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2849</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2850</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2851</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2852</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2853</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2854</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2855</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2856</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2857</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2858</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2859</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2860</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2861</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2862</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2863</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2864</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2865</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2866</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2867</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2868</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2869</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2870</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2871</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2872</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2873</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2874</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2875</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2876</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2877</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2878</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2879</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2880</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2881</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2882</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2883</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2884</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2885</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2886</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2887</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2888</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2889</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2890</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2891</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2892</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2893</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2894</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2895</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2896</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2897</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2898</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2899</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2900</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2901</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2902</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2903</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2904</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2905</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2906</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2907</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2908</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2909</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2910</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2911</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2912</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2913</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2914</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2915</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2916</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2917</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2918</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2919</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2920</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2921</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2922</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2923</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2924</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2925</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2926</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2927</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2928</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2929</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2930</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2931</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2932</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2933</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2934</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2935</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2936</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2937</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2938</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2939</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2940</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2941</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2942</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2943</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2944</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2945</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2946</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2947</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2948</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2949</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2950</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2951</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2952</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2953</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2954</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2955</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2956</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2957</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2958</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2959</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2960</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2961</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2962</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2963</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2964</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2965</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2966</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2967</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2968</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2969</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2970</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2971</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2972</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2973</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2974</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2975</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2976</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2977</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2978</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2979</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2980</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2981</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2982</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2983</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2984</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2985</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2986</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2987</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2988</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2989</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2990</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2991</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2992</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2993</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599" t="s">
        <v>2994</v>
      </c>
      <c r="C327" s="2599">
        <v>3750</v>
      </c>
      <c r="D327" s="2599">
        <v>3710</v>
      </c>
      <c r="E327" s="2599">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2995</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2996</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2997</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2998</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2999</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3000</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3001</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3002</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6" t="s">
        <v>3195</v>
      </c>
      <c r="B1" s="3946"/>
      <c r="C1" s="3946"/>
      <c r="D1" s="3946"/>
      <c r="E1" s="3946"/>
      <c r="F1" s="3947"/>
    </row>
    <row r="2" spans="1:6">
      <c r="A2" s="3498" t="s">
        <v>3196</v>
      </c>
      <c r="B2" s="3499"/>
      <c r="C2" s="3499"/>
      <c r="D2" s="3499"/>
      <c r="E2" s="3499"/>
      <c r="F2" s="3499"/>
    </row>
    <row r="3" spans="1:6">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9"/>
    <col min="2" max="16384" width="9" style="970"/>
  </cols>
  <sheetData>
    <row r="1" spans="1:14" ht="15.6">
      <c r="A1" s="3338"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5.6">
      <c r="A93" s="3338"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5.6">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5.6">
      <c r="A185" s="3338"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5.6">
      <c r="A277" s="3338"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5.6">
      <c r="A369" s="3338"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0"/>
  </cols>
  <sheetData>
    <row r="1" spans="1:7">
      <c r="A1" s="3948" t="s">
        <v>3033</v>
      </c>
      <c r="B1" s="3948"/>
    </row>
    <row r="2" spans="1:7" ht="15" thickBot="1">
      <c r="A2" s="3463"/>
      <c r="B2" s="3463"/>
    </row>
    <row r="3" spans="1:7" ht="15" thickBot="1">
      <c r="A3" s="3463"/>
      <c r="B3" s="3463"/>
      <c r="C3" s="3464" t="s">
        <v>3034</v>
      </c>
      <c r="D3" s="3464" t="s">
        <v>3035</v>
      </c>
      <c r="E3" s="3464" t="s">
        <v>3036</v>
      </c>
      <c r="F3" s="3464" t="s">
        <v>3037</v>
      </c>
      <c r="G3" s="3464" t="s">
        <v>3038</v>
      </c>
    </row>
    <row r="4" spans="1:7" ht="1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受贵公司委托，我公司对北京市出让国有建设用地使用权抵押价格进行了预评估。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2.2">
      <c r="A7" s="1582" t="s">
        <v>2029</v>
      </c>
    </row>
    <row r="8" spans="1:4" ht="17.399999999999999">
      <c r="A8" s="1581" t="s">
        <v>1430</v>
      </c>
    </row>
    <row r="9" spans="1:4" ht="69.599999999999994">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4" t="s">
        <v>1544</v>
      </c>
    </row>
    <row r="11" spans="1:4" ht="17.399999999999999">
      <c r="A11" s="1567" t="str">
        <f>TEXT(项目基本情况!D3,"yyyy年m月d日;;")&amp;IF(项目基本情况!B3=项目基本情况!D3,"（评估专业人员勘察现场之日）","")</f>
        <v>2023年1月3日</v>
      </c>
    </row>
    <row r="12" spans="1:4" ht="17.399999999999999">
      <c r="A12" s="1584" t="s">
        <v>1543</v>
      </c>
    </row>
    <row r="13" spans="1:4" ht="17.399999999999999">
      <c r="A13" s="1578" t="s">
        <v>2204</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7.399999999999999">
      <c r="A21" s="1578" t="s">
        <v>1592</v>
      </c>
    </row>
    <row r="22" spans="1:1" ht="104.4">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23" spans="1:1" ht="17.399999999999999">
      <c r="A23" s="1578" t="str">
        <f>IF(项目基本情况!A17="出让","本次评估设定估价对象剩余土地使用年限为"&amp;项目基本情况!D20&amp;"。","")</f>
        <v>本次评估设定估价对象剩余土地使用年限为。</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52.2">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7"/>
    <col min="2" max="6" width="9" style="2637" customWidth="1"/>
    <col min="7" max="7" width="9" style="2665" customWidth="1"/>
    <col min="8" max="12" width="9" style="2637" customWidth="1"/>
    <col min="13" max="13" width="2.21875" style="2637" customWidth="1"/>
    <col min="14" max="14" width="9" style="2665" customWidth="1"/>
    <col min="15" max="17" width="9" style="2637" customWidth="1"/>
    <col min="18" max="18" width="2.33203125" style="2637" customWidth="1"/>
    <col min="19" max="19" width="7.109375" style="2665" customWidth="1"/>
    <col min="20" max="22" width="7.109375" style="2637" customWidth="1"/>
    <col min="23" max="23" width="24" style="2637" customWidth="1"/>
    <col min="24" max="25" width="9" style="2637"/>
    <col min="26" max="27" width="11.6640625" style="2637" customWidth="1"/>
    <col min="28" max="28" width="9" style="2637"/>
    <col min="29" max="29" width="2" style="2637" customWidth="1"/>
    <col min="30" max="16384" width="9" style="2637"/>
  </cols>
  <sheetData>
    <row r="1" spans="1:34" s="2615" customFormat="1">
      <c r="B1" s="3956" t="s">
        <v>1858</v>
      </c>
      <c r="C1" s="3956"/>
      <c r="D1" s="3956"/>
      <c r="E1" s="3956"/>
      <c r="F1" s="3956"/>
      <c r="G1" s="3955" t="s">
        <v>1859</v>
      </c>
      <c r="H1" s="3955"/>
      <c r="I1" s="3955"/>
      <c r="J1" s="3955"/>
      <c r="K1" s="3955"/>
      <c r="L1" s="3955"/>
      <c r="N1" s="3955" t="s">
        <v>1860</v>
      </c>
      <c r="O1" s="3955"/>
      <c r="P1" s="3955"/>
      <c r="Q1" s="3955"/>
      <c r="S1" s="3955" t="s">
        <v>1861</v>
      </c>
      <c r="T1" s="3955"/>
      <c r="U1" s="3955"/>
      <c r="V1" s="3955"/>
      <c r="X1" s="3954" t="s">
        <v>1921</v>
      </c>
      <c r="Y1" s="3955"/>
      <c r="Z1" s="3955"/>
      <c r="AA1" s="3955"/>
      <c r="AB1" s="3955"/>
      <c r="AD1" s="3954" t="s">
        <v>1925</v>
      </c>
      <c r="AE1" s="3955"/>
      <c r="AF1" s="3955"/>
      <c r="AG1" s="3955"/>
      <c r="AH1" s="3955"/>
    </row>
    <row r="2" spans="1:34" s="2616" customFormat="1" ht="1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4">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4">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8"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8"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0">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0"/>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0"/>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5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49">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0"/>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0"/>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5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49">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0"/>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0"/>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8"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3"/>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8" thickBot="1">
      <c r="A34" s="2639" t="s">
        <v>892</v>
      </c>
      <c r="B34" s="2661">
        <v>333</v>
      </c>
      <c r="C34" s="2661">
        <v>277</v>
      </c>
      <c r="D34" s="2661">
        <f t="shared" si="20"/>
        <v>277</v>
      </c>
      <c r="E34" s="2661">
        <v>459</v>
      </c>
      <c r="F34" s="2662">
        <v>249</v>
      </c>
      <c r="G34" s="3952">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0"/>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0"/>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3"/>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8" thickBot="1">
      <c r="A38" s="2639" t="s">
        <v>888</v>
      </c>
      <c r="B38" s="2668">
        <v>318</v>
      </c>
      <c r="C38" s="2668">
        <v>268</v>
      </c>
      <c r="D38" s="2668">
        <f t="shared" si="20"/>
        <v>268</v>
      </c>
      <c r="E38" s="2668">
        <v>437</v>
      </c>
      <c r="F38" s="2669">
        <v>237</v>
      </c>
      <c r="G38" s="3952">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0"/>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8"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0"/>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8"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3"/>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8" thickBot="1">
      <c r="A42" s="2639" t="s">
        <v>1865</v>
      </c>
      <c r="B42" s="2661">
        <v>299</v>
      </c>
      <c r="C42" s="2661">
        <v>252</v>
      </c>
      <c r="D42" s="2661">
        <f t="shared" si="20"/>
        <v>252</v>
      </c>
      <c r="E42" s="2661">
        <v>409</v>
      </c>
      <c r="F42" s="2662">
        <v>227</v>
      </c>
      <c r="G42" s="395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5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5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5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8" thickBot="1">
      <c r="A46" s="2639" t="s">
        <v>1869</v>
      </c>
      <c r="B46" s="2689">
        <v>278</v>
      </c>
      <c r="C46" s="2689">
        <v>234</v>
      </c>
      <c r="D46" s="2689">
        <f t="shared" si="20"/>
        <v>234</v>
      </c>
      <c r="E46" s="2689">
        <v>379</v>
      </c>
      <c r="F46" s="2690">
        <v>220</v>
      </c>
      <c r="G46" s="3952">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0"/>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0"/>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8" thickBot="1">
      <c r="A49" s="2639" t="s">
        <v>1872</v>
      </c>
      <c r="B49" s="2640">
        <f>B48/(1+N48)</f>
        <v>275.19025476197027</v>
      </c>
      <c r="C49" s="2691">
        <v>232</v>
      </c>
      <c r="D49" s="2691">
        <f t="shared" si="20"/>
        <v>232</v>
      </c>
      <c r="E49" s="2640">
        <f t="shared" si="29"/>
        <v>375.65990977608692</v>
      </c>
      <c r="F49" s="2640">
        <f t="shared" si="29"/>
        <v>214.12518283971252</v>
      </c>
      <c r="G49" s="3953"/>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8" thickBot="1">
      <c r="A50" s="2639" t="s">
        <v>1873</v>
      </c>
      <c r="B50" s="2661">
        <v>275</v>
      </c>
      <c r="C50" s="2661">
        <v>232</v>
      </c>
      <c r="D50" s="2661">
        <f t="shared" si="20"/>
        <v>232</v>
      </c>
      <c r="E50" s="2661">
        <v>376</v>
      </c>
      <c r="F50" s="2662">
        <v>213</v>
      </c>
      <c r="G50" s="3952">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0">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0">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8"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3">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8" thickBot="1">
      <c r="A54" s="2639" t="s">
        <v>1877</v>
      </c>
      <c r="B54" s="2661">
        <v>269</v>
      </c>
      <c r="C54" s="2661">
        <v>221</v>
      </c>
      <c r="D54" s="2661">
        <f t="shared" si="20"/>
        <v>221</v>
      </c>
      <c r="E54" s="2661">
        <v>373</v>
      </c>
      <c r="F54" s="2662">
        <v>196</v>
      </c>
      <c r="G54" s="3952">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0">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0">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8"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3">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8" thickBot="1">
      <c r="A58" s="2639" t="s">
        <v>1881</v>
      </c>
      <c r="B58" s="2661">
        <v>220</v>
      </c>
      <c r="C58" s="2661">
        <v>187</v>
      </c>
      <c r="D58" s="2661">
        <f t="shared" si="20"/>
        <v>187</v>
      </c>
      <c r="E58" s="2661">
        <v>301</v>
      </c>
      <c r="F58" s="2662">
        <v>168</v>
      </c>
      <c r="G58" s="3952">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0">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0">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3">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8" thickBot="1">
      <c r="A62" s="2639" t="s">
        <v>1885</v>
      </c>
      <c r="B62" s="2689">
        <v>214</v>
      </c>
      <c r="C62" s="2689">
        <v>188</v>
      </c>
      <c r="D62" s="2689">
        <f t="shared" si="20"/>
        <v>188</v>
      </c>
      <c r="E62" s="2689">
        <v>289</v>
      </c>
      <c r="F62" s="2690">
        <v>166</v>
      </c>
      <c r="G62" s="3952">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0">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0">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8"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3">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8" thickBot="1">
      <c r="A66" s="2639" t="s">
        <v>1889</v>
      </c>
      <c r="B66" s="2661">
        <v>188</v>
      </c>
      <c r="C66" s="2661">
        <v>165</v>
      </c>
      <c r="D66" s="2661">
        <f t="shared" si="20"/>
        <v>165</v>
      </c>
      <c r="E66" s="2661">
        <v>254</v>
      </c>
      <c r="F66" s="2662">
        <v>148</v>
      </c>
      <c r="G66" s="3952">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0">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0">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3">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8" thickBot="1">
      <c r="A70" s="2639" t="s">
        <v>1893</v>
      </c>
      <c r="B70" s="2668">
        <v>159</v>
      </c>
      <c r="C70" s="2668">
        <v>141</v>
      </c>
      <c r="D70" s="2668">
        <f t="shared" si="20"/>
        <v>141</v>
      </c>
      <c r="E70" s="2668">
        <v>195</v>
      </c>
      <c r="F70" s="2669">
        <v>122</v>
      </c>
      <c r="G70" s="3952">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0">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0">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3">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8" thickBot="1">
      <c r="A74" s="2639" t="s">
        <v>1897</v>
      </c>
      <c r="B74" s="2668">
        <v>138</v>
      </c>
      <c r="C74" s="2668">
        <v>131</v>
      </c>
      <c r="D74" s="2668">
        <f t="shared" si="20"/>
        <v>131</v>
      </c>
      <c r="E74" s="2668">
        <v>155</v>
      </c>
      <c r="F74" s="2669">
        <v>114</v>
      </c>
      <c r="G74" s="3952">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0">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0">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3">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8" thickBot="1">
      <c r="A78" s="2639" t="s">
        <v>1901</v>
      </c>
      <c r="B78" s="2689">
        <v>121</v>
      </c>
      <c r="C78" s="2689">
        <v>122</v>
      </c>
      <c r="D78" s="2689">
        <f t="shared" si="20"/>
        <v>122</v>
      </c>
      <c r="E78" s="2689">
        <v>124</v>
      </c>
      <c r="F78" s="2690">
        <v>107</v>
      </c>
      <c r="G78" s="3952">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0">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0">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8"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3">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8" thickBot="1">
      <c r="A82" s="2639" t="s">
        <v>1905</v>
      </c>
      <c r="B82" s="2709">
        <v>111</v>
      </c>
      <c r="C82" s="2709">
        <v>114</v>
      </c>
      <c r="D82" s="2709">
        <f t="shared" si="20"/>
        <v>114</v>
      </c>
      <c r="E82" s="2709">
        <v>108</v>
      </c>
      <c r="F82" s="2710">
        <v>104</v>
      </c>
      <c r="G82" s="3952">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0">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0">
        <v>2003</v>
      </c>
      <c r="H84" s="2654">
        <v>2</v>
      </c>
      <c r="I84" s="2711"/>
      <c r="J84" s="2711"/>
      <c r="K84" s="2711"/>
      <c r="L84" s="2711"/>
      <c r="X84" s="2703"/>
      <c r="Y84" s="2703"/>
      <c r="Z84" s="2703"/>
    </row>
    <row r="85" spans="1:26" ht="13.8" thickBot="1">
      <c r="A85" s="2639" t="s">
        <v>1908</v>
      </c>
      <c r="B85" s="2713">
        <f t="shared" si="54"/>
        <v>107.25</v>
      </c>
      <c r="C85" s="2713">
        <f t="shared" si="54"/>
        <v>108.75</v>
      </c>
      <c r="D85" s="2713">
        <f t="shared" si="20"/>
        <v>108.75</v>
      </c>
      <c r="E85" s="2713">
        <f t="shared" si="55"/>
        <v>105.75</v>
      </c>
      <c r="F85" s="2713">
        <f t="shared" si="55"/>
        <v>102.5</v>
      </c>
      <c r="G85" s="3953">
        <v>2003</v>
      </c>
      <c r="H85" s="2714">
        <v>1</v>
      </c>
      <c r="I85" s="2711"/>
      <c r="J85" s="2711"/>
      <c r="K85" s="2711"/>
      <c r="L85" s="2711"/>
      <c r="S85" s="2642"/>
      <c r="T85" s="2638"/>
      <c r="U85" s="2638"/>
      <c r="X85" s="2703"/>
      <c r="Y85" s="2703"/>
      <c r="Z85" s="2703"/>
    </row>
    <row r="86" spans="1:26" ht="13.8" thickBot="1">
      <c r="A86" s="2639" t="s">
        <v>1909</v>
      </c>
      <c r="B86" s="2715">
        <v>106</v>
      </c>
      <c r="C86" s="2715">
        <v>107</v>
      </c>
      <c r="D86" s="2715">
        <f t="shared" si="20"/>
        <v>107</v>
      </c>
      <c r="E86" s="2715">
        <v>105</v>
      </c>
      <c r="F86" s="2716">
        <v>102</v>
      </c>
      <c r="G86" s="3952">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0">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0">
        <v>2002</v>
      </c>
      <c r="H88" s="2654">
        <v>2</v>
      </c>
      <c r="I88" s="2711"/>
      <c r="J88" s="2711"/>
      <c r="K88" s="2711"/>
      <c r="L88" s="2711"/>
      <c r="X88" s="2703"/>
      <c r="Y88" s="2703"/>
      <c r="Z88" s="2703"/>
    </row>
    <row r="89" spans="1:26" s="2676" customFormat="1" ht="13.8" thickBot="1">
      <c r="A89" s="2672" t="s">
        <v>1912</v>
      </c>
      <c r="B89" s="2679">
        <f t="shared" si="56"/>
        <v>103</v>
      </c>
      <c r="C89" s="2679">
        <f t="shared" si="56"/>
        <v>104</v>
      </c>
      <c r="D89" s="2679">
        <f t="shared" si="20"/>
        <v>104</v>
      </c>
      <c r="E89" s="2679">
        <f t="shared" si="57"/>
        <v>103.5</v>
      </c>
      <c r="F89" s="2679">
        <f t="shared" si="57"/>
        <v>100.5</v>
      </c>
      <c r="G89" s="3953">
        <v>2002</v>
      </c>
      <c r="H89" s="2717">
        <v>1</v>
      </c>
      <c r="I89" s="2718"/>
      <c r="J89" s="2718"/>
      <c r="K89" s="2718"/>
      <c r="L89" s="2718"/>
      <c r="N89" s="2719"/>
      <c r="S89" s="2719"/>
      <c r="X89" s="2720"/>
      <c r="Y89" s="2720"/>
      <c r="Z89" s="2720"/>
    </row>
    <row r="90" spans="1:26" ht="13.8"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8"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8"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4.4"/>
  <cols>
    <col min="1" max="1" width="12.33203125" customWidth="1"/>
  </cols>
  <sheetData>
    <row r="1" spans="1:30">
      <c r="A1" s="3398">
        <f>基准地价!G23</f>
        <v>44929</v>
      </c>
      <c r="B1" s="3346" t="s">
        <v>2796</v>
      </c>
      <c r="C1" s="3347"/>
      <c r="D1" s="3347"/>
      <c r="E1" s="3347"/>
      <c r="F1" s="3347"/>
      <c r="G1" s="3347"/>
      <c r="H1" s="3347"/>
      <c r="I1" s="3347"/>
      <c r="J1" s="3348"/>
      <c r="K1" s="3347" t="s">
        <v>2797</v>
      </c>
      <c r="L1" s="3347"/>
      <c r="M1" s="3347"/>
      <c r="N1" s="3347"/>
      <c r="O1" s="3347"/>
      <c r="P1" s="3347"/>
      <c r="Q1" s="3348"/>
      <c r="R1" s="3960" t="s">
        <v>2806</v>
      </c>
      <c r="S1" s="3961"/>
      <c r="T1" s="3961"/>
      <c r="U1" s="3961"/>
      <c r="V1" s="3961"/>
      <c r="W1" s="3961"/>
      <c r="X1" s="3348"/>
      <c r="Y1" s="3960" t="s">
        <v>2817</v>
      </c>
      <c r="Z1" s="3961"/>
      <c r="AA1" s="3961"/>
      <c r="AB1" s="3961"/>
      <c r="AC1" s="3961"/>
      <c r="AD1" s="3961"/>
    </row>
    <row r="2" spans="1:30" ht="1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0" t="s">
        <v>2813</v>
      </c>
      <c r="S18" s="3961"/>
      <c r="T18" s="3961"/>
      <c r="U18" s="3961"/>
      <c r="V18" s="3961"/>
      <c r="W18" s="3961"/>
      <c r="X18" s="3348"/>
      <c r="Y18" s="3960" t="s">
        <v>1925</v>
      </c>
      <c r="Z18" s="3961"/>
      <c r="AA18" s="3961"/>
      <c r="AB18" s="3961"/>
      <c r="AC18" s="3961"/>
      <c r="AD18" s="3961"/>
    </row>
    <row r="19" spans="1:30" ht="1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2211</v>
      </c>
      <c r="B1" s="2986"/>
      <c r="C1" s="2986"/>
      <c r="D1" s="2986"/>
      <c r="E1" s="2986"/>
      <c r="F1" s="2986"/>
      <c r="G1" s="2987"/>
      <c r="H1" s="2987"/>
      <c r="I1" s="2987"/>
      <c r="J1" s="2987"/>
      <c r="K1" s="2987"/>
      <c r="L1" s="2987"/>
      <c r="M1" s="2987"/>
      <c r="N1" s="2987"/>
    </row>
    <row r="2" spans="1:14" ht="15.6">
      <c r="A2" s="2992" t="s">
        <v>2206</v>
      </c>
      <c r="B2" s="2997">
        <f ca="1">SUMIF(B7:B14,"&lt;&gt;#ref!",B7:B14)</f>
        <v>0</v>
      </c>
      <c r="C2" s="2992" t="s">
        <v>2207</v>
      </c>
      <c r="D2" s="2989"/>
      <c r="E2" s="2989"/>
      <c r="F2" s="2989"/>
      <c r="G2" s="2987"/>
      <c r="H2" s="2987"/>
      <c r="I2" s="2987"/>
      <c r="J2" s="2987"/>
      <c r="K2" s="2987"/>
      <c r="L2" s="2987"/>
      <c r="M2" s="2987"/>
      <c r="N2" s="2987"/>
    </row>
    <row r="3" spans="1:14" ht="15.6">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5.6">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2212</v>
      </c>
      <c r="B6" s="2992" t="s">
        <v>2209</v>
      </c>
      <c r="C6" s="2543"/>
      <c r="D6" s="2989"/>
      <c r="E6" s="2992" t="s">
        <v>2210</v>
      </c>
      <c r="F6" s="2992" t="s">
        <v>2213</v>
      </c>
      <c r="G6" s="2987"/>
      <c r="H6" s="2987"/>
      <c r="I6" s="2987"/>
      <c r="J6" s="2987"/>
      <c r="K6" s="2987"/>
      <c r="L6" s="2987"/>
      <c r="M6" s="2987"/>
      <c r="N6" s="2987"/>
    </row>
    <row r="7" spans="1:14" ht="15.6">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8" t="s">
        <v>576</v>
      </c>
      <c r="B1" s="706"/>
      <c r="C1" s="739"/>
      <c r="D1" s="1773"/>
      <c r="E1" s="2078" t="s">
        <v>1728</v>
      </c>
      <c r="F1" s="2079">
        <f ca="1">J54</f>
        <v>-2</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3" t="s">
        <v>1807</v>
      </c>
      <c r="C8" s="1611">
        <f ca="1">ROUND(F8*F10*F9*(1-F11)/10000,0)</f>
        <v>0</v>
      </c>
      <c r="D8" s="1608" t="s">
        <v>1817</v>
      </c>
      <c r="E8" s="59" t="s">
        <v>585</v>
      </c>
      <c r="F8" s="751">
        <f ca="1">INDIRECT("'数据-取费表'!u"&amp;$G$1)</f>
        <v>0</v>
      </c>
      <c r="G8" s="1404"/>
      <c r="H8" s="2150" t="s">
        <v>1353</v>
      </c>
      <c r="I8" s="3963" t="s">
        <v>1807</v>
      </c>
      <c r="J8" s="749">
        <f ca="1">ROUND(M8*M10*M9*(1-M11)/10000,0)</f>
        <v>0</v>
      </c>
      <c r="K8" s="332" t="s">
        <v>1817</v>
      </c>
      <c r="L8" s="750" t="s">
        <v>1267</v>
      </c>
      <c r="M8" s="751">
        <f ca="1">INDIRECT("'数据-取费表'!z"&amp;$G$1)</f>
        <v>0</v>
      </c>
    </row>
    <row r="9" spans="1:25" ht="18" customHeight="1">
      <c r="A9" s="2146"/>
      <c r="B9" s="3964"/>
      <c r="C9" s="1612"/>
      <c r="D9" s="1609"/>
      <c r="E9" s="59" t="s">
        <v>586</v>
      </c>
      <c r="F9" s="751">
        <f ca="1">IF(INDIRECT("'数据-取费表'!ah"&amp;$G$1)="",INDIRECT("'数据-取费表'!k"&amp;$G$1),INDIRECT("'数据-取费表'!ah"&amp;$G$1))</f>
        <v>0</v>
      </c>
      <c r="G9" s="1404"/>
      <c r="H9" s="2135"/>
      <c r="I9" s="3964"/>
      <c r="J9" s="754"/>
      <c r="K9" s="755"/>
      <c r="L9" s="750" t="s">
        <v>1268</v>
      </c>
      <c r="M9" s="751">
        <f ca="1">F9</f>
        <v>0</v>
      </c>
    </row>
    <row r="10" spans="1:25" ht="18" customHeight="1">
      <c r="A10" s="2139"/>
      <c r="B10" s="3965"/>
      <c r="C10" s="1612"/>
      <c r="D10" s="1609"/>
      <c r="E10" s="59" t="s">
        <v>587</v>
      </c>
      <c r="F10" s="751">
        <f ca="1">INDIRECT("'数据-取费表'!ai"&amp;$G$1)</f>
        <v>0</v>
      </c>
      <c r="G10" s="1404"/>
      <c r="H10" s="2135"/>
      <c r="I10" s="3965"/>
      <c r="J10" s="754"/>
      <c r="K10" s="755"/>
      <c r="L10" s="750" t="s">
        <v>1269</v>
      </c>
      <c r="M10" s="751">
        <f ca="1">INDIRECT("'数据-取费表'!ai"&amp;$G$1)</f>
        <v>0</v>
      </c>
    </row>
    <row r="11" spans="1:25" ht="18" customHeight="1">
      <c r="A11" s="752"/>
      <c r="B11" s="3966"/>
      <c r="C11" s="1612"/>
      <c r="D11" s="1609"/>
      <c r="E11" s="59" t="s">
        <v>588</v>
      </c>
      <c r="F11" s="760">
        <f ca="1">INDIRECT("'数据-取费表'!w"&amp;$G$1)</f>
        <v>0</v>
      </c>
      <c r="G11" s="1404"/>
      <c r="H11" s="2151"/>
      <c r="I11" s="3965"/>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8.0000000000000004E-4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62"/>
      <c r="J36" s="1802"/>
      <c r="K36" s="1803"/>
      <c r="L36" s="1802"/>
      <c r="M36" s="1802"/>
    </row>
    <row r="37" spans="1:18" ht="18" customHeight="1">
      <c r="A37" s="780"/>
      <c r="B37" s="759"/>
      <c r="C37" s="67"/>
      <c r="D37" s="781"/>
      <c r="E37" s="750" t="s">
        <v>621</v>
      </c>
      <c r="F37" s="751">
        <f ca="1">INDIRECT("'数据-取费表'!r"&amp;$G$1)</f>
        <v>0</v>
      </c>
      <c r="G37" s="1785"/>
      <c r="H37" s="1788"/>
      <c r="I37" s="3962"/>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7">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31.8" thickBot="1">
      <c r="A54" s="1818"/>
      <c r="I54" s="2558" t="s">
        <v>2236</v>
      </c>
      <c r="J54" s="2609">
        <f ca="1">IF(M48="住宅",MAX(J52,L49-'数据-取费表'!B20),MIN(J52,L49-'数据-取费表'!B20))</f>
        <v>-2</v>
      </c>
      <c r="K54" s="3967"/>
      <c r="L54" s="3968"/>
      <c r="O54" s="2092" t="s">
        <v>1742</v>
      </c>
      <c r="P54" s="2090" t="s">
        <v>1743</v>
      </c>
      <c r="Q54" s="2091">
        <f ca="1">J54</f>
        <v>-2</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2"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7.4"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31.8"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6.2"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2" thickBot="1">
      <c r="A65" s="1818"/>
      <c r="B65" s="1819"/>
      <c r="C65" s="1819"/>
      <c r="I65" s="2577" t="s">
        <v>1725</v>
      </c>
      <c r="J65" s="2578">
        <v>50</v>
      </c>
      <c r="K65" s="2578">
        <v>35</v>
      </c>
      <c r="L65" s="2578">
        <v>60</v>
      </c>
      <c r="M65" s="811">
        <v>0</v>
      </c>
      <c r="O65" s="2095" t="s">
        <v>1769</v>
      </c>
      <c r="P65" s="1404"/>
      <c r="Q65" s="1412"/>
      <c r="R65" s="1404"/>
    </row>
    <row r="66" spans="1:18" s="1782" customFormat="1" ht="16.2"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K12" sqref="K12"/>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30" t="s">
        <v>666</v>
      </c>
      <c r="C1" s="2231" t="s">
        <v>667</v>
      </c>
      <c r="D1" s="2232" t="s">
        <v>851</v>
      </c>
      <c r="E1" s="1849"/>
      <c r="F1" s="2286" t="s">
        <v>3430</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443316</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40500</v>
      </c>
      <c r="C3" s="817" t="s">
        <v>669</v>
      </c>
      <c r="D3" s="816">
        <f>SUMIF('数据-汇总表'!$C19:$C33,D1,'数据-汇总表'!$E19:$E33)</f>
        <v>109460.71999999999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2" t="s">
        <v>470</v>
      </c>
      <c r="B4" s="483"/>
      <c r="C4" s="3867" t="s">
        <v>471</v>
      </c>
      <c r="D4" s="3868"/>
      <c r="E4" s="3906" t="s">
        <v>472</v>
      </c>
      <c r="F4" s="3907"/>
      <c r="G4" s="3867" t="s">
        <v>473</v>
      </c>
      <c r="H4" s="3868"/>
      <c r="I4" s="3867" t="s">
        <v>474</v>
      </c>
      <c r="J4" s="3868"/>
      <c r="K4" s="818" t="s">
        <v>475</v>
      </c>
      <c r="L4" s="1855"/>
      <c r="M4" s="1856"/>
      <c r="N4" s="1856"/>
      <c r="O4" s="1856"/>
      <c r="P4" s="3869" t="s">
        <v>476</v>
      </c>
      <c r="Q4" s="3870"/>
      <c r="R4" s="3875" t="s">
        <v>472</v>
      </c>
      <c r="S4" s="3876"/>
      <c r="T4" s="3875" t="s">
        <v>473</v>
      </c>
      <c r="U4" s="3876"/>
      <c r="V4" s="3862" t="s">
        <v>474</v>
      </c>
      <c r="W4" s="3862"/>
      <c r="X4" s="1379"/>
      <c r="Y4" s="3875" t="s">
        <v>476</v>
      </c>
      <c r="Z4" s="3876"/>
      <c r="AA4" s="3864" t="s">
        <v>472</v>
      </c>
      <c r="AB4" s="3864" t="s">
        <v>473</v>
      </c>
      <c r="AC4" s="3864" t="s">
        <v>474</v>
      </c>
    </row>
    <row r="5" spans="1:29">
      <c r="A5" s="485"/>
      <c r="B5" s="486"/>
      <c r="C5" s="3883" t="s">
        <v>2192</v>
      </c>
      <c r="D5" s="3884"/>
      <c r="E5" s="3973" t="s">
        <v>3361</v>
      </c>
      <c r="F5" s="3909"/>
      <c r="G5" s="3972" t="s">
        <v>3370</v>
      </c>
      <c r="H5" s="3884"/>
      <c r="I5" s="3972" t="s">
        <v>3378</v>
      </c>
      <c r="J5" s="3884"/>
      <c r="K5" s="819"/>
      <c r="L5" s="1855"/>
      <c r="M5" s="1856"/>
      <c r="N5" s="1856"/>
      <c r="O5" s="1856"/>
      <c r="P5" s="3871"/>
      <c r="Q5" s="3872"/>
      <c r="R5" s="3877"/>
      <c r="S5" s="3878"/>
      <c r="T5" s="3877"/>
      <c r="U5" s="3878"/>
      <c r="V5" s="3862"/>
      <c r="W5" s="3862"/>
      <c r="X5" s="1379"/>
      <c r="Y5" s="3877"/>
      <c r="Z5" s="3878"/>
      <c r="AA5" s="3865"/>
      <c r="AB5" s="3865"/>
      <c r="AC5" s="3865"/>
    </row>
    <row r="6" spans="1:29" ht="15" thickBot="1">
      <c r="A6" s="487"/>
      <c r="B6" s="488"/>
      <c r="C6" s="3881" t="s">
        <v>2196</v>
      </c>
      <c r="D6" s="3882"/>
      <c r="E6" s="3904" t="s">
        <v>2196</v>
      </c>
      <c r="F6" s="3905"/>
      <c r="G6" s="3881" t="s">
        <v>2196</v>
      </c>
      <c r="H6" s="3882"/>
      <c r="I6" s="3881" t="s">
        <v>2196</v>
      </c>
      <c r="J6" s="3882"/>
      <c r="K6" s="819" t="s">
        <v>477</v>
      </c>
      <c r="L6" s="1855"/>
      <c r="M6" s="1856"/>
      <c r="N6" s="1856"/>
      <c r="O6" s="1856"/>
      <c r="P6" s="3873"/>
      <c r="Q6" s="3874"/>
      <c r="R6" s="3877"/>
      <c r="S6" s="3878"/>
      <c r="T6" s="3879"/>
      <c r="U6" s="3880"/>
      <c r="V6" s="3862"/>
      <c r="W6" s="3862"/>
      <c r="X6" s="1379"/>
      <c r="Y6" s="3879"/>
      <c r="Z6" s="3880"/>
      <c r="AA6" s="3866"/>
      <c r="AB6" s="3866"/>
      <c r="AC6" s="3866"/>
    </row>
    <row r="7" spans="1:29" s="1117" customFormat="1" ht="15" thickBot="1">
      <c r="A7" s="2391"/>
      <c r="B7" s="2398" t="s">
        <v>478</v>
      </c>
      <c r="C7" s="489">
        <f>'数据-取费表'!B2</f>
        <v>44929</v>
      </c>
      <c r="D7" s="490">
        <v>100</v>
      </c>
      <c r="E7" s="491">
        <f>C7</f>
        <v>44929</v>
      </c>
      <c r="F7" s="492">
        <f>SUMIF(58:58,YEAR(E7)&amp;"-"&amp;MONTH(E7),59:59)</f>
        <v>100</v>
      </c>
      <c r="G7" s="493">
        <f>C7</f>
        <v>44929</v>
      </c>
      <c r="H7" s="490">
        <f>SUMIF(58:58,YEAR(G7)&amp;"-"&amp;MONTH(G7),59:59)</f>
        <v>100</v>
      </c>
      <c r="I7" s="493">
        <f>C7</f>
        <v>44929</v>
      </c>
      <c r="J7" s="490">
        <f>SUMIF(58:58,YEAR(I7)&amp;"-"&amp;MONTH(I7),59:59)</f>
        <v>100</v>
      </c>
      <c r="K7" s="820"/>
      <c r="L7" s="1857"/>
      <c r="M7" s="1858"/>
      <c r="N7" s="1858"/>
      <c r="O7" s="1858"/>
      <c r="P7" s="3891" t="s">
        <v>479</v>
      </c>
      <c r="Q7" s="3893"/>
      <c r="R7" s="1380" t="s">
        <v>10</v>
      </c>
      <c r="S7" s="1381">
        <f t="shared" ref="S7:S15" si="0">F7</f>
        <v>100</v>
      </c>
      <c r="T7" s="1380" t="s">
        <v>10</v>
      </c>
      <c r="U7" s="1381">
        <f t="shared" ref="U7:U15" si="1">H7</f>
        <v>100</v>
      </c>
      <c r="V7" s="1380" t="s">
        <v>10</v>
      </c>
      <c r="W7" s="1381">
        <f t="shared" ref="W7:W15" si="2">J7</f>
        <v>100</v>
      </c>
      <c r="X7" s="1382"/>
      <c r="Y7" s="3891" t="s">
        <v>479</v>
      </c>
      <c r="Z7" s="3892"/>
      <c r="AA7" s="1383">
        <f>D7/F7</f>
        <v>1</v>
      </c>
      <c r="AB7" s="1383">
        <f>D7/H7</f>
        <v>1</v>
      </c>
      <c r="AC7" s="1383">
        <f>D7/J7</f>
        <v>1</v>
      </c>
    </row>
    <row r="8" spans="1:29" s="1117" customFormat="1" ht="15" thickBot="1">
      <c r="A8" s="2392"/>
      <c r="B8" s="2399" t="s">
        <v>480</v>
      </c>
      <c r="C8" s="495" t="s">
        <v>524</v>
      </c>
      <c r="D8" s="490">
        <v>100</v>
      </c>
      <c r="E8" s="821" t="s">
        <v>3393</v>
      </c>
      <c r="F8" s="492">
        <f>SUMIF(61:61,E8,62:62)-SUMIF(61:61,C8,62:62)+100</f>
        <v>100</v>
      </c>
      <c r="G8" s="821" t="s">
        <v>3393</v>
      </c>
      <c r="H8" s="490">
        <f>SUMIF(61:61,G8,62:62)-SUMIF(61:61,C8,62:62)+100</f>
        <v>100</v>
      </c>
      <c r="I8" s="821" t="s">
        <v>3393</v>
      </c>
      <c r="J8" s="490">
        <f>SUMIF(61:61,I8,62:62)-SUMIF(61:61,C8,62:62)+100</f>
        <v>100</v>
      </c>
      <c r="K8" s="820"/>
      <c r="L8" s="1857"/>
      <c r="M8" s="1858"/>
      <c r="N8" s="1858"/>
      <c r="O8" s="1858"/>
      <c r="P8" s="3891" t="s">
        <v>482</v>
      </c>
      <c r="Q8" s="3892"/>
      <c r="R8" s="1380" t="s">
        <v>10</v>
      </c>
      <c r="S8" s="1381">
        <f t="shared" si="0"/>
        <v>100</v>
      </c>
      <c r="T8" s="1380" t="s">
        <v>10</v>
      </c>
      <c r="U8" s="1381">
        <f t="shared" si="1"/>
        <v>100</v>
      </c>
      <c r="V8" s="1380" t="s">
        <v>10</v>
      </c>
      <c r="W8" s="1381">
        <f t="shared" si="2"/>
        <v>100</v>
      </c>
      <c r="X8" s="1382"/>
      <c r="Y8" s="3891" t="s">
        <v>482</v>
      </c>
      <c r="Z8" s="3892"/>
      <c r="AA8" s="1383">
        <f t="shared" ref="AA8:AA46" si="3">D8/F8</f>
        <v>1</v>
      </c>
      <c r="AB8" s="1383">
        <f t="shared" ref="AB8:AB46" si="4">D8/H8</f>
        <v>1</v>
      </c>
      <c r="AC8" s="1383">
        <f t="shared" ref="AC8:AC46" si="5">D8/J8</f>
        <v>1</v>
      </c>
    </row>
    <row r="9" spans="1:29" s="1117" customFormat="1" ht="14.4">
      <c r="A9" s="2393"/>
      <c r="B9" s="2400" t="s">
        <v>2038</v>
      </c>
      <c r="C9" s="3687" t="s">
        <v>3420</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61" t="s">
        <v>484</v>
      </c>
      <c r="Q9" s="1049" t="str">
        <f t="shared" ref="Q9:Q15" si="6">B9</f>
        <v>用途</v>
      </c>
      <c r="R9" s="1380" t="s">
        <v>5</v>
      </c>
      <c r="S9" s="1381">
        <f t="shared" si="0"/>
        <v>100</v>
      </c>
      <c r="T9" s="1380" t="s">
        <v>5</v>
      </c>
      <c r="U9" s="1381">
        <f t="shared" si="1"/>
        <v>100</v>
      </c>
      <c r="V9" s="1380" t="s">
        <v>5</v>
      </c>
      <c r="W9" s="1381">
        <f t="shared" si="2"/>
        <v>100</v>
      </c>
      <c r="X9" s="1382"/>
      <c r="Y9" s="3809"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61"/>
      <c r="Q10" s="1049" t="str">
        <f t="shared" si="6"/>
        <v>土地使用年限（年）</v>
      </c>
      <c r="R10" s="1380" t="s">
        <v>5</v>
      </c>
      <c r="S10" s="1381">
        <f t="shared" si="0"/>
        <v>100</v>
      </c>
      <c r="T10" s="1380" t="s">
        <v>5</v>
      </c>
      <c r="U10" s="1381">
        <f t="shared" si="1"/>
        <v>100</v>
      </c>
      <c r="V10" s="1380" t="s">
        <v>5</v>
      </c>
      <c r="W10" s="1381">
        <f t="shared" si="2"/>
        <v>100</v>
      </c>
      <c r="X10" s="1382"/>
      <c r="Y10" s="3809"/>
      <c r="Z10" s="1048" t="str">
        <f t="shared" si="7"/>
        <v>土地使用年限（年）</v>
      </c>
      <c r="AA10" s="1383">
        <f t="shared" si="3"/>
        <v>1</v>
      </c>
      <c r="AB10" s="1383">
        <f t="shared" si="4"/>
        <v>1</v>
      </c>
      <c r="AC10" s="1383">
        <f t="shared" si="5"/>
        <v>1</v>
      </c>
    </row>
    <row r="11" spans="1:29" ht="15">
      <c r="A11" s="2395"/>
      <c r="B11" s="2399" t="s">
        <v>2040</v>
      </c>
      <c r="C11" s="503">
        <v>1.6</v>
      </c>
      <c r="D11" s="246">
        <v>100</v>
      </c>
      <c r="E11" s="504">
        <v>2</v>
      </c>
      <c r="F11" s="826">
        <f>LOOKUP(E11,68:68,69:69)-LOOKUP(C11,68:68,69:69)+100</f>
        <v>98</v>
      </c>
      <c r="G11" s="503">
        <v>1.6</v>
      </c>
      <c r="H11" s="246">
        <f>LOOKUP(G11,68:68,69:69)-LOOKUP(C11,68:68,69:69)+100</f>
        <v>100</v>
      </c>
      <c r="I11" s="503">
        <v>1.6</v>
      </c>
      <c r="J11" s="246">
        <f>LOOKUP(I11,68:68,69:69)-LOOKUP(C11,68:68,69:69)+100</f>
        <v>100</v>
      </c>
      <c r="K11" s="827">
        <v>2</v>
      </c>
      <c r="L11" s="1862"/>
      <c r="M11" s="1856"/>
      <c r="N11" s="1856"/>
      <c r="O11" s="1863"/>
      <c r="P11" s="3861"/>
      <c r="Q11" s="1049" t="str">
        <f t="shared" si="6"/>
        <v>容积率</v>
      </c>
      <c r="R11" s="1380" t="s">
        <v>8</v>
      </c>
      <c r="S11" s="1381">
        <f t="shared" si="0"/>
        <v>98</v>
      </c>
      <c r="T11" s="1380" t="s">
        <v>8</v>
      </c>
      <c r="U11" s="1381">
        <f t="shared" si="1"/>
        <v>100</v>
      </c>
      <c r="V11" s="1380" t="s">
        <v>8</v>
      </c>
      <c r="W11" s="1381">
        <f t="shared" si="2"/>
        <v>100</v>
      </c>
      <c r="X11" s="1382"/>
      <c r="Y11" s="3809"/>
      <c r="Z11" s="1048" t="str">
        <f t="shared" si="7"/>
        <v>容积率</v>
      </c>
      <c r="AA11" s="1383">
        <f t="shared" si="3"/>
        <v>1.0204081632653061</v>
      </c>
      <c r="AB11" s="1383">
        <f t="shared" si="4"/>
        <v>1</v>
      </c>
      <c r="AC11" s="1383">
        <f t="shared" si="5"/>
        <v>1</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1"/>
      <c r="Q12" s="1049">
        <f t="shared" si="6"/>
        <v>111</v>
      </c>
      <c r="R12" s="1380" t="s">
        <v>8</v>
      </c>
      <c r="S12" s="1381">
        <f t="shared" si="0"/>
        <v>100</v>
      </c>
      <c r="T12" s="1380" t="s">
        <v>8</v>
      </c>
      <c r="U12" s="1381">
        <f t="shared" si="1"/>
        <v>100</v>
      </c>
      <c r="V12" s="1380" t="s">
        <v>8</v>
      </c>
      <c r="W12" s="1381">
        <f t="shared" si="2"/>
        <v>100</v>
      </c>
      <c r="X12" s="1382"/>
      <c r="Y12" s="3809"/>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1"/>
      <c r="Q13" s="1049">
        <f t="shared" si="6"/>
        <v>111</v>
      </c>
      <c r="R13" s="1380" t="s">
        <v>8</v>
      </c>
      <c r="S13" s="1381">
        <f t="shared" si="0"/>
        <v>100</v>
      </c>
      <c r="T13" s="1380" t="s">
        <v>8</v>
      </c>
      <c r="U13" s="1381">
        <f t="shared" si="1"/>
        <v>100</v>
      </c>
      <c r="V13" s="1380" t="s">
        <v>8</v>
      </c>
      <c r="W13" s="1381">
        <f t="shared" si="2"/>
        <v>100</v>
      </c>
      <c r="X13" s="1382"/>
      <c r="Y13" s="3809"/>
      <c r="Z13" s="1048">
        <f t="shared" si="7"/>
        <v>111</v>
      </c>
      <c r="AA13" s="1383">
        <f t="shared" si="3"/>
        <v>1</v>
      </c>
      <c r="AB13" s="1383">
        <f t="shared" si="4"/>
        <v>1</v>
      </c>
      <c r="AC13" s="1383">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1"/>
      <c r="Q14" s="1049">
        <f t="shared" si="6"/>
        <v>111</v>
      </c>
      <c r="R14" s="1380" t="s">
        <v>8</v>
      </c>
      <c r="S14" s="1381">
        <f t="shared" si="0"/>
        <v>100</v>
      </c>
      <c r="T14" s="1380" t="s">
        <v>8</v>
      </c>
      <c r="U14" s="1381">
        <f t="shared" si="1"/>
        <v>100</v>
      </c>
      <c r="V14" s="1380" t="s">
        <v>8</v>
      </c>
      <c r="W14" s="1381">
        <f t="shared" si="2"/>
        <v>100</v>
      </c>
      <c r="X14" s="1382"/>
      <c r="Y14" s="3809"/>
      <c r="Z14" s="1048">
        <f t="shared" si="7"/>
        <v>111</v>
      </c>
      <c r="AA14" s="1383">
        <f t="shared" si="3"/>
        <v>1</v>
      </c>
      <c r="AB14" s="1383">
        <f t="shared" si="4"/>
        <v>1</v>
      </c>
      <c r="AC14" s="1383">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97</v>
      </c>
      <c r="K15" s="831">
        <v>3</v>
      </c>
      <c r="L15" s="1864"/>
      <c r="M15" s="1856"/>
      <c r="N15" s="1856"/>
      <c r="O15" s="1863"/>
      <c r="P15" s="3894" t="s">
        <v>489</v>
      </c>
      <c r="Q15" s="1384" t="str">
        <f t="shared" si="6"/>
        <v>居住社区成熟度</v>
      </c>
      <c r="R15" s="1385" t="s">
        <v>8</v>
      </c>
      <c r="S15" s="1386">
        <f t="shared" si="0"/>
        <v>100</v>
      </c>
      <c r="T15" s="1385" t="s">
        <v>8</v>
      </c>
      <c r="U15" s="1386">
        <f t="shared" si="1"/>
        <v>100</v>
      </c>
      <c r="V15" s="1385" t="s">
        <v>8</v>
      </c>
      <c r="W15" s="1386">
        <f t="shared" si="2"/>
        <v>97</v>
      </c>
      <c r="X15" s="1379"/>
      <c r="Y15" s="3894" t="s">
        <v>489</v>
      </c>
      <c r="Z15" s="1387" t="str">
        <f t="shared" si="7"/>
        <v>居住社区成熟度</v>
      </c>
      <c r="AA15" s="1388">
        <f t="shared" si="3"/>
        <v>1</v>
      </c>
      <c r="AB15" s="1388">
        <f t="shared" si="4"/>
        <v>1</v>
      </c>
      <c r="AC15" s="1388">
        <f t="shared" si="5"/>
        <v>1.0309278350515463</v>
      </c>
    </row>
    <row r="16" spans="1:29" ht="15">
      <c r="A16" s="502"/>
      <c r="B16" s="832"/>
      <c r="C16" s="546" t="s">
        <v>3404</v>
      </c>
      <c r="D16" s="525"/>
      <c r="E16" s="546" t="s">
        <v>3404</v>
      </c>
      <c r="F16" s="527"/>
      <c r="G16" s="546" t="s">
        <v>3404</v>
      </c>
      <c r="H16" s="529"/>
      <c r="I16" s="526" t="s">
        <v>3407</v>
      </c>
      <c r="J16" s="525"/>
      <c r="K16" s="833"/>
      <c r="L16" s="1864"/>
      <c r="M16" s="1856"/>
      <c r="N16" s="1856"/>
      <c r="O16" s="1863"/>
      <c r="P16" s="3895"/>
      <c r="Q16" s="1384"/>
      <c r="R16" s="1385"/>
      <c r="S16" s="1386"/>
      <c r="T16" s="1385"/>
      <c r="U16" s="1386"/>
      <c r="V16" s="1385"/>
      <c r="W16" s="1386"/>
      <c r="X16" s="1379"/>
      <c r="Y16" s="3895"/>
      <c r="Z16" s="1387"/>
      <c r="AA16" s="1388">
        <v>1</v>
      </c>
      <c r="AB16" s="1388">
        <v>1</v>
      </c>
      <c r="AC16" s="1388">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3</v>
      </c>
      <c r="L17" s="1864"/>
      <c r="M17" s="1856"/>
      <c r="N17" s="1856"/>
      <c r="O17" s="1863"/>
      <c r="P17" s="3895"/>
      <c r="Q17" s="1384" t="str">
        <f>B17</f>
        <v>交通便捷度</v>
      </c>
      <c r="R17" s="1385" t="s">
        <v>8</v>
      </c>
      <c r="S17" s="1386">
        <f>F17</f>
        <v>100</v>
      </c>
      <c r="T17" s="1385" t="s">
        <v>8</v>
      </c>
      <c r="U17" s="1386">
        <f>H17</f>
        <v>100</v>
      </c>
      <c r="V17" s="1385" t="s">
        <v>8</v>
      </c>
      <c r="W17" s="1386">
        <f>J17</f>
        <v>100</v>
      </c>
      <c r="X17" s="1379"/>
      <c r="Y17" s="3895"/>
      <c r="Z17" s="1387" t="str">
        <f>Q17</f>
        <v>交通便捷度</v>
      </c>
      <c r="AA17" s="1388">
        <f t="shared" si="3"/>
        <v>1</v>
      </c>
      <c r="AB17" s="1388">
        <f t="shared" si="4"/>
        <v>1</v>
      </c>
      <c r="AC17" s="1388">
        <f t="shared" si="5"/>
        <v>1</v>
      </c>
    </row>
    <row r="18" spans="1:29" ht="15">
      <c r="A18" s="502"/>
      <c r="B18" s="565"/>
      <c r="C18" s="836" t="s">
        <v>3404</v>
      </c>
      <c r="D18" s="529"/>
      <c r="E18" s="836" t="s">
        <v>3404</v>
      </c>
      <c r="F18" s="533"/>
      <c r="G18" s="836" t="s">
        <v>3404</v>
      </c>
      <c r="H18" s="525"/>
      <c r="I18" s="836" t="s">
        <v>3404</v>
      </c>
      <c r="J18" s="525"/>
      <c r="K18" s="833"/>
      <c r="L18" s="1864"/>
      <c r="M18" s="1856"/>
      <c r="N18" s="1856"/>
      <c r="O18" s="1863"/>
      <c r="P18" s="3895"/>
      <c r="Q18" s="1384"/>
      <c r="R18" s="1385"/>
      <c r="S18" s="1386"/>
      <c r="T18" s="1385"/>
      <c r="U18" s="1386"/>
      <c r="V18" s="1385"/>
      <c r="W18" s="1386"/>
      <c r="X18" s="1379"/>
      <c r="Y18" s="3895"/>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98</v>
      </c>
      <c r="G19" s="542"/>
      <c r="H19" s="529">
        <f>SUMIF(80:80,G20,81:81)-SUMIF(80:80,C20,81:81)+100</f>
        <v>100</v>
      </c>
      <c r="I19" s="540"/>
      <c r="J19" s="529">
        <f>SUMIF(80:80,I20,81:81)-SUMIF(80:80,C20,81:81)+100</f>
        <v>98</v>
      </c>
      <c r="K19" s="831">
        <v>2</v>
      </c>
      <c r="L19" s="1864"/>
      <c r="M19" s="1856"/>
      <c r="N19" s="1856"/>
      <c r="O19" s="1863"/>
      <c r="P19" s="3895"/>
      <c r="Q19" s="1384" t="str">
        <f>B19</f>
        <v>公共配套设施</v>
      </c>
      <c r="R19" s="1385" t="s">
        <v>8</v>
      </c>
      <c r="S19" s="1386">
        <f>F19</f>
        <v>98</v>
      </c>
      <c r="T19" s="1385" t="s">
        <v>8</v>
      </c>
      <c r="U19" s="1386">
        <f>H19</f>
        <v>100</v>
      </c>
      <c r="V19" s="1385" t="s">
        <v>8</v>
      </c>
      <c r="W19" s="1386">
        <f>J19</f>
        <v>98</v>
      </c>
      <c r="X19" s="1379"/>
      <c r="Y19" s="3895"/>
      <c r="Z19" s="1387" t="str">
        <f>Q19</f>
        <v>公共配套设施</v>
      </c>
      <c r="AA19" s="1388">
        <f t="shared" si="3"/>
        <v>1.0204081632653061</v>
      </c>
      <c r="AB19" s="1388">
        <f t="shared" si="4"/>
        <v>1</v>
      </c>
      <c r="AC19" s="1388">
        <f t="shared" si="5"/>
        <v>1.0204081632653061</v>
      </c>
    </row>
    <row r="20" spans="1:29" ht="15">
      <c r="A20" s="502"/>
      <c r="B20" s="565"/>
      <c r="C20" s="546" t="s">
        <v>3404</v>
      </c>
      <c r="D20" s="525"/>
      <c r="E20" s="526" t="s">
        <v>3407</v>
      </c>
      <c r="F20" s="527"/>
      <c r="G20" s="528" t="s">
        <v>3404</v>
      </c>
      <c r="H20" s="525"/>
      <c r="I20" s="526" t="s">
        <v>3407</v>
      </c>
      <c r="J20" s="525"/>
      <c r="K20" s="833"/>
      <c r="L20" s="1864"/>
      <c r="M20" s="1856"/>
      <c r="N20" s="1856"/>
      <c r="O20" s="1863"/>
      <c r="P20" s="3895"/>
      <c r="Q20" s="1384"/>
      <c r="R20" s="1385"/>
      <c r="S20" s="1386"/>
      <c r="T20" s="1385"/>
      <c r="U20" s="1386"/>
      <c r="V20" s="1385"/>
      <c r="W20" s="1386"/>
      <c r="X20" s="1379"/>
      <c r="Y20" s="3895"/>
      <c r="Z20" s="1387"/>
      <c r="AA20" s="1388">
        <v>1</v>
      </c>
      <c r="AB20" s="1388">
        <v>1</v>
      </c>
      <c r="AC20" s="1388">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4"/>
      <c r="M21" s="1856"/>
      <c r="N21" s="1856"/>
      <c r="O21" s="1863"/>
      <c r="P21" s="3895"/>
      <c r="Q21" s="2192" t="str">
        <f>B21</f>
        <v>基础设施水平</v>
      </c>
      <c r="R21" s="1385" t="s">
        <v>8</v>
      </c>
      <c r="S21" s="1386">
        <f>F21</f>
        <v>100</v>
      </c>
      <c r="T21" s="1385" t="s">
        <v>8</v>
      </c>
      <c r="U21" s="1386">
        <f>H21</f>
        <v>100</v>
      </c>
      <c r="V21" s="1385" t="s">
        <v>8</v>
      </c>
      <c r="W21" s="1386">
        <f>J21</f>
        <v>100</v>
      </c>
      <c r="X21" s="2194"/>
      <c r="Y21" s="3895"/>
      <c r="Z21" s="2193" t="str">
        <f>Q21</f>
        <v>基础设施水平</v>
      </c>
      <c r="AA21" s="1388">
        <f>D21/F21</f>
        <v>1</v>
      </c>
      <c r="AB21" s="1388">
        <f>D21/H21</f>
        <v>1</v>
      </c>
      <c r="AC21" s="1388">
        <f>D21/J21</f>
        <v>1</v>
      </c>
    </row>
    <row r="22" spans="1:29" ht="15">
      <c r="A22" s="502"/>
      <c r="B22" s="884"/>
      <c r="C22" s="836" t="s">
        <v>3399</v>
      </c>
      <c r="D22" s="525"/>
      <c r="E22" s="836" t="s">
        <v>3399</v>
      </c>
      <c r="F22" s="527"/>
      <c r="G22" s="836" t="s">
        <v>3399</v>
      </c>
      <c r="H22" s="525"/>
      <c r="I22" s="836" t="s">
        <v>3399</v>
      </c>
      <c r="J22" s="525"/>
      <c r="K22" s="2206"/>
      <c r="L22" s="1864"/>
      <c r="M22" s="1856"/>
      <c r="N22" s="1856"/>
      <c r="O22" s="1863"/>
      <c r="P22" s="3895"/>
      <c r="Q22" s="2192"/>
      <c r="R22" s="1385"/>
      <c r="S22" s="1386"/>
      <c r="T22" s="1385"/>
      <c r="U22" s="1386"/>
      <c r="V22" s="1385"/>
      <c r="W22" s="1386"/>
      <c r="X22" s="2194"/>
      <c r="Y22" s="3895"/>
      <c r="Z22" s="2193"/>
      <c r="AA22" s="1388">
        <v>1</v>
      </c>
      <c r="AB22" s="1388">
        <v>1</v>
      </c>
      <c r="AC22" s="1388">
        <v>1</v>
      </c>
    </row>
    <row r="23" spans="1:29" ht="55.2">
      <c r="A23" s="502"/>
      <c r="B23" s="834" t="s">
        <v>263</v>
      </c>
      <c r="C23" s="835" t="str">
        <f>估价对象房地状况!C9</f>
        <v>区域自然环境：；人文环境；综合评价环境状况一般</v>
      </c>
      <c r="D23" s="529">
        <v>100</v>
      </c>
      <c r="E23" s="532"/>
      <c r="F23" s="533">
        <f>SUMIF(84:84,E24,85:85)-SUMIF(84:84,C24,85:85)+100</f>
        <v>98</v>
      </c>
      <c r="G23" s="534"/>
      <c r="H23" s="529">
        <f>SUMIF(84:84,G24,85:85)-SUMIF(84:84,C24,85:85)+100</f>
        <v>98</v>
      </c>
      <c r="I23" s="532"/>
      <c r="J23" s="529">
        <f>SUMIF(84:84,I24,85:85)-SUMIF(84:84,C24,85:85)+100</f>
        <v>98</v>
      </c>
      <c r="K23" s="831">
        <v>2</v>
      </c>
      <c r="L23" s="1864"/>
      <c r="M23" s="1856"/>
      <c r="N23" s="1856"/>
      <c r="O23" s="1863"/>
      <c r="P23" s="3895"/>
      <c r="Q23" s="1384" t="str">
        <f>B23</f>
        <v>自然及人文环境</v>
      </c>
      <c r="R23" s="1385" t="s">
        <v>8</v>
      </c>
      <c r="S23" s="1386">
        <f>F23</f>
        <v>98</v>
      </c>
      <c r="T23" s="1385" t="s">
        <v>8</v>
      </c>
      <c r="U23" s="1386">
        <f>H23</f>
        <v>98</v>
      </c>
      <c r="V23" s="1385" t="s">
        <v>8</v>
      </c>
      <c r="W23" s="1386">
        <f>J23</f>
        <v>98</v>
      </c>
      <c r="X23" s="1379"/>
      <c r="Y23" s="3895"/>
      <c r="Z23" s="1387" t="str">
        <f>Q23</f>
        <v>自然及人文环境</v>
      </c>
      <c r="AA23" s="1388">
        <f t="shared" si="3"/>
        <v>1.0204081632653061</v>
      </c>
      <c r="AB23" s="1388">
        <f t="shared" si="4"/>
        <v>1.0204081632653061</v>
      </c>
      <c r="AC23" s="1388">
        <f t="shared" si="5"/>
        <v>1.0204081632653061</v>
      </c>
    </row>
    <row r="24" spans="1:29" ht="15">
      <c r="A24" s="502"/>
      <c r="B24" s="565"/>
      <c r="C24" s="546" t="s">
        <v>3404</v>
      </c>
      <c r="D24" s="525"/>
      <c r="E24" s="526" t="s">
        <v>3407</v>
      </c>
      <c r="F24" s="527"/>
      <c r="G24" s="526" t="s">
        <v>3407</v>
      </c>
      <c r="H24" s="525"/>
      <c r="I24" s="526" t="s">
        <v>3407</v>
      </c>
      <c r="J24" s="525"/>
      <c r="K24" s="833"/>
      <c r="L24" s="1864"/>
      <c r="M24" s="1856"/>
      <c r="N24" s="1856"/>
      <c r="O24" s="1863"/>
      <c r="P24" s="3895"/>
      <c r="Q24" s="1384"/>
      <c r="R24" s="1385"/>
      <c r="S24" s="1386"/>
      <c r="T24" s="1385"/>
      <c r="U24" s="1386"/>
      <c r="V24" s="1385"/>
      <c r="W24" s="1386"/>
      <c r="X24" s="1379"/>
      <c r="Y24" s="3895"/>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95"/>
      <c r="Q25" s="1384" t="str">
        <f t="shared" ref="Q25:Q46" si="8">B25</f>
        <v>楼层-1</v>
      </c>
      <c r="R25" s="1385" t="s">
        <v>8</v>
      </c>
      <c r="S25" s="1386">
        <f>F25</f>
        <v>100</v>
      </c>
      <c r="T25" s="1385" t="s">
        <v>8</v>
      </c>
      <c r="U25" s="1386">
        <f>H25</f>
        <v>100</v>
      </c>
      <c r="V25" s="1385" t="s">
        <v>8</v>
      </c>
      <c r="W25" s="1386">
        <f>J25</f>
        <v>100</v>
      </c>
      <c r="X25" s="1379"/>
      <c r="Y25" s="3895"/>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95"/>
      <c r="Q26" s="1384" t="str">
        <f t="shared" si="8"/>
        <v>朝向</v>
      </c>
      <c r="R26" s="1385" t="s">
        <v>8</v>
      </c>
      <c r="S26" s="1386">
        <f>F26</f>
        <v>100</v>
      </c>
      <c r="T26" s="1385" t="s">
        <v>8</v>
      </c>
      <c r="U26" s="1386">
        <f>H26</f>
        <v>100</v>
      </c>
      <c r="V26" s="1385" t="s">
        <v>8</v>
      </c>
      <c r="W26" s="1386">
        <f>J26</f>
        <v>100</v>
      </c>
      <c r="X26" s="1379"/>
      <c r="Y26" s="3895"/>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95"/>
      <c r="Q27" s="1049" t="str">
        <f t="shared" si="8"/>
        <v>道路级别</v>
      </c>
      <c r="R27" s="1380" t="s">
        <v>8</v>
      </c>
      <c r="S27" s="1381">
        <f>F27</f>
        <v>100</v>
      </c>
      <c r="T27" s="1380" t="s">
        <v>8</v>
      </c>
      <c r="U27" s="1381">
        <f>H27</f>
        <v>100</v>
      </c>
      <c r="V27" s="1380" t="s">
        <v>8</v>
      </c>
      <c r="W27" s="1381">
        <f>J27</f>
        <v>100</v>
      </c>
      <c r="X27" s="1382"/>
      <c r="Y27" s="3895"/>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95"/>
      <c r="Q28" s="1384">
        <f t="shared" si="8"/>
        <v>111</v>
      </c>
      <c r="R28" s="1385" t="s">
        <v>8</v>
      </c>
      <c r="S28" s="1386">
        <f t="shared" ref="S28:S46" si="9">F28</f>
        <v>100</v>
      </c>
      <c r="T28" s="1385" t="s">
        <v>8</v>
      </c>
      <c r="U28" s="1386">
        <f t="shared" ref="U28:U46" si="10">H28</f>
        <v>100</v>
      </c>
      <c r="V28" s="1385" t="s">
        <v>8</v>
      </c>
      <c r="W28" s="1386">
        <f t="shared" ref="W28:W46" si="11">J28</f>
        <v>100</v>
      </c>
      <c r="X28" s="1379"/>
      <c r="Y28" s="3895"/>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95"/>
      <c r="Q29" s="1384">
        <f t="shared" si="8"/>
        <v>111</v>
      </c>
      <c r="R29" s="1385" t="s">
        <v>8</v>
      </c>
      <c r="S29" s="1386">
        <f t="shared" si="9"/>
        <v>100</v>
      </c>
      <c r="T29" s="1385" t="s">
        <v>8</v>
      </c>
      <c r="U29" s="1386">
        <f t="shared" si="10"/>
        <v>100</v>
      </c>
      <c r="V29" s="1385" t="s">
        <v>8</v>
      </c>
      <c r="W29" s="1386">
        <f t="shared" si="11"/>
        <v>100</v>
      </c>
      <c r="X29" s="1379"/>
      <c r="Y29" s="3895"/>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95"/>
      <c r="Q30" s="1384">
        <f t="shared" si="8"/>
        <v>111</v>
      </c>
      <c r="R30" s="1385" t="s">
        <v>8</v>
      </c>
      <c r="S30" s="1386">
        <f t="shared" si="9"/>
        <v>100</v>
      </c>
      <c r="T30" s="1385" t="s">
        <v>8</v>
      </c>
      <c r="U30" s="1386">
        <f t="shared" si="10"/>
        <v>100</v>
      </c>
      <c r="V30" s="1385" t="s">
        <v>8</v>
      </c>
      <c r="W30" s="1386">
        <f t="shared" si="11"/>
        <v>100</v>
      </c>
      <c r="X30" s="1379"/>
      <c r="Y30" s="3895"/>
      <c r="Z30" s="1387">
        <f t="shared" si="12"/>
        <v>111</v>
      </c>
      <c r="AA30" s="1388">
        <f t="shared" si="3"/>
        <v>1</v>
      </c>
      <c r="AB30" s="1388">
        <f t="shared" si="4"/>
        <v>1</v>
      </c>
      <c r="AC30" s="1388">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95"/>
      <c r="Q31" s="1384">
        <f t="shared" si="8"/>
        <v>111</v>
      </c>
      <c r="R31" s="1385" t="s">
        <v>8</v>
      </c>
      <c r="S31" s="1386">
        <f t="shared" si="9"/>
        <v>100</v>
      </c>
      <c r="T31" s="1385" t="s">
        <v>8</v>
      </c>
      <c r="U31" s="1386">
        <f t="shared" si="10"/>
        <v>100</v>
      </c>
      <c r="V31" s="1385" t="s">
        <v>8</v>
      </c>
      <c r="W31" s="1386">
        <f t="shared" si="11"/>
        <v>100</v>
      </c>
      <c r="X31" s="1379"/>
      <c r="Y31" s="3895"/>
      <c r="Z31" s="1387">
        <f t="shared" si="12"/>
        <v>111</v>
      </c>
      <c r="AA31" s="1388">
        <f t="shared" si="3"/>
        <v>1</v>
      </c>
      <c r="AB31" s="1388">
        <f t="shared" si="4"/>
        <v>1</v>
      </c>
      <c r="AC31" s="1388">
        <f t="shared" si="5"/>
        <v>1</v>
      </c>
    </row>
    <row r="32" spans="1:29" ht="15">
      <c r="A32" s="2386" t="s">
        <v>2037</v>
      </c>
      <c r="B32" s="165" t="s">
        <v>672</v>
      </c>
      <c r="C32" s="841" t="s">
        <v>3421</v>
      </c>
      <c r="D32" s="567">
        <v>100</v>
      </c>
      <c r="E32" s="841" t="s">
        <v>3421</v>
      </c>
      <c r="F32" s="545">
        <f>SUMIF(100:100,E32,101:101)-SUMIF(100:100,C32,101:101)+100</f>
        <v>100</v>
      </c>
      <c r="G32" s="841" t="s">
        <v>3421</v>
      </c>
      <c r="H32" s="567">
        <f>SUMIF(100:100,G32,101:101)-SUMIF(100:100,C32,101:101)+100</f>
        <v>100</v>
      </c>
      <c r="I32" s="841" t="s">
        <v>3421</v>
      </c>
      <c r="J32" s="510">
        <f>SUMIF(100:100,I32,101:101)-SUMIF(100:100,C32,101:101)+100</f>
        <v>100</v>
      </c>
      <c r="K32" s="827">
        <v>2</v>
      </c>
      <c r="L32" s="1864"/>
      <c r="M32" s="1856"/>
      <c r="N32" s="1856"/>
      <c r="O32" s="1863"/>
      <c r="P32" s="3896" t="s">
        <v>499</v>
      </c>
      <c r="Q32" s="1384" t="str">
        <f t="shared" si="8"/>
        <v>建筑类型</v>
      </c>
      <c r="R32" s="1385" t="s">
        <v>8</v>
      </c>
      <c r="S32" s="1386">
        <f t="shared" si="9"/>
        <v>100</v>
      </c>
      <c r="T32" s="1385" t="s">
        <v>8</v>
      </c>
      <c r="U32" s="1386">
        <f t="shared" si="10"/>
        <v>100</v>
      </c>
      <c r="V32" s="1385" t="s">
        <v>8</v>
      </c>
      <c r="W32" s="1386">
        <f t="shared" si="11"/>
        <v>100</v>
      </c>
      <c r="X32" s="1379"/>
      <c r="Y32" s="3897"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97"/>
      <c r="Q33" s="1413" t="str">
        <f t="shared" si="8"/>
        <v>项目建筑规模</v>
      </c>
      <c r="R33" s="1389" t="s">
        <v>8</v>
      </c>
      <c r="S33" s="1390">
        <f t="shared" si="9"/>
        <v>100</v>
      </c>
      <c r="T33" s="1389" t="s">
        <v>8</v>
      </c>
      <c r="U33" s="1390">
        <f t="shared" si="10"/>
        <v>100</v>
      </c>
      <c r="V33" s="1389" t="s">
        <v>8</v>
      </c>
      <c r="W33" s="1390">
        <f t="shared" si="11"/>
        <v>100</v>
      </c>
      <c r="X33" s="1391"/>
      <c r="Y33" s="3897"/>
      <c r="Z33" s="1392" t="str">
        <f t="shared" si="12"/>
        <v>项目建筑规模</v>
      </c>
      <c r="AA33" s="1388">
        <f t="shared" si="3"/>
        <v>1</v>
      </c>
      <c r="AB33" s="1388">
        <f t="shared" si="4"/>
        <v>1</v>
      </c>
      <c r="AC33" s="1388">
        <f t="shared" si="5"/>
        <v>1</v>
      </c>
    </row>
    <row r="34" spans="1:29" ht="15">
      <c r="A34" s="564"/>
      <c r="B34" s="497" t="s">
        <v>674</v>
      </c>
      <c r="C34" s="843" t="s">
        <v>3418</v>
      </c>
      <c r="D34" s="510">
        <v>100</v>
      </c>
      <c r="E34" s="843" t="s">
        <v>3418</v>
      </c>
      <c r="F34" s="545">
        <f>SUMIF(105:105,E34,106:106)-SUMIF(105:105,C34,106:106)+100</f>
        <v>100</v>
      </c>
      <c r="G34" s="843" t="s">
        <v>3418</v>
      </c>
      <c r="H34" s="510">
        <f>SUMIF(105:105,G34,106:106)-SUMIF(105:105,C34,106:106)+100</f>
        <v>100</v>
      </c>
      <c r="I34" s="843" t="s">
        <v>3418</v>
      </c>
      <c r="J34" s="510">
        <f>SUMIF(105:105,I34,106:106)-SUMIF(105:105,C34,106:106)+100</f>
        <v>100</v>
      </c>
      <c r="K34" s="827">
        <v>2</v>
      </c>
      <c r="L34" s="1864"/>
      <c r="M34" s="1856"/>
      <c r="N34" s="1856"/>
      <c r="O34" s="1863"/>
      <c r="P34" s="3897"/>
      <c r="Q34" s="1384" t="str">
        <f t="shared" si="8"/>
        <v>建筑结构</v>
      </c>
      <c r="R34" s="1385" t="s">
        <v>8</v>
      </c>
      <c r="S34" s="1386">
        <f t="shared" si="9"/>
        <v>100</v>
      </c>
      <c r="T34" s="1385" t="s">
        <v>8</v>
      </c>
      <c r="U34" s="1386">
        <f t="shared" si="10"/>
        <v>100</v>
      </c>
      <c r="V34" s="1385" t="s">
        <v>8</v>
      </c>
      <c r="W34" s="1386">
        <f t="shared" si="11"/>
        <v>100</v>
      </c>
      <c r="X34" s="1379"/>
      <c r="Y34" s="3897"/>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97"/>
      <c r="Q35" s="1384" t="str">
        <f t="shared" si="8"/>
        <v>建筑品质</v>
      </c>
      <c r="R35" s="1385" t="s">
        <v>8</v>
      </c>
      <c r="S35" s="1386">
        <f t="shared" si="9"/>
        <v>100</v>
      </c>
      <c r="T35" s="1385" t="s">
        <v>8</v>
      </c>
      <c r="U35" s="1386">
        <f t="shared" si="10"/>
        <v>100</v>
      </c>
      <c r="V35" s="1385" t="s">
        <v>8</v>
      </c>
      <c r="W35" s="1386">
        <f t="shared" si="11"/>
        <v>100</v>
      </c>
      <c r="X35" s="1379"/>
      <c r="Y35" s="3897"/>
      <c r="Z35" s="1387" t="str">
        <f t="shared" si="12"/>
        <v>建筑品质</v>
      </c>
      <c r="AA35" s="1388">
        <f t="shared" si="3"/>
        <v>1</v>
      </c>
      <c r="AB35" s="1388">
        <f t="shared" si="4"/>
        <v>1</v>
      </c>
      <c r="AC35" s="1388">
        <f t="shared" si="5"/>
        <v>1</v>
      </c>
    </row>
    <row r="36" spans="1:29" ht="15">
      <c r="A36" s="564"/>
      <c r="B36" s="497" t="s">
        <v>676</v>
      </c>
      <c r="C36" s="569" t="s">
        <v>3424</v>
      </c>
      <c r="D36" s="510">
        <v>100</v>
      </c>
      <c r="E36" s="569" t="s">
        <v>3424</v>
      </c>
      <c r="F36" s="545">
        <f>SUMIF(109:109,E36,110:110)-SUMIF(109:109,C36,110:110)+100</f>
        <v>100</v>
      </c>
      <c r="G36" s="569" t="s">
        <v>3424</v>
      </c>
      <c r="H36" s="510">
        <f>SUMIF(109:109,G36,110:110)-SUMIF(109:109,C36,110:110)+100</f>
        <v>100</v>
      </c>
      <c r="I36" s="569" t="s">
        <v>3424</v>
      </c>
      <c r="J36" s="510">
        <f>SUMIF(109:109,I36,110:110)-SUMIF(109:109,C36,110:110)+100</f>
        <v>100</v>
      </c>
      <c r="K36" s="827">
        <v>2</v>
      </c>
      <c r="L36" s="1864"/>
      <c r="M36" s="1856"/>
      <c r="N36" s="1856"/>
      <c r="O36" s="1863"/>
      <c r="P36" s="3897"/>
      <c r="Q36" s="1384" t="str">
        <f t="shared" si="8"/>
        <v>公共部分装修</v>
      </c>
      <c r="R36" s="1385" t="s">
        <v>8</v>
      </c>
      <c r="S36" s="1386">
        <f t="shared" si="9"/>
        <v>100</v>
      </c>
      <c r="T36" s="1385" t="s">
        <v>8</v>
      </c>
      <c r="U36" s="1386">
        <f t="shared" si="10"/>
        <v>100</v>
      </c>
      <c r="V36" s="1385" t="s">
        <v>8</v>
      </c>
      <c r="W36" s="1386">
        <f t="shared" si="11"/>
        <v>100</v>
      </c>
      <c r="X36" s="1379"/>
      <c r="Y36" s="3897"/>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6">
        <v>1</v>
      </c>
      <c r="F37" s="826">
        <f>LOOKUP(E37,112:112,113:113)-LOOKUP(C37,112:112,113:113)+100</f>
        <v>100</v>
      </c>
      <c r="G37" s="847">
        <v>1</v>
      </c>
      <c r="H37" s="246">
        <f>LOOKUP(G37,112:112,113:113)-LOOKUP(C37,112:112,113:113)+100</f>
        <v>100</v>
      </c>
      <c r="I37" s="846">
        <v>1</v>
      </c>
      <c r="J37" s="246">
        <f>LOOKUP(I37,112:112,113:113)-LOOKUP(C37,112:112,113:113)+100</f>
        <v>100</v>
      </c>
      <c r="K37" s="827">
        <v>2</v>
      </c>
      <c r="L37" s="1857"/>
      <c r="M37" s="1858"/>
      <c r="N37" s="1858"/>
      <c r="O37" s="1859"/>
      <c r="P37" s="3897"/>
      <c r="Q37" s="1049" t="str">
        <f t="shared" si="8"/>
        <v>成新度</v>
      </c>
      <c r="R37" s="1380" t="s">
        <v>8</v>
      </c>
      <c r="S37" s="1381">
        <f t="shared" si="9"/>
        <v>100</v>
      </c>
      <c r="T37" s="1380" t="s">
        <v>8</v>
      </c>
      <c r="U37" s="1381">
        <f t="shared" si="10"/>
        <v>100</v>
      </c>
      <c r="V37" s="1380" t="s">
        <v>8</v>
      </c>
      <c r="W37" s="1381">
        <f t="shared" si="11"/>
        <v>100</v>
      </c>
      <c r="X37" s="1382"/>
      <c r="Y37" s="3897"/>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97" t="s">
        <v>499</v>
      </c>
      <c r="Q38" s="1384" t="str">
        <f t="shared" si="8"/>
        <v>物业管理</v>
      </c>
      <c r="R38" s="1385" t="s">
        <v>8</v>
      </c>
      <c r="S38" s="1386">
        <f t="shared" si="9"/>
        <v>100</v>
      </c>
      <c r="T38" s="1385" t="s">
        <v>8</v>
      </c>
      <c r="U38" s="1386">
        <f t="shared" si="10"/>
        <v>100</v>
      </c>
      <c r="V38" s="1385" t="s">
        <v>8</v>
      </c>
      <c r="W38" s="1386">
        <f t="shared" si="11"/>
        <v>100</v>
      </c>
      <c r="X38" s="1379"/>
      <c r="Y38" s="3897" t="s">
        <v>499</v>
      </c>
      <c r="Z38" s="1387" t="str">
        <f t="shared" si="12"/>
        <v>物业管理</v>
      </c>
      <c r="AA38" s="1388">
        <f t="shared" si="3"/>
        <v>1</v>
      </c>
      <c r="AB38" s="1388">
        <f t="shared" si="4"/>
        <v>1</v>
      </c>
      <c r="AC38" s="1388">
        <f t="shared" si="5"/>
        <v>1</v>
      </c>
    </row>
    <row r="39" spans="1:29" ht="15">
      <c r="A39" s="564"/>
      <c r="B39" s="1650" t="s">
        <v>1847</v>
      </c>
      <c r="C39" s="569" t="s">
        <v>3399</v>
      </c>
      <c r="D39" s="510">
        <v>100</v>
      </c>
      <c r="E39" s="569" t="s">
        <v>3399</v>
      </c>
      <c r="F39" s="545">
        <f>SUMIF(116:116,E39,117:117)-SUMIF(116:116,C39,117:117)+100</f>
        <v>100</v>
      </c>
      <c r="G39" s="569" t="s">
        <v>3399</v>
      </c>
      <c r="H39" s="510">
        <f>SUMIF(116:116,G39,117:117)-SUMIF(116:116,C39,117:117)+100</f>
        <v>100</v>
      </c>
      <c r="I39" s="569" t="s">
        <v>3399</v>
      </c>
      <c r="J39" s="510">
        <f>SUMIF(116:116,I39,117:117)-SUMIF(116:116,C39,117:117)+100</f>
        <v>100</v>
      </c>
      <c r="K39" s="827">
        <v>1</v>
      </c>
      <c r="L39" s="1864"/>
      <c r="M39" s="1856"/>
      <c r="N39" s="1856"/>
      <c r="O39" s="1863"/>
      <c r="P39" s="3897"/>
      <c r="Q39" s="1384" t="str">
        <f t="shared" si="8"/>
        <v>市政基础设施</v>
      </c>
      <c r="R39" s="1385" t="s">
        <v>8</v>
      </c>
      <c r="S39" s="1386">
        <f t="shared" si="9"/>
        <v>100</v>
      </c>
      <c r="T39" s="1385" t="s">
        <v>8</v>
      </c>
      <c r="U39" s="1386">
        <f t="shared" si="10"/>
        <v>100</v>
      </c>
      <c r="V39" s="1385" t="s">
        <v>8</v>
      </c>
      <c r="W39" s="1386">
        <f t="shared" si="11"/>
        <v>100</v>
      </c>
      <c r="X39" s="1379"/>
      <c r="Y39" s="3897"/>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97"/>
      <c r="Q40" s="1384" t="str">
        <f t="shared" si="8"/>
        <v>房型</v>
      </c>
      <c r="R40" s="1385" t="s">
        <v>8</v>
      </c>
      <c r="S40" s="1386">
        <f t="shared" si="9"/>
        <v>100</v>
      </c>
      <c r="T40" s="1385" t="s">
        <v>8</v>
      </c>
      <c r="U40" s="1386">
        <f t="shared" si="10"/>
        <v>100</v>
      </c>
      <c r="V40" s="1385" t="s">
        <v>8</v>
      </c>
      <c r="W40" s="1386">
        <f t="shared" si="11"/>
        <v>100</v>
      </c>
      <c r="X40" s="1379"/>
      <c r="Y40" s="3897"/>
      <c r="Z40" s="1387" t="str">
        <f t="shared" si="12"/>
        <v>房型</v>
      </c>
      <c r="AA40" s="1388">
        <f t="shared" si="3"/>
        <v>1</v>
      </c>
      <c r="AB40" s="1388">
        <f t="shared" si="4"/>
        <v>1</v>
      </c>
      <c r="AC40" s="1388">
        <f t="shared" si="5"/>
        <v>1</v>
      </c>
    </row>
    <row r="41" spans="1:29" s="1199" customFormat="1" ht="28.8">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97"/>
      <c r="Q41" s="1413" t="str">
        <f t="shared" si="8"/>
        <v>单套/主力户型建筑面积</v>
      </c>
      <c r="R41" s="1389" t="s">
        <v>8</v>
      </c>
      <c r="S41" s="1390">
        <f t="shared" si="9"/>
        <v>100</v>
      </c>
      <c r="T41" s="1389" t="s">
        <v>8</v>
      </c>
      <c r="U41" s="1390">
        <f t="shared" si="10"/>
        <v>100</v>
      </c>
      <c r="V41" s="1389" t="s">
        <v>8</v>
      </c>
      <c r="W41" s="1390">
        <f t="shared" si="11"/>
        <v>100</v>
      </c>
      <c r="X41" s="1391"/>
      <c r="Y41" s="3897"/>
      <c r="Z41" s="1392" t="str">
        <f t="shared" si="12"/>
        <v>单套/主力户型建筑面积</v>
      </c>
      <c r="AA41" s="1388">
        <f t="shared" si="3"/>
        <v>1</v>
      </c>
      <c r="AB41" s="1388">
        <f t="shared" si="4"/>
        <v>1</v>
      </c>
      <c r="AC41" s="1388">
        <f t="shared" si="5"/>
        <v>1</v>
      </c>
    </row>
    <row r="42" spans="1:29" ht="15">
      <c r="A42" s="564"/>
      <c r="B42" s="497" t="s">
        <v>681</v>
      </c>
      <c r="C42" s="569" t="s">
        <v>3424</v>
      </c>
      <c r="D42" s="510">
        <v>100</v>
      </c>
      <c r="E42" s="569" t="s">
        <v>3424</v>
      </c>
      <c r="F42" s="545">
        <f>SUMIF(122:122,E42,123:123)-SUMIF(122:122,C42,123:123)+100</f>
        <v>100</v>
      </c>
      <c r="G42" s="569" t="s">
        <v>3424</v>
      </c>
      <c r="H42" s="510">
        <f>SUMIF(122:122,G42,123:123)-SUMIF(122:122,C42,123:123)+100</f>
        <v>100</v>
      </c>
      <c r="I42" s="569" t="s">
        <v>3424</v>
      </c>
      <c r="J42" s="510">
        <f>SUMIF(122:122,I42,123:123)-SUMIF(122:122,C42,123:123)+100</f>
        <v>100</v>
      </c>
      <c r="K42" s="827"/>
      <c r="L42" s="1864"/>
      <c r="M42" s="1856"/>
      <c r="N42" s="1856"/>
      <c r="O42" s="1863"/>
      <c r="P42" s="3897"/>
      <c r="Q42" s="1384" t="str">
        <f t="shared" si="8"/>
        <v>内部装修</v>
      </c>
      <c r="R42" s="1385" t="s">
        <v>8</v>
      </c>
      <c r="S42" s="1386">
        <f t="shared" si="9"/>
        <v>100</v>
      </c>
      <c r="T42" s="1385" t="s">
        <v>8</v>
      </c>
      <c r="U42" s="1386">
        <f t="shared" si="10"/>
        <v>100</v>
      </c>
      <c r="V42" s="1385" t="s">
        <v>8</v>
      </c>
      <c r="W42" s="1386">
        <f t="shared" si="11"/>
        <v>100</v>
      </c>
      <c r="X42" s="1379"/>
      <c r="Y42" s="3897"/>
      <c r="Z42" s="1387" t="str">
        <f t="shared" si="12"/>
        <v>内部装修</v>
      </c>
      <c r="AA42" s="1388">
        <f t="shared" si="3"/>
        <v>1</v>
      </c>
      <c r="AB42" s="1388">
        <f t="shared" si="4"/>
        <v>1</v>
      </c>
      <c r="AC42" s="1388">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97"/>
      <c r="Q43" s="1384" t="str">
        <f t="shared" si="8"/>
        <v>内部装修维护情况</v>
      </c>
      <c r="R43" s="1385" t="s">
        <v>8</v>
      </c>
      <c r="S43" s="1386">
        <f t="shared" si="9"/>
        <v>100</v>
      </c>
      <c r="T43" s="1385" t="s">
        <v>8</v>
      </c>
      <c r="U43" s="1386">
        <f t="shared" si="10"/>
        <v>100</v>
      </c>
      <c r="V43" s="1385" t="s">
        <v>8</v>
      </c>
      <c r="W43" s="1386">
        <f t="shared" si="11"/>
        <v>100</v>
      </c>
      <c r="X43" s="1379"/>
      <c r="Y43" s="3897"/>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97"/>
      <c r="Q44" s="1049">
        <f t="shared" si="8"/>
        <v>111</v>
      </c>
      <c r="R44" s="1380" t="s">
        <v>8</v>
      </c>
      <c r="S44" s="1381">
        <f t="shared" si="9"/>
        <v>100</v>
      </c>
      <c r="T44" s="1380" t="s">
        <v>8</v>
      </c>
      <c r="U44" s="1381">
        <f t="shared" si="10"/>
        <v>100</v>
      </c>
      <c r="V44" s="1380" t="s">
        <v>8</v>
      </c>
      <c r="W44" s="1381">
        <f t="shared" si="11"/>
        <v>100</v>
      </c>
      <c r="X44" s="1382"/>
      <c r="Y44" s="3897"/>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97"/>
      <c r="Q45" s="1384">
        <f t="shared" si="8"/>
        <v>111</v>
      </c>
      <c r="R45" s="1385" t="s">
        <v>8</v>
      </c>
      <c r="S45" s="1386">
        <f t="shared" si="9"/>
        <v>100</v>
      </c>
      <c r="T45" s="1385" t="s">
        <v>8</v>
      </c>
      <c r="U45" s="1386">
        <f t="shared" si="10"/>
        <v>100</v>
      </c>
      <c r="V45" s="1385" t="s">
        <v>8</v>
      </c>
      <c r="W45" s="1386">
        <f t="shared" si="11"/>
        <v>100</v>
      </c>
      <c r="X45" s="1379"/>
      <c r="Y45" s="3897"/>
      <c r="Z45" s="1387">
        <f t="shared" si="12"/>
        <v>111</v>
      </c>
      <c r="AA45" s="1388">
        <f t="shared" si="3"/>
        <v>1</v>
      </c>
      <c r="AB45" s="1388">
        <f t="shared" si="4"/>
        <v>1</v>
      </c>
      <c r="AC45" s="1388">
        <f t="shared" si="5"/>
        <v>1</v>
      </c>
    </row>
    <row r="46" spans="1:29" ht="15.6"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1"/>
      <c r="Q46" s="1384">
        <f t="shared" si="8"/>
        <v>111</v>
      </c>
      <c r="R46" s="1385" t="s">
        <v>7</v>
      </c>
      <c r="S46" s="1386">
        <f t="shared" si="9"/>
        <v>100</v>
      </c>
      <c r="T46" s="1385" t="s">
        <v>7</v>
      </c>
      <c r="U46" s="1386">
        <f t="shared" si="10"/>
        <v>100</v>
      </c>
      <c r="V46" s="1385" t="s">
        <v>7</v>
      </c>
      <c r="W46" s="1386">
        <f t="shared" si="11"/>
        <v>100</v>
      </c>
      <c r="X46" s="1379"/>
      <c r="Y46" s="3971"/>
      <c r="Z46" s="1387">
        <f t="shared" si="12"/>
        <v>111</v>
      </c>
      <c r="AA46" s="1388">
        <f t="shared" si="3"/>
        <v>1</v>
      </c>
      <c r="AB46" s="1388">
        <f t="shared" si="4"/>
        <v>1</v>
      </c>
      <c r="AC46" s="1388">
        <f t="shared" si="5"/>
        <v>1</v>
      </c>
    </row>
    <row r="47" spans="1:29" ht="14.4">
      <c r="A47" s="577" t="s">
        <v>683</v>
      </c>
      <c r="B47" s="849"/>
      <c r="C47" s="2233" t="s">
        <v>6</v>
      </c>
      <c r="D47" s="2234"/>
      <c r="E47" s="2235">
        <v>38951</v>
      </c>
      <c r="F47" s="2236"/>
      <c r="G47" s="2237">
        <v>38344</v>
      </c>
      <c r="H47" s="2238"/>
      <c r="I47" s="2235">
        <v>38184</v>
      </c>
      <c r="J47" s="2238"/>
      <c r="K47" s="1414"/>
      <c r="L47" s="1866"/>
      <c r="M47" s="1867"/>
      <c r="N47" s="1856"/>
      <c r="O47" s="1867"/>
      <c r="P47" s="3861" t="str">
        <f>A47</f>
        <v>成交单价（元/平方米）</v>
      </c>
      <c r="Q47" s="3861"/>
      <c r="R47" s="3970">
        <f>E47</f>
        <v>38951</v>
      </c>
      <c r="S47" s="3970"/>
      <c r="T47" s="3970">
        <f>G47</f>
        <v>38344</v>
      </c>
      <c r="U47" s="3970"/>
      <c r="V47" s="3970">
        <f>I47</f>
        <v>38184</v>
      </c>
      <c r="W47" s="3970"/>
      <c r="X47" s="1374"/>
      <c r="Y47" s="1393"/>
      <c r="Z47" s="1374"/>
      <c r="AA47" s="1374"/>
      <c r="AB47" s="1374"/>
      <c r="AC47" s="1374"/>
    </row>
    <row r="48" spans="1:29" ht="15" thickBot="1">
      <c r="A48" s="585" t="s">
        <v>2042</v>
      </c>
      <c r="B48" s="850"/>
      <c r="C48" s="2239">
        <f>R49</f>
        <v>40500</v>
      </c>
      <c r="D48" s="2755" t="s">
        <v>2261</v>
      </c>
      <c r="E48" s="2240">
        <f>R48</f>
        <v>41385</v>
      </c>
      <c r="F48" s="2756"/>
      <c r="G48" s="2239">
        <f>T48</f>
        <v>39127</v>
      </c>
      <c r="H48" s="2756"/>
      <c r="I48" s="2240">
        <f>V48</f>
        <v>40988</v>
      </c>
      <c r="J48" s="2756"/>
      <c r="K48" s="2764">
        <f>F48+H48+J48</f>
        <v>0</v>
      </c>
      <c r="L48" s="1866"/>
      <c r="M48" s="1867"/>
      <c r="N48" s="1867"/>
      <c r="O48" s="1867"/>
      <c r="P48" s="3861" t="str">
        <f>A48</f>
        <v>比较价格（元/平方米）</v>
      </c>
      <c r="Q48" s="3861"/>
      <c r="R48" s="3970">
        <f>IF(F1="售价",ROUND(PRODUCT(R47,AA7:AA46),0),ROUND(PRODUCT(R47,AA7:AA46),1))</f>
        <v>41385</v>
      </c>
      <c r="S48" s="3970"/>
      <c r="T48" s="3970">
        <f>IF(F1="售价",ROUND(PRODUCT(T47,AB7:AB46),0),ROUND(PRODUCT(T47,AB7:AB46),1))</f>
        <v>39127</v>
      </c>
      <c r="U48" s="3970"/>
      <c r="V48" s="3970">
        <f>IF(F1="售价",ROUND(PRODUCT(V47,AC7:AC46),0),ROUND(PRODUCT(V47,AC7:AC46),1))</f>
        <v>40988</v>
      </c>
      <c r="W48" s="3970"/>
      <c r="X48" s="1374"/>
      <c r="Y48" s="1374"/>
      <c r="Z48" s="1374"/>
      <c r="AA48" s="1374"/>
      <c r="AB48" s="1374"/>
      <c r="AC48" s="1374"/>
    </row>
    <row r="49" spans="1:29" ht="15" thickBot="1">
      <c r="A49" s="589" t="s">
        <v>2198</v>
      </c>
      <c r="B49" s="590"/>
      <c r="C49" s="2241">
        <f>R49</f>
        <v>40500</v>
      </c>
      <c r="D49" s="2241"/>
      <c r="E49" s="2241"/>
      <c r="F49" s="2241"/>
      <c r="G49" s="2241"/>
      <c r="H49" s="2241"/>
      <c r="I49" s="2241"/>
      <c r="J49" s="2241"/>
      <c r="K49" s="1415"/>
      <c r="L49" s="1866"/>
      <c r="M49" s="1867"/>
      <c r="N49" s="1867"/>
      <c r="O49" s="1867"/>
      <c r="P49" s="3898" t="str">
        <f>A49</f>
        <v>估价对象XX用房的比较价格（楼面单价，元/平方米）</v>
      </c>
      <c r="Q49" s="3899"/>
      <c r="R49" s="3969">
        <f>IF(F1="售价",ROUND(IF(D48="简单平均",AVERAGE(R48:V48),R48*F48+T48*H48+V48*J48),0),ROUND(IF(D48="简单平均",AVERAGE(R48:V48),R48*F48+T48*H48+V48*J48),1))</f>
        <v>40500</v>
      </c>
      <c r="S49" s="3969"/>
      <c r="T49" s="3969"/>
      <c r="U49" s="3969"/>
      <c r="V49" s="3969"/>
      <c r="W49" s="396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6.2488767939205658E-2</v>
      </c>
      <c r="F52" s="595" t="str">
        <f>IF(OR(E52&gt;=0.3,E52&lt;=-0.3),"超过30%","")</f>
        <v/>
      </c>
      <c r="G52" s="594">
        <f>IF(G47&lt;G48,G48/G47-1,G47/G48-1)</f>
        <v>2.0420404756937183E-2</v>
      </c>
      <c r="H52" s="595" t="str">
        <f>IF(OR(G52&gt;=0.3,G52&lt;=-0.3),"超过30%","")</f>
        <v/>
      </c>
      <c r="I52" s="594">
        <f>IF(I47&lt;I48,I48/I47-1,I47/I48-1)</f>
        <v>7.3433899015294291E-2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5.7709510056993985E-2</v>
      </c>
      <c r="F53" s="595" t="str">
        <f>IF(OR(E53&gt;=0.2,E53&lt;=-0.2),"超过20%","")</f>
        <v/>
      </c>
      <c r="G53" s="594">
        <f>IF(G48&lt;I48,I48/G48-1,G48/I48-1)</f>
        <v>4.7563063868939714E-2</v>
      </c>
      <c r="H53" s="595" t="str">
        <f>IF(OR(G53&gt;=0.2,G53&lt;=-0.2),"超过20%","")</f>
        <v/>
      </c>
      <c r="I53" s="594">
        <f>IF(I48&lt;E48,E48/I48-1,I48/E48-1)</f>
        <v>9.6857616863472717E-3</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1.5830377634049597E-2</v>
      </c>
      <c r="F54" s="595" t="str">
        <f>IF(OR(E54&gt;=0.3,E54&lt;=-0.3),"超过30%","")</f>
        <v/>
      </c>
      <c r="G54" s="594">
        <f>IF(G47&lt;I47,I47/G47-1,G47/I47-1)</f>
        <v>4.1902367483763747E-3</v>
      </c>
      <c r="H54" s="595" t="str">
        <f>IF(OR(G54&gt;=0.3,G54&lt;=-0.3),"超过30%","")</f>
        <v/>
      </c>
      <c r="I54" s="594">
        <f>IF(I47&lt;E47,E47/I47-1,I47/E47-1)</f>
        <v>2.00869474125287E-2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ht="14.4">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v>0</v>
      </c>
      <c r="D68" s="511">
        <v>0.5</v>
      </c>
      <c r="E68" s="511">
        <v>1</v>
      </c>
      <c r="F68" s="511">
        <v>1.5</v>
      </c>
      <c r="G68" s="511">
        <v>2</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4.4"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687</v>
      </c>
      <c r="C100" s="3678" t="s">
        <v>3421</v>
      </c>
      <c r="D100" s="3678" t="s">
        <v>3422</v>
      </c>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1" t="s">
        <v>3423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1" t="s">
        <v>3425</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81" t="s">
        <v>3426</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1" t="s">
        <v>3425</v>
      </c>
      <c r="D122" s="3681" t="s">
        <v>3427</v>
      </c>
      <c r="E122" s="3681" t="s">
        <v>3428</v>
      </c>
      <c r="F122" s="3680" t="s">
        <v>3429</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8671875" defaultRowHeight="14.4"/>
  <cols>
    <col min="1" max="16384" width="8.88671875" style="3686"/>
  </cols>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zoomScaleSheetLayoutView="80" workbookViewId="0">
      <selection activeCell="D8" sqref="D8"/>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3259</v>
      </c>
      <c r="D1" s="2551" t="s">
        <v>3416</v>
      </c>
      <c r="E1" s="2078" t="s">
        <v>1728</v>
      </c>
      <c r="F1" s="2079">
        <f ca="1">J53</f>
        <v>37.85</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2032</v>
      </c>
      <c r="C2" s="3004"/>
      <c r="D2" s="3005"/>
      <c r="E2" s="3006"/>
      <c r="F2" s="3006"/>
      <c r="G2" s="3000"/>
      <c r="H2" s="1780"/>
      <c r="I2" s="1780"/>
      <c r="J2" s="1780"/>
      <c r="K2" s="1781"/>
      <c r="L2" s="1780"/>
      <c r="M2" s="1780"/>
    </row>
    <row r="3" spans="1:33" ht="18" customHeight="1" thickBot="1">
      <c r="A3" s="798" t="s">
        <v>1256</v>
      </c>
      <c r="B3" s="799">
        <f ca="1">IF(ISERROR(B2*10000/F43),0,ROUND(B2*10000/F43,0))</f>
        <v>10925</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183</v>
      </c>
      <c r="D5" s="2142" t="s">
        <v>1805</v>
      </c>
      <c r="E5" s="2136"/>
      <c r="F5" s="2137"/>
      <c r="G5" s="1785"/>
      <c r="H5" s="747">
        <v>1</v>
      </c>
      <c r="I5" s="748" t="s">
        <v>1802</v>
      </c>
      <c r="J5" s="53">
        <f ca="1">J6+J10+J12</f>
        <v>0</v>
      </c>
      <c r="K5" s="2142" t="s">
        <v>1805</v>
      </c>
      <c r="L5" s="2136"/>
      <c r="M5" s="2137"/>
    </row>
    <row r="6" spans="1:33" ht="18" customHeight="1">
      <c r="A6" s="1616" t="s">
        <v>1353</v>
      </c>
      <c r="B6" s="3963" t="s">
        <v>1807</v>
      </c>
      <c r="C6" s="749">
        <f ca="1">ROUND(F6*F8*F7*(1-F9)/10000,0)</f>
        <v>183</v>
      </c>
      <c r="D6" s="2143" t="s">
        <v>1806</v>
      </c>
      <c r="E6" s="750" t="s">
        <v>1267</v>
      </c>
      <c r="F6" s="751">
        <f ca="1">INDIRECT("'数据-取费表'!u"&amp;$G$1)</f>
        <v>3</v>
      </c>
      <c r="G6" s="1785"/>
      <c r="H6" s="2150" t="s">
        <v>1812</v>
      </c>
      <c r="I6" s="3963" t="s">
        <v>1807</v>
      </c>
      <c r="J6" s="749">
        <f ca="1">ROUND(M6*M8*M7*(1-M9)/10000,0)</f>
        <v>0</v>
      </c>
      <c r="K6" s="332" t="s">
        <v>1266</v>
      </c>
      <c r="L6" s="750" t="s">
        <v>1267</v>
      </c>
      <c r="M6" s="751">
        <f ca="1">INDIRECT("'数据-取费表'!z"&amp;$G$1)</f>
        <v>0</v>
      </c>
    </row>
    <row r="7" spans="1:33" ht="18" customHeight="1">
      <c r="A7" s="2146"/>
      <c r="B7" s="3964"/>
      <c r="C7" s="754"/>
      <c r="D7" s="755"/>
      <c r="E7" s="750" t="s">
        <v>1268</v>
      </c>
      <c r="F7" s="751">
        <f ca="1">IF(INDIRECT("'数据-取费表'!ah"&amp;$G$1)="",INDIRECT("'数据-取费表'!k"&amp;$G$1),INDIRECT("'数据-取费表'!ah"&amp;$G$1))</f>
        <v>1860</v>
      </c>
      <c r="G7" s="1785"/>
      <c r="H7" s="2135"/>
      <c r="I7" s="3964"/>
      <c r="J7" s="754"/>
      <c r="K7" s="755"/>
      <c r="L7" s="750" t="s">
        <v>1268</v>
      </c>
      <c r="M7" s="751">
        <f ca="1">F7</f>
        <v>1860</v>
      </c>
    </row>
    <row r="8" spans="1:33" ht="18" customHeight="1">
      <c r="A8" s="2139"/>
      <c r="B8" s="3965"/>
      <c r="C8" s="754"/>
      <c r="D8" s="755"/>
      <c r="E8" s="750" t="s">
        <v>1269</v>
      </c>
      <c r="F8" s="751">
        <f ca="1">INDIRECT("'数据-取费表'!ai"&amp;$G$1)</f>
        <v>365</v>
      </c>
      <c r="G8" s="1785"/>
      <c r="H8" s="2135"/>
      <c r="I8" s="3965"/>
      <c r="J8" s="754"/>
      <c r="K8" s="755"/>
      <c r="L8" s="750" t="s">
        <v>1269</v>
      </c>
      <c r="M8" s="751">
        <f ca="1">INDIRECT("'数据-取费表'!ai"&amp;$G$1)</f>
        <v>365</v>
      </c>
    </row>
    <row r="9" spans="1:33" ht="18" customHeight="1">
      <c r="A9" s="752"/>
      <c r="B9" s="3966"/>
      <c r="C9" s="754"/>
      <c r="D9" s="755"/>
      <c r="E9" s="750" t="s">
        <v>1270</v>
      </c>
      <c r="F9" s="760">
        <f ca="1">INDIRECT("'数据-取费表'!w"&amp;$G$1)</f>
        <v>0.1</v>
      </c>
      <c r="G9" s="1785"/>
      <c r="H9" s="2151"/>
      <c r="I9" s="3965"/>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3417</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1125</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781</v>
      </c>
      <c r="D14" s="1733" t="s">
        <v>1274</v>
      </c>
      <c r="E14" s="1734"/>
      <c r="F14" s="771"/>
      <c r="G14" s="1785"/>
      <c r="H14" s="1453" t="s">
        <v>1359</v>
      </c>
      <c r="I14" s="1949" t="s">
        <v>2103</v>
      </c>
      <c r="J14" s="51">
        <f ca="1">C29</f>
        <v>1125</v>
      </c>
      <c r="K14" s="24"/>
      <c r="L14" s="767"/>
      <c r="M14" s="768"/>
    </row>
    <row r="15" spans="1:33" s="1787" customFormat="1" ht="18" customHeight="1" thickBot="1">
      <c r="A15" s="1452" t="s">
        <v>1410</v>
      </c>
      <c r="B15" s="750" t="s">
        <v>595</v>
      </c>
      <c r="C15" s="51">
        <f ca="1">ROUND(C14*F15,0)</f>
        <v>23</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v>
      </c>
      <c r="K16" s="1607" t="s">
        <v>1279</v>
      </c>
      <c r="L16" s="2132"/>
      <c r="M16" s="2137"/>
    </row>
    <row r="17" spans="1:33" s="1787" customFormat="1" ht="18" customHeight="1">
      <c r="A17" s="1452" t="s">
        <v>1412</v>
      </c>
      <c r="B17" s="750" t="s">
        <v>601</v>
      </c>
      <c r="C17" s="51">
        <f ca="1">ROUND(F17*(F43+INDIRECT("'数据-取费表'!S"&amp;$G$1))/10000,0)</f>
        <v>39</v>
      </c>
      <c r="D17" s="750" t="s">
        <v>1280</v>
      </c>
      <c r="E17" s="750" t="s">
        <v>1281</v>
      </c>
      <c r="F17" s="54">
        <f>'数据-取费表'!B35</f>
        <v>200</v>
      </c>
      <c r="G17" s="3001"/>
      <c r="H17" s="1453" t="s">
        <v>1359</v>
      </c>
      <c r="I17" s="750" t="s">
        <v>604</v>
      </c>
      <c r="J17" s="2760">
        <f ca="1">ROUND(IF(AND(项目基本情况!B11="自然人",项目基本情况!B10="北京市"),J6*M17/(1+'数据-取费表'!C42),J18+J19+J20),2)</f>
        <v>0.14000000000000001</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855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17</v>
      </c>
      <c r="D20" s="777" t="s">
        <v>1288</v>
      </c>
      <c r="E20" s="750" t="s">
        <v>1276</v>
      </c>
      <c r="F20" s="775">
        <f>'数据-取费表'!B37</f>
        <v>0.02</v>
      </c>
      <c r="G20" s="3001"/>
      <c r="H20" s="1455" t="s">
        <v>1405</v>
      </c>
      <c r="I20" s="332" t="s">
        <v>1289</v>
      </c>
      <c r="J20" s="52">
        <f ca="1">ROUND(M20*M21/10000,2)</f>
        <v>0.14000000000000001</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921.55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11.25</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36</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1.4999999999999999E-2</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v>
      </c>
      <c r="K25" s="2165" t="s">
        <v>1306</v>
      </c>
      <c r="L25" s="2166"/>
      <c r="M25" s="2167"/>
    </row>
    <row r="26" spans="1:33" ht="18" customHeight="1">
      <c r="A26" s="1452" t="s">
        <v>1360</v>
      </c>
      <c r="B26" s="750" t="s">
        <v>1785</v>
      </c>
      <c r="C26" s="51">
        <f ca="1">ROUND((C19+C20)*F26,0)</f>
        <v>131</v>
      </c>
      <c r="D26" s="777" t="s">
        <v>1307</v>
      </c>
      <c r="E26" s="761" t="s">
        <v>1308</v>
      </c>
      <c r="F26" s="760">
        <f ca="1">INDIRECT("'数据-取费表'!q"&amp;$G$1)</f>
        <v>0.15</v>
      </c>
      <c r="G26" s="1785"/>
      <c r="H26" s="2148" t="s">
        <v>1309</v>
      </c>
      <c r="I26" s="1950" t="s">
        <v>2104</v>
      </c>
      <c r="J26" s="749">
        <f ca="1">IF(J5&lt;&gt;0,ROUND(J25*(1-((1+M28)/(1+M26))^M27)/(M26-M28),0),0)</f>
        <v>0</v>
      </c>
      <c r="K26" s="779" t="s">
        <v>1310</v>
      </c>
      <c r="L26" s="750" t="s">
        <v>1773</v>
      </c>
      <c r="M26" s="760">
        <f ca="1">INDIRECT("'数据-取费表'!I"&amp;$G$1)</f>
        <v>0.06</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1125</v>
      </c>
      <c r="D29" s="2162"/>
      <c r="E29" s="2163"/>
      <c r="F29" s="2164"/>
      <c r="G29" s="3001"/>
      <c r="H29" s="788" t="s">
        <v>1316</v>
      </c>
      <c r="I29" s="789" t="s">
        <v>1317</v>
      </c>
      <c r="J29" s="790">
        <f ca="1">ROUND(J26/(1+F40)^F41,0)</f>
        <v>0</v>
      </c>
      <c r="K29" s="791" t="s">
        <v>1318</v>
      </c>
      <c r="L29" s="792"/>
      <c r="M29" s="793">
        <f ca="1">INDIRECT("'数据-取费表'!k"&amp;$G$1)</f>
        <v>1860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46</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30.64</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9.59</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20.91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0.14000000000000001</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921.55</v>
      </c>
      <c r="G35" s="1785"/>
      <c r="H35" s="1788"/>
      <c r="I35" s="802" t="s">
        <v>1343</v>
      </c>
      <c r="J35" s="803">
        <f ca="1">ROUND(C13*J36,0)</f>
        <v>84</v>
      </c>
      <c r="K35" s="1801"/>
      <c r="L35" s="1800"/>
      <c r="M35" s="1800"/>
    </row>
    <row r="36" spans="1:18" ht="18" customHeight="1">
      <c r="A36" s="1453" t="s">
        <v>1414</v>
      </c>
      <c r="B36" s="750" t="s">
        <v>1331</v>
      </c>
      <c r="C36" s="51">
        <f ca="1">ROUND(C29*F36,2)</f>
        <v>11.25</v>
      </c>
      <c r="D36" s="1731" t="s">
        <v>1332</v>
      </c>
      <c r="E36" s="750" t="s">
        <v>1325</v>
      </c>
      <c r="F36" s="782">
        <f ca="1">INDIRECT("'数据-取费表'!Ak"&amp;$G$1)</f>
        <v>0.01</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1.69</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2.75</v>
      </c>
      <c r="D38" s="2162" t="s">
        <v>1334</v>
      </c>
      <c r="E38" s="2163" t="s">
        <v>1325</v>
      </c>
      <c r="F38" s="2159">
        <f ca="1">INDIRECT("'数据-取费表'!Am"&amp;$G$1)</f>
        <v>1.4999999999999999E-2</v>
      </c>
      <c r="G38" s="1785"/>
      <c r="H38" s="1800"/>
      <c r="I38" s="808" t="s">
        <v>1346</v>
      </c>
      <c r="J38" s="809"/>
      <c r="K38" s="1805"/>
      <c r="L38" s="1800"/>
      <c r="M38" s="1800"/>
    </row>
    <row r="39" spans="1:18" ht="24.6" customHeight="1" thickTop="1">
      <c r="A39" s="1615" t="s">
        <v>1419</v>
      </c>
      <c r="B39" s="2483" t="s">
        <v>2099</v>
      </c>
      <c r="C39" s="758">
        <f ca="1">C5-C30</f>
        <v>137</v>
      </c>
      <c r="D39" s="2165" t="s">
        <v>1335</v>
      </c>
      <c r="E39" s="2166"/>
      <c r="F39" s="2167"/>
      <c r="G39" s="1785"/>
      <c r="H39" s="1800"/>
      <c r="I39" s="802" t="s">
        <v>1347</v>
      </c>
      <c r="J39" s="810">
        <f ca="1">ROUND(J35/C39,3)</f>
        <v>0.61299999999999999</v>
      </c>
      <c r="K39" s="1805"/>
      <c r="L39" s="1800"/>
      <c r="M39" s="1800"/>
    </row>
    <row r="40" spans="1:18" ht="18" customHeight="1">
      <c r="A40" s="747" t="s">
        <v>1420</v>
      </c>
      <c r="B40" s="1950" t="s">
        <v>1658</v>
      </c>
      <c r="C40" s="749">
        <f ca="1">ROUND(C39*(1-((1+F42)/(1+F40))^F41)/(F40-F42),0)</f>
        <v>2032</v>
      </c>
      <c r="D40" s="779" t="s">
        <v>1336</v>
      </c>
      <c r="E40" s="750" t="s">
        <v>1773</v>
      </c>
      <c r="F40" s="760">
        <f ca="1">INDIRECT("'数据-取费表'!I"&amp;$G$1)</f>
        <v>0.06</v>
      </c>
      <c r="G40" s="1785"/>
      <c r="H40" s="1785"/>
      <c r="I40" s="802" t="s">
        <v>1348</v>
      </c>
      <c r="J40" s="810">
        <f ca="1">1-J39</f>
        <v>0.38700000000000001</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37.85</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0.55400000000000005</v>
      </c>
      <c r="K42" s="1804"/>
      <c r="L42" s="1740"/>
      <c r="M42" s="1740"/>
    </row>
    <row r="43" spans="1:18" ht="18" customHeight="1" thickBot="1">
      <c r="A43" s="788" t="s">
        <v>1316</v>
      </c>
      <c r="B43" s="789" t="s">
        <v>1339</v>
      </c>
      <c r="C43" s="790">
        <f ca="1">ROUND(C40*10000/F43,0)</f>
        <v>10925</v>
      </c>
      <c r="D43" s="791" t="s">
        <v>1340</v>
      </c>
      <c r="E43" s="792" t="s">
        <v>1341</v>
      </c>
      <c r="F43" s="793">
        <f ca="1">INDIRECT("'数据-取费表'!k"&amp;$G$1)</f>
        <v>1860</v>
      </c>
      <c r="G43" s="1785"/>
      <c r="H43" s="1740"/>
      <c r="I43" s="812" t="s">
        <v>1351</v>
      </c>
      <c r="J43" s="813">
        <f ca="1">1-J42</f>
        <v>0.44599999999999995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-2225</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39.85</v>
      </c>
      <c r="M48" s="3003"/>
      <c r="O48" s="2089" t="s">
        <v>1733</v>
      </c>
      <c r="P48" s="2090" t="s">
        <v>1759</v>
      </c>
      <c r="Q48" s="2091">
        <f ca="1">C40+J29</f>
        <v>2032</v>
      </c>
      <c r="R48" s="2090" t="s">
        <v>1734</v>
      </c>
    </row>
    <row r="49" spans="1:18" s="1782" customFormat="1" ht="18" customHeight="1" thickBot="1">
      <c r="A49" s="752"/>
      <c r="B49" s="753"/>
      <c r="C49" s="754"/>
      <c r="D49" s="755"/>
      <c r="E49" s="750" t="s">
        <v>1268</v>
      </c>
      <c r="F49" s="751">
        <f ca="1">F7</f>
        <v>1860</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1125</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918</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37.85</v>
      </c>
      <c r="K53" s="3974" t="s">
        <v>2226</v>
      </c>
      <c r="L53" s="3975"/>
      <c r="M53" s="3003"/>
      <c r="O53" s="2092" t="s">
        <v>1742</v>
      </c>
      <c r="P53" s="2090" t="s">
        <v>1743</v>
      </c>
      <c r="Q53" s="2091">
        <f ca="1">J53</f>
        <v>37.85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2032</v>
      </c>
      <c r="R54" s="2094" t="s">
        <v>1746</v>
      </c>
    </row>
    <row r="55" spans="1:18" s="1782" customFormat="1" ht="18" customHeight="1" thickTop="1" thickBot="1">
      <c r="A55" s="763">
        <v>2</v>
      </c>
      <c r="B55" s="764" t="s">
        <v>592</v>
      </c>
      <c r="C55" s="765">
        <f ca="1">C13</f>
        <v>1125</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1125</v>
      </c>
      <c r="D56" s="2244"/>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2032</v>
      </c>
      <c r="R57" s="2090" t="s">
        <v>1734</v>
      </c>
    </row>
    <row r="58" spans="1:18" s="1782" customFormat="1" ht="28.5" customHeight="1" thickBot="1">
      <c r="A58" s="1453" t="s">
        <v>1353</v>
      </c>
      <c r="B58" s="750" t="s">
        <v>604</v>
      </c>
      <c r="C58" s="2760">
        <f ca="1">ROUND(IF(AND(项目基本情况!B11="自然人",项目基本情况!B10="北京市"),C48*F58/(1+'数据-取费表'!C42),C59+C60+C61),2)</f>
        <v>0.14000000000000001</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0.14000000000000001</v>
      </c>
      <c r="D61" s="779" t="s">
        <v>616</v>
      </c>
      <c r="E61" s="750" t="s">
        <v>617</v>
      </c>
      <c r="F61" s="608">
        <f t="shared" si="0"/>
        <v>1.5</v>
      </c>
      <c r="K61" s="1808"/>
      <c r="O61" s="2092" t="s">
        <v>1740</v>
      </c>
      <c r="P61" s="2090" t="s">
        <v>1748</v>
      </c>
      <c r="Q61" s="2091" t="e">
        <f ca="1">L58</f>
        <v>#DIV/0!</v>
      </c>
      <c r="R61" s="2094" t="s">
        <v>1749</v>
      </c>
    </row>
    <row r="62" spans="1:18" s="1782" customFormat="1" ht="16.2" thickBot="1">
      <c r="A62" s="780"/>
      <c r="B62" s="759"/>
      <c r="C62" s="67"/>
      <c r="D62" s="781"/>
      <c r="E62" s="750" t="s">
        <v>621</v>
      </c>
      <c r="F62" s="751">
        <f t="shared" ca="1" si="0"/>
        <v>921.55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6.2" thickBot="1">
      <c r="A63" s="1453" t="s">
        <v>1414</v>
      </c>
      <c r="B63" s="750" t="s">
        <v>623</v>
      </c>
      <c r="C63" s="51">
        <f ca="1">ROUND(C56*F63,2)</f>
        <v>11.25</v>
      </c>
      <c r="D63" s="2244" t="s">
        <v>1332</v>
      </c>
      <c r="E63" s="750" t="s">
        <v>1276</v>
      </c>
      <c r="F63" s="782">
        <f t="shared" ca="1" si="0"/>
        <v>0.01</v>
      </c>
      <c r="I63" s="2577" t="s">
        <v>1724</v>
      </c>
      <c r="J63" s="2578">
        <v>70</v>
      </c>
      <c r="K63" s="2578">
        <v>50</v>
      </c>
      <c r="L63" s="2578">
        <v>80</v>
      </c>
      <c r="M63" s="2580">
        <v>0.02</v>
      </c>
      <c r="O63" s="2089" t="s">
        <v>1745</v>
      </c>
      <c r="P63" s="2090" t="s">
        <v>1762</v>
      </c>
      <c r="Q63" s="2091">
        <f ca="1">Q57+Q58</f>
        <v>2032</v>
      </c>
      <c r="R63" s="2094" t="s">
        <v>1746</v>
      </c>
    </row>
    <row r="64" spans="1:18" s="1782" customFormat="1" ht="16.2" thickBot="1">
      <c r="A64" s="1453" t="s">
        <v>1415</v>
      </c>
      <c r="B64" s="750" t="s">
        <v>626</v>
      </c>
      <c r="C64" s="51">
        <f ca="1">ROUND(C55*F64,2)</f>
        <v>1.69</v>
      </c>
      <c r="D64" s="2244"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6.2" thickBot="1">
      <c r="A65" s="1453" t="s">
        <v>1416</v>
      </c>
      <c r="B65" s="750" t="s">
        <v>613</v>
      </c>
      <c r="C65" s="51">
        <f ca="1">ROUND(C47*F65,2)</f>
        <v>0</v>
      </c>
      <c r="D65" s="2244" t="s">
        <v>630</v>
      </c>
      <c r="E65" s="750" t="s">
        <v>1276</v>
      </c>
      <c r="F65" s="760">
        <f t="shared" ca="1" si="0"/>
        <v>1.4999999999999999E-2</v>
      </c>
      <c r="I65" s="2577" t="s">
        <v>1726</v>
      </c>
      <c r="J65" s="2578">
        <v>40</v>
      </c>
      <c r="K65" s="2578">
        <v>30</v>
      </c>
      <c r="L65" s="2578">
        <v>50</v>
      </c>
      <c r="M65" s="2580">
        <v>0.02</v>
      </c>
      <c r="O65" s="2086" t="s">
        <v>1729</v>
      </c>
      <c r="P65" s="2087" t="s">
        <v>1730</v>
      </c>
      <c r="Q65" s="2088" t="s">
        <v>1731</v>
      </c>
      <c r="R65" s="2087" t="s">
        <v>1732</v>
      </c>
    </row>
    <row r="66" spans="1:18" s="1782" customFormat="1" ht="24.6" thickBot="1">
      <c r="A66" s="763" t="s">
        <v>1305</v>
      </c>
      <c r="B66" s="2484" t="s">
        <v>2099</v>
      </c>
      <c r="C66" s="765">
        <f ca="1">C47-C57</f>
        <v>-13</v>
      </c>
      <c r="D66" s="2243" t="s">
        <v>647</v>
      </c>
      <c r="E66" s="2242"/>
      <c r="F66" s="785"/>
      <c r="K66" s="1808"/>
      <c r="O66" s="2089" t="s">
        <v>1733</v>
      </c>
      <c r="P66" s="2090" t="s">
        <v>1763</v>
      </c>
      <c r="Q66" s="2091">
        <f ca="1">C40+J29</f>
        <v>2032</v>
      </c>
      <c r="R66" s="2090" t="s">
        <v>1734</v>
      </c>
    </row>
    <row r="67" spans="1:18" s="1782" customFormat="1" ht="19.2" thickBot="1">
      <c r="A67" s="747" t="s">
        <v>1309</v>
      </c>
      <c r="B67" s="1950" t="s">
        <v>1658</v>
      </c>
      <c r="C67" s="749">
        <f ca="1">ROUND(C66*(1-((1+F69)/(1+F67))^F68)/(F67-F69),0)</f>
        <v>-193</v>
      </c>
      <c r="D67" s="779" t="s">
        <v>651</v>
      </c>
      <c r="E67" s="750" t="s">
        <v>652</v>
      </c>
      <c r="F67" s="760">
        <f ca="1">F40</f>
        <v>0.06</v>
      </c>
      <c r="K67" s="1808"/>
      <c r="O67" s="2089" t="s">
        <v>1735</v>
      </c>
      <c r="P67" s="2090" t="s">
        <v>1766</v>
      </c>
      <c r="Q67" s="2091">
        <f ca="1">L60</f>
        <v>0</v>
      </c>
      <c r="R67" s="2094" t="s">
        <v>1768</v>
      </c>
    </row>
    <row r="68" spans="1:18" ht="20.399999999999999" thickBot="1">
      <c r="A68" s="752"/>
      <c r="B68" s="753"/>
      <c r="C68" s="754"/>
      <c r="D68" s="786" t="s">
        <v>1337</v>
      </c>
      <c r="E68" s="750" t="s">
        <v>1313</v>
      </c>
      <c r="F68" s="787">
        <f ca="1">F41</f>
        <v>37.85</v>
      </c>
      <c r="O68" s="2092" t="s">
        <v>1737</v>
      </c>
      <c r="P68" s="2090" t="s">
        <v>1767</v>
      </c>
      <c r="Q68" s="2096">
        <f ca="1">L51</f>
        <v>918</v>
      </c>
      <c r="R68" s="2097" t="s">
        <v>1770</v>
      </c>
    </row>
    <row r="69" spans="1:18" ht="19.2" thickBot="1">
      <c r="A69" s="756"/>
      <c r="B69" s="757"/>
      <c r="C69" s="758"/>
      <c r="D69" s="781"/>
      <c r="E69" s="750" t="s">
        <v>657</v>
      </c>
      <c r="F69" s="2064"/>
      <c r="O69" s="2092" t="s">
        <v>1738</v>
      </c>
      <c r="P69" s="2098" t="s">
        <v>1752</v>
      </c>
      <c r="Q69" s="2091">
        <f ca="1">ROUND(Q70-Q71*Q72,0)</f>
        <v>53</v>
      </c>
      <c r="R69" s="2094"/>
    </row>
    <row r="70" spans="1:18" ht="16.2" thickBot="1">
      <c r="A70" s="788" t="s">
        <v>1316</v>
      </c>
      <c r="B70" s="789" t="s">
        <v>1339</v>
      </c>
      <c r="C70" s="790">
        <f ca="1">ROUND(C67*10000/F70,0)</f>
        <v>-1038</v>
      </c>
      <c r="D70" s="791" t="s">
        <v>1340</v>
      </c>
      <c r="E70" s="792" t="s">
        <v>1341</v>
      </c>
      <c r="F70" s="793">
        <f ca="1">F43</f>
        <v>1860</v>
      </c>
      <c r="O70" s="2092" t="s">
        <v>1753</v>
      </c>
      <c r="P70" s="2098" t="s">
        <v>1754</v>
      </c>
      <c r="Q70" s="2091">
        <f ca="1">C39</f>
        <v>137</v>
      </c>
      <c r="R70" s="2090" t="s">
        <v>1734</v>
      </c>
    </row>
    <row r="71" spans="1:18" ht="16.2" thickBot="1">
      <c r="O71" s="2092" t="s">
        <v>1755</v>
      </c>
      <c r="P71" s="2098" t="s">
        <v>1756</v>
      </c>
      <c r="Q71" s="2091">
        <f ca="1">C13</f>
        <v>1125</v>
      </c>
      <c r="R71" s="2090" t="s">
        <v>1734</v>
      </c>
    </row>
    <row r="72" spans="1:18" ht="16.2" thickBot="1">
      <c r="O72" s="2092" t="s">
        <v>1757</v>
      </c>
      <c r="P72" s="2098" t="s">
        <v>1758</v>
      </c>
      <c r="Q72" s="2093">
        <f ca="1">J36</f>
        <v>7.4999999999999997E-2</v>
      </c>
      <c r="R72" s="2094"/>
    </row>
    <row r="73" spans="1:18" ht="16.2" thickBot="1">
      <c r="O73" s="2092" t="s">
        <v>1740</v>
      </c>
      <c r="P73" s="2090" t="s">
        <v>1747</v>
      </c>
      <c r="Q73" s="2093">
        <f>L52</f>
        <v>0</v>
      </c>
      <c r="R73" s="2094"/>
    </row>
    <row r="74" spans="1:18" ht="19.2" thickBot="1">
      <c r="O74" s="2092" t="s">
        <v>1742</v>
      </c>
      <c r="P74" s="2090" t="s">
        <v>1748</v>
      </c>
      <c r="Q74" s="2091" t="e">
        <f ca="1">L58</f>
        <v>#DIV/0!</v>
      </c>
      <c r="R74" s="2094" t="s">
        <v>1749</v>
      </c>
    </row>
    <row r="75" spans="1:18" ht="16.2" thickBot="1">
      <c r="O75" s="2092" t="s">
        <v>1771</v>
      </c>
      <c r="P75" s="2090" t="str">
        <f>K59</f>
        <v>建设期及建筑物耐用年限下的土地年期修正系数Kn</v>
      </c>
      <c r="Q75" s="2091" t="e">
        <f ca="1">L59</f>
        <v>#DIV/0!</v>
      </c>
      <c r="R75" s="2094" t="s">
        <v>1751</v>
      </c>
    </row>
    <row r="76" spans="1:18" ht="16.2" thickBot="1">
      <c r="O76" s="2089" t="s">
        <v>1745</v>
      </c>
      <c r="P76" s="2090" t="s">
        <v>1762</v>
      </c>
      <c r="Q76" s="2091">
        <f ca="1">Q66+Q67</f>
        <v>2032</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2" customHeight="1">
      <c r="A2" s="3068" t="s">
        <v>2301</v>
      </c>
      <c r="B2" s="3069" t="e">
        <f>C40</f>
        <v>#DIV/0!</v>
      </c>
      <c r="C2" s="3070" t="s">
        <v>2302</v>
      </c>
      <c r="D2" s="3070"/>
      <c r="E2" s="3071"/>
      <c r="F2" s="3072"/>
      <c r="G2" s="3073"/>
      <c r="H2" s="3074"/>
      <c r="I2" s="3075"/>
      <c r="J2" s="3976" t="s">
        <v>2303</v>
      </c>
      <c r="K2" s="3977"/>
      <c r="L2" s="3076" t="s">
        <v>2304</v>
      </c>
      <c r="M2" s="3076" t="s">
        <v>2305</v>
      </c>
      <c r="N2" s="3076" t="s">
        <v>2306</v>
      </c>
      <c r="O2" s="3076" t="s">
        <v>2307</v>
      </c>
      <c r="P2" s="3076" t="s">
        <v>2308</v>
      </c>
      <c r="Q2" s="3077" t="s">
        <v>2309</v>
      </c>
      <c r="R2" s="3078" t="s">
        <v>2310</v>
      </c>
      <c r="S2" s="3066"/>
      <c r="T2" s="3066"/>
      <c r="U2" s="3066"/>
      <c r="V2" s="3075"/>
    </row>
    <row r="3" spans="1:22" s="3079" customFormat="1" ht="13.2" customHeight="1">
      <c r="A3" s="3080" t="s">
        <v>2311</v>
      </c>
      <c r="B3" s="3081" t="e">
        <f>ROUND(B2*10000/B4,0)</f>
        <v>#DIV/0!</v>
      </c>
      <c r="C3" s="3070" t="s">
        <v>2312</v>
      </c>
      <c r="D3" s="3070"/>
      <c r="E3" s="3071"/>
      <c r="F3" s="3072"/>
      <c r="G3" s="3073"/>
      <c r="H3" s="3074"/>
      <c r="I3" s="3075"/>
      <c r="J3" s="3978" t="s">
        <v>2313</v>
      </c>
      <c r="K3" s="3979"/>
      <c r="L3" s="3082"/>
      <c r="M3" s="3082"/>
      <c r="N3" s="3082"/>
      <c r="O3" s="3082"/>
      <c r="P3" s="3082"/>
      <c r="Q3" s="3083"/>
      <c r="R3" s="3084">
        <f>SUM(L3:Q3)</f>
        <v>0</v>
      </c>
      <c r="S3" s="3066"/>
      <c r="T3" s="3066"/>
      <c r="U3" s="3066"/>
      <c r="V3" s="3075"/>
    </row>
    <row r="4" spans="1:22" s="3079" customFormat="1" ht="13.2" customHeight="1">
      <c r="A4" s="3085" t="s">
        <v>2314</v>
      </c>
      <c r="B4" s="3086"/>
      <c r="C4" s="3070"/>
      <c r="D4" s="3070"/>
      <c r="E4" s="3071"/>
      <c r="F4" s="3072"/>
      <c r="G4" s="3073"/>
      <c r="H4" s="3074"/>
      <c r="I4" s="3075"/>
      <c r="J4" s="3978" t="s">
        <v>2315</v>
      </c>
      <c r="K4" s="3979"/>
      <c r="L4" s="3087"/>
      <c r="M4" s="3087"/>
      <c r="N4" s="3087"/>
      <c r="O4" s="3087"/>
      <c r="P4" s="3087"/>
      <c r="Q4" s="3088"/>
      <c r="R4" s="3089">
        <f>SUM(L4:Q4)</f>
        <v>0</v>
      </c>
      <c r="S4" s="3066"/>
      <c r="T4" s="3066"/>
      <c r="U4" s="3066"/>
      <c r="V4" s="3075"/>
    </row>
    <row r="5" spans="1:22" s="3079" customFormat="1" ht="13.2"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2" customHeight="1" thickBot="1">
      <c r="A6" s="3980" t="s">
        <v>2319</v>
      </c>
      <c r="B6" s="3981"/>
      <c r="C6" s="3982"/>
      <c r="D6" s="3096"/>
      <c r="E6" s="3097"/>
      <c r="F6" s="3098"/>
      <c r="G6" s="3099"/>
      <c r="H6" s="3074"/>
      <c r="I6" s="3075"/>
      <c r="J6" s="3983">
        <v>1</v>
      </c>
      <c r="K6" s="3984"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2" customHeight="1">
      <c r="A7" s="3102" t="s">
        <v>2329</v>
      </c>
      <c r="B7" s="3103"/>
      <c r="C7" s="3104"/>
      <c r="D7" s="3105">
        <f>SUM(D9,D10,D11,D17,0)</f>
        <v>0</v>
      </c>
      <c r="E7" s="3106" t="e">
        <f>E9+E10+E11+E17</f>
        <v>#DIV/0!</v>
      </c>
      <c r="F7" s="3107"/>
      <c r="G7" s="3108"/>
      <c r="H7" s="3074"/>
      <c r="I7" s="3075"/>
      <c r="J7" s="3983"/>
      <c r="K7" s="3985"/>
      <c r="L7" s="3109" t="s">
        <v>2330</v>
      </c>
      <c r="M7" s="3110"/>
      <c r="N7" s="3086"/>
      <c r="O7" s="3111"/>
      <c r="P7" s="3111"/>
      <c r="Q7" s="3112">
        <v>365</v>
      </c>
      <c r="R7" s="3113">
        <f>ROUND(M7*N7*O7*P7*Q7/10000,0)</f>
        <v>0</v>
      </c>
      <c r="S7" s="3066"/>
      <c r="T7" s="3066" t="s">
        <v>2331</v>
      </c>
      <c r="U7" s="3066"/>
      <c r="V7" s="3075"/>
    </row>
    <row r="8" spans="1:22" s="3079" customFormat="1" ht="13.2" customHeight="1">
      <c r="A8" s="3114" t="s">
        <v>2332</v>
      </c>
      <c r="B8" s="3987" t="s">
        <v>2333</v>
      </c>
      <c r="C8" s="3988"/>
      <c r="D8" s="3115" t="s">
        <v>2334</v>
      </c>
      <c r="E8" s="3116" t="s">
        <v>2335</v>
      </c>
      <c r="F8" s="3117" t="s">
        <v>2336</v>
      </c>
      <c r="G8" s="3118"/>
      <c r="H8" s="3074"/>
      <c r="I8" s="3075"/>
      <c r="J8" s="3983"/>
      <c r="K8" s="3985"/>
      <c r="L8" s="3109" t="s">
        <v>2337</v>
      </c>
      <c r="M8" s="3110"/>
      <c r="N8" s="3086"/>
      <c r="O8" s="3111"/>
      <c r="P8" s="3111"/>
      <c r="Q8" s="3112">
        <v>365</v>
      </c>
      <c r="R8" s="3113">
        <f t="shared" ref="R8:R13" si="0">ROUND(M8*N8*O8*P8*Q8/10000,0)</f>
        <v>0</v>
      </c>
      <c r="S8" s="3066"/>
      <c r="T8" s="3066" t="s">
        <v>2338</v>
      </c>
      <c r="U8" s="3066"/>
      <c r="V8" s="3075"/>
    </row>
    <row r="9" spans="1:22" s="3079" customFormat="1" ht="13.2" customHeight="1">
      <c r="A9" s="3114">
        <v>1</v>
      </c>
      <c r="B9" s="3987" t="s">
        <v>2339</v>
      </c>
      <c r="C9" s="3988"/>
      <c r="D9" s="3115">
        <f>ROUND(D6*E9,0)</f>
        <v>0</v>
      </c>
      <c r="E9" s="3119"/>
      <c r="F9" s="3120" t="s">
        <v>2340</v>
      </c>
      <c r="G9" s="3099"/>
      <c r="H9" s="3074"/>
      <c r="I9" s="3075"/>
      <c r="J9" s="3983"/>
      <c r="K9" s="3985"/>
      <c r="L9" s="3109" t="s">
        <v>2341</v>
      </c>
      <c r="M9" s="3110"/>
      <c r="N9" s="3086"/>
      <c r="O9" s="3111"/>
      <c r="P9" s="3111"/>
      <c r="Q9" s="3112">
        <v>365</v>
      </c>
      <c r="R9" s="3113">
        <f t="shared" si="0"/>
        <v>0</v>
      </c>
      <c r="S9" s="3066"/>
      <c r="T9" s="3066"/>
      <c r="U9" s="3066"/>
      <c r="V9" s="3075"/>
    </row>
    <row r="10" spans="1:22" s="3079" customFormat="1" ht="13.2" customHeight="1">
      <c r="A10" s="3114">
        <v>2</v>
      </c>
      <c r="B10" s="3987" t="s">
        <v>2342</v>
      </c>
      <c r="C10" s="3988"/>
      <c r="D10" s="3115">
        <f>ROUND(D6*E10,0)</f>
        <v>0</v>
      </c>
      <c r="E10" s="3119"/>
      <c r="F10" s="3120" t="s">
        <v>2343</v>
      </c>
      <c r="G10" s="3099"/>
      <c r="H10" s="3074"/>
      <c r="I10" s="3075"/>
      <c r="J10" s="3983"/>
      <c r="K10" s="3985"/>
      <c r="L10" s="3109" t="s">
        <v>2344</v>
      </c>
      <c r="M10" s="3110"/>
      <c r="N10" s="3086"/>
      <c r="O10" s="3111"/>
      <c r="P10" s="3111"/>
      <c r="Q10" s="3112">
        <v>365</v>
      </c>
      <c r="R10" s="3113">
        <f t="shared" si="0"/>
        <v>0</v>
      </c>
      <c r="S10" s="3066"/>
      <c r="T10" s="3066"/>
      <c r="U10" s="3066"/>
      <c r="V10" s="3075"/>
    </row>
    <row r="11" spans="1:22" s="3079" customFormat="1" ht="13.2" customHeight="1">
      <c r="A11" s="3114">
        <v>3</v>
      </c>
      <c r="B11" s="3987" t="s">
        <v>2345</v>
      </c>
      <c r="C11" s="3988"/>
      <c r="D11" s="3115">
        <f>D12+D14+D15+D16</f>
        <v>0</v>
      </c>
      <c r="E11" s="3121" t="e">
        <f>D11/D6</f>
        <v>#DIV/0!</v>
      </c>
      <c r="F11" s="3117"/>
      <c r="G11" s="3118"/>
      <c r="H11" s="3074"/>
      <c r="I11" s="3075"/>
      <c r="J11" s="3983"/>
      <c r="K11" s="3985"/>
      <c r="L11" s="3109" t="s">
        <v>2346</v>
      </c>
      <c r="M11" s="3110"/>
      <c r="N11" s="3086"/>
      <c r="O11" s="3111"/>
      <c r="P11" s="3111"/>
      <c r="Q11" s="3112">
        <v>365</v>
      </c>
      <c r="R11" s="3113">
        <f t="shared" si="0"/>
        <v>0</v>
      </c>
      <c r="S11" s="3066"/>
      <c r="T11" s="3066"/>
      <c r="U11" s="3066"/>
      <c r="V11" s="3075"/>
    </row>
    <row r="12" spans="1:22" s="3079" customFormat="1" ht="13.2" customHeight="1">
      <c r="A12" s="3122" t="s">
        <v>2347</v>
      </c>
      <c r="B12" s="3989" t="s">
        <v>2348</v>
      </c>
      <c r="C12" s="3990"/>
      <c r="D12" s="3123">
        <f>ROUND(D13*1.2%*(1-30%),0)</f>
        <v>0</v>
      </c>
      <c r="E12" s="3124">
        <v>1.2E-2</v>
      </c>
      <c r="F12" s="3117" t="s">
        <v>2349</v>
      </c>
      <c r="G12" s="3118"/>
      <c r="H12" s="3074"/>
      <c r="I12" s="3075"/>
      <c r="J12" s="3983"/>
      <c r="K12" s="3985"/>
      <c r="L12" s="3109" t="s">
        <v>2350</v>
      </c>
      <c r="M12" s="3110"/>
      <c r="N12" s="3086"/>
      <c r="O12" s="3111"/>
      <c r="P12" s="3111"/>
      <c r="Q12" s="3112">
        <v>365</v>
      </c>
      <c r="R12" s="3113">
        <f t="shared" si="0"/>
        <v>0</v>
      </c>
      <c r="S12" s="3066"/>
      <c r="T12" s="3066"/>
      <c r="U12" s="3066"/>
      <c r="V12" s="3075"/>
    </row>
    <row r="13" spans="1:22" s="3079" customFormat="1" ht="13.2" customHeight="1">
      <c r="A13" s="3122"/>
      <c r="B13" s="3125"/>
      <c r="C13" s="3126" t="s">
        <v>2351</v>
      </c>
      <c r="D13" s="3127"/>
      <c r="E13" s="3128"/>
      <c r="F13" s="3117"/>
      <c r="G13" s="3118"/>
      <c r="H13" s="3074"/>
      <c r="I13" s="3075"/>
      <c r="J13" s="3983"/>
      <c r="K13" s="3985"/>
      <c r="L13" s="3109" t="s">
        <v>2352</v>
      </c>
      <c r="M13" s="3110"/>
      <c r="N13" s="3086"/>
      <c r="O13" s="3111"/>
      <c r="P13" s="3111"/>
      <c r="Q13" s="3112">
        <v>365</v>
      </c>
      <c r="R13" s="3113">
        <f t="shared" si="0"/>
        <v>0</v>
      </c>
      <c r="S13" s="3066"/>
      <c r="T13" s="3066"/>
      <c r="U13" s="3066"/>
      <c r="V13" s="3075"/>
    </row>
    <row r="14" spans="1:22" s="3079" customFormat="1" ht="13.2" customHeight="1">
      <c r="A14" s="3122" t="s">
        <v>2353</v>
      </c>
      <c r="B14" s="3989" t="s">
        <v>2354</v>
      </c>
      <c r="C14" s="3990"/>
      <c r="D14" s="3123">
        <f>ROUND(E14*B5/10000,0)</f>
        <v>0</v>
      </c>
      <c r="E14" s="3112"/>
      <c r="F14" s="3117" t="s">
        <v>2355</v>
      </c>
      <c r="G14" s="3118"/>
      <c r="H14" s="3074"/>
      <c r="I14" s="3075"/>
      <c r="J14" s="3983"/>
      <c r="K14" s="3986"/>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2357</v>
      </c>
      <c r="B15" s="3989" t="s">
        <v>2358</v>
      </c>
      <c r="C15" s="3990"/>
      <c r="D15" s="3123">
        <f>ROUND(D6*E15,0)</f>
        <v>0</v>
      </c>
      <c r="E15" s="3124">
        <v>5.5E-2</v>
      </c>
      <c r="F15" s="3117" t="s">
        <v>2359</v>
      </c>
      <c r="G15" s="3099"/>
      <c r="H15" s="3074"/>
      <c r="I15" s="3075"/>
      <c r="J15" s="3983">
        <v>2</v>
      </c>
      <c r="K15" s="3984"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2" customHeight="1">
      <c r="A16" s="3122" t="s">
        <v>2368</v>
      </c>
      <c r="B16" s="3989" t="s">
        <v>2369</v>
      </c>
      <c r="C16" s="3990"/>
      <c r="D16" s="3134">
        <f>D6*E16</f>
        <v>0</v>
      </c>
      <c r="E16" s="3135"/>
      <c r="F16" s="3120" t="s">
        <v>2370</v>
      </c>
      <c r="G16" s="3099"/>
      <c r="H16" s="3074"/>
      <c r="I16" s="3075"/>
      <c r="J16" s="3983"/>
      <c r="K16" s="3985"/>
      <c r="L16" s="3109" t="s">
        <v>2371</v>
      </c>
      <c r="M16" s="3110"/>
      <c r="N16" s="3110"/>
      <c r="O16" s="3111"/>
      <c r="P16" s="3112">
        <v>365</v>
      </c>
      <c r="Q16" s="3086"/>
      <c r="R16" s="3133">
        <f>ROUND(M16*N16*O16*P16/10000,0)</f>
        <v>0</v>
      </c>
      <c r="S16" s="3066"/>
      <c r="T16" s="3066"/>
      <c r="U16" s="3066"/>
      <c r="V16" s="3075"/>
    </row>
    <row r="17" spans="1:22" s="3079" customFormat="1" ht="13.2" customHeight="1" thickBot="1">
      <c r="A17" s="3136">
        <v>4</v>
      </c>
      <c r="B17" s="3991" t="s">
        <v>2372</v>
      </c>
      <c r="C17" s="3992"/>
      <c r="D17" s="3137">
        <f>ROUND(D6*E17,0)</f>
        <v>0</v>
      </c>
      <c r="E17" s="3138"/>
      <c r="F17" s="3139" t="s">
        <v>2373</v>
      </c>
      <c r="G17" s="3099"/>
      <c r="H17" s="3074"/>
      <c r="I17" s="3075"/>
      <c r="J17" s="3983"/>
      <c r="K17" s="3985"/>
      <c r="L17" s="3109" t="s">
        <v>2374</v>
      </c>
      <c r="M17" s="3110"/>
      <c r="N17" s="3110"/>
      <c r="O17" s="3111"/>
      <c r="P17" s="3112">
        <v>365</v>
      </c>
      <c r="Q17" s="3086"/>
      <c r="R17" s="3133">
        <f>ROUND(M17*N17*O17*P17/10000,0)</f>
        <v>0</v>
      </c>
      <c r="S17" s="3066"/>
      <c r="T17" s="3066"/>
      <c r="U17" s="3066"/>
      <c r="V17" s="3075"/>
    </row>
    <row r="18" spans="1:22" s="3079" customFormat="1" ht="13.2" customHeight="1" thickBot="1">
      <c r="A18" s="3102" t="s">
        <v>2375</v>
      </c>
      <c r="B18" s="3103"/>
      <c r="C18" s="3103"/>
      <c r="D18" s="3140">
        <f>ROUND(D6*E18,0)</f>
        <v>0</v>
      </c>
      <c r="E18" s="3141"/>
      <c r="F18" s="3142" t="s">
        <v>2376</v>
      </c>
      <c r="G18" s="3099"/>
      <c r="H18" s="3074"/>
      <c r="I18" s="3075"/>
      <c r="J18" s="3983"/>
      <c r="K18" s="3985"/>
      <c r="L18" s="3109" t="s">
        <v>2377</v>
      </c>
      <c r="M18" s="3110"/>
      <c r="N18" s="3110"/>
      <c r="O18" s="3111"/>
      <c r="P18" s="3112">
        <v>365</v>
      </c>
      <c r="Q18" s="3086"/>
      <c r="R18" s="3133">
        <f>ROUND(M18*N18*O18*P18/10000,0)</f>
        <v>0</v>
      </c>
      <c r="S18" s="3066"/>
      <c r="T18" s="3066"/>
      <c r="U18" s="3066"/>
      <c r="V18" s="3075"/>
    </row>
    <row r="19" spans="1:22" s="3079" customFormat="1" ht="13.2" customHeight="1" thickBot="1">
      <c r="A19" s="3143" t="s">
        <v>2378</v>
      </c>
      <c r="B19" s="3097"/>
      <c r="C19" s="3097"/>
      <c r="D19" s="3097"/>
      <c r="E19" s="3097"/>
      <c r="F19" s="3098"/>
      <c r="G19" s="3118"/>
      <c r="H19" s="3074"/>
      <c r="I19" s="3075"/>
      <c r="J19" s="3983"/>
      <c r="K19" s="3986"/>
      <c r="L19" s="3129" t="s">
        <v>2356</v>
      </c>
      <c r="M19" s="3130"/>
      <c r="N19" s="3130">
        <f>SUM(N16:N18)</f>
        <v>0</v>
      </c>
      <c r="O19" s="3131"/>
      <c r="P19" s="3144" t="s">
        <v>2444</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3983">
        <v>3</v>
      </c>
      <c r="K20" s="3984"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2" customHeight="1">
      <c r="A21" s="3102"/>
      <c r="B21" s="3103"/>
      <c r="C21" s="3149" t="s">
        <v>2386</v>
      </c>
      <c r="D21" s="3150" t="s">
        <v>2387</v>
      </c>
      <c r="E21" s="3151" t="s">
        <v>2388</v>
      </c>
      <c r="F21" s="3146"/>
      <c r="G21" s="3118"/>
      <c r="H21" s="3074"/>
      <c r="I21" s="3075"/>
      <c r="J21" s="3983"/>
      <c r="K21" s="3985"/>
      <c r="L21" s="3109" t="s">
        <v>2389</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2390</v>
      </c>
      <c r="D22" s="3154" t="s">
        <v>2391</v>
      </c>
      <c r="E22" s="3155" t="s">
        <v>2392</v>
      </c>
      <c r="F22" s="3146"/>
      <c r="G22" s="3156"/>
      <c r="H22" s="3074"/>
      <c r="I22" s="3075"/>
      <c r="J22" s="3983"/>
      <c r="K22" s="3985"/>
      <c r="L22" s="3109" t="s">
        <v>2393</v>
      </c>
      <c r="M22" s="3110"/>
      <c r="N22" s="3110"/>
      <c r="O22" s="3111"/>
      <c r="P22" s="3112">
        <v>365</v>
      </c>
      <c r="Q22" s="3086"/>
      <c r="R22" s="3152">
        <f>ROUND(M22*N22*O22*P22/10000,0)</f>
        <v>0</v>
      </c>
      <c r="S22" s="3148"/>
      <c r="T22" s="3148"/>
      <c r="U22" s="3148"/>
      <c r="V22" s="3075"/>
    </row>
    <row r="23" spans="1:22" s="3079" customFormat="1" ht="13.2" customHeight="1">
      <c r="A23" s="3157">
        <v>1</v>
      </c>
      <c r="B23" s="3158" t="s">
        <v>2394</v>
      </c>
      <c r="C23" s="3159">
        <f>D6</f>
        <v>0</v>
      </c>
      <c r="D23" s="3160">
        <f>C23*(1+D24)</f>
        <v>0</v>
      </c>
      <c r="E23" s="3161">
        <f>D23*(1+E24)</f>
        <v>0</v>
      </c>
      <c r="F23" s="3162"/>
      <c r="G23" s="3163"/>
      <c r="H23" s="3074"/>
      <c r="I23" s="3075"/>
      <c r="J23" s="3983"/>
      <c r="K23" s="3985"/>
      <c r="L23" s="3109" t="s">
        <v>2395</v>
      </c>
      <c r="M23" s="3110"/>
      <c r="N23" s="3110"/>
      <c r="O23" s="3111"/>
      <c r="P23" s="3112">
        <v>365</v>
      </c>
      <c r="Q23" s="3086"/>
      <c r="R23" s="3152">
        <f>ROUND(M23*N23*O23*P23/10000,0)</f>
        <v>0</v>
      </c>
      <c r="S23" s="3066"/>
      <c r="T23" s="3066"/>
      <c r="U23" s="3066"/>
      <c r="V23" s="3075"/>
    </row>
    <row r="24" spans="1:22" s="3079" customFormat="1" ht="13.2" customHeight="1">
      <c r="A24" s="3164"/>
      <c r="B24" s="3165" t="s">
        <v>2396</v>
      </c>
      <c r="C24" s="3166"/>
      <c r="D24" s="3167"/>
      <c r="E24" s="3168"/>
      <c r="F24" s="3169"/>
      <c r="G24" s="3163"/>
      <c r="H24" s="3074"/>
      <c r="I24" s="3075"/>
      <c r="J24" s="3983"/>
      <c r="K24" s="3986"/>
      <c r="L24" s="3129" t="s">
        <v>2356</v>
      </c>
      <c r="M24" s="3130">
        <f>SUM(M21:M23)</f>
        <v>0</v>
      </c>
      <c r="N24" s="3130"/>
      <c r="O24" s="3131"/>
      <c r="P24" s="3144" t="s">
        <v>2444</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2" customHeight="1">
      <c r="A26" s="3157">
        <v>2</v>
      </c>
      <c r="B26" s="3158" t="s">
        <v>2398</v>
      </c>
      <c r="C26" s="3159">
        <f>D7</f>
        <v>0</v>
      </c>
      <c r="D26" s="3160">
        <f>D23*D27</f>
        <v>0</v>
      </c>
      <c r="E26" s="3161">
        <f>E23*E27</f>
        <v>0</v>
      </c>
      <c r="F26" s="3162"/>
      <c r="G26" s="3163"/>
      <c r="H26" s="3074"/>
      <c r="I26" s="3075"/>
      <c r="J26" s="3993">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2" customHeight="1">
      <c r="A27" s="3164"/>
      <c r="B27" s="3165" t="s">
        <v>2405</v>
      </c>
      <c r="C27" s="3183" t="e">
        <f>E7</f>
        <v>#DIV/0!</v>
      </c>
      <c r="D27" s="3167"/>
      <c r="E27" s="3168"/>
      <c r="F27" s="3169"/>
      <c r="G27" s="3163"/>
      <c r="H27" s="3184"/>
      <c r="I27" s="3175"/>
      <c r="J27" s="3994"/>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2"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2" customHeight="1">
      <c r="A32" s="3157">
        <v>4</v>
      </c>
      <c r="B32" s="3158" t="s">
        <v>2414</v>
      </c>
      <c r="C32" s="3159">
        <f>C23-C26-C29</f>
        <v>0</v>
      </c>
      <c r="D32" s="3160">
        <f>D23-D26-D29</f>
        <v>0</v>
      </c>
      <c r="E32" s="3161">
        <f>E23-E26-E29</f>
        <v>0</v>
      </c>
      <c r="F32" s="3162"/>
      <c r="G32" s="3156"/>
      <c r="H32" s="3074"/>
      <c r="I32" s="3075"/>
      <c r="J32" s="3976" t="s">
        <v>2415</v>
      </c>
      <c r="K32" s="3977"/>
      <c r="L32" s="3076" t="s">
        <v>2416</v>
      </c>
      <c r="M32" s="3076" t="s">
        <v>2305</v>
      </c>
      <c r="N32" s="3076" t="s">
        <v>2306</v>
      </c>
      <c r="O32" s="3076" t="s">
        <v>2307</v>
      </c>
      <c r="P32" s="3076" t="s">
        <v>2308</v>
      </c>
      <c r="Q32" s="3077" t="s">
        <v>2417</v>
      </c>
      <c r="R32" s="3199" t="s">
        <v>2418</v>
      </c>
      <c r="S32" s="3148"/>
      <c r="T32" s="3066"/>
      <c r="U32" s="3066"/>
      <c r="V32" s="3175"/>
    </row>
    <row r="33" spans="1:23" s="3079" customFormat="1" ht="13.2" customHeight="1">
      <c r="A33" s="3157"/>
      <c r="B33" s="3158"/>
      <c r="C33" s="3159"/>
      <c r="D33" s="3200"/>
      <c r="E33" s="3201"/>
      <c r="F33" s="3162"/>
      <c r="G33" s="3156"/>
      <c r="H33" s="3184"/>
      <c r="I33" s="3175"/>
      <c r="J33" s="3978" t="s">
        <v>2419</v>
      </c>
      <c r="K33" s="3979"/>
      <c r="L33" s="3082"/>
      <c r="M33" s="3082"/>
      <c r="N33" s="3082"/>
      <c r="O33" s="3082"/>
      <c r="P33" s="3082"/>
      <c r="Q33" s="3083"/>
      <c r="R33" s="3202">
        <f>SUM(L33:Q33)</f>
        <v>0</v>
      </c>
      <c r="S33" s="3148"/>
      <c r="T33" s="3066"/>
      <c r="U33" s="3066"/>
      <c r="V33" s="3075"/>
    </row>
    <row r="34" spans="1:23" s="3079" customFormat="1" ht="13.2" customHeight="1">
      <c r="A34" s="3157">
        <v>5</v>
      </c>
      <c r="B34" s="3158" t="s">
        <v>2420</v>
      </c>
      <c r="C34" s="3203"/>
      <c r="D34" s="3204"/>
      <c r="E34" s="3205"/>
      <c r="F34" s="3162"/>
      <c r="G34" s="3156"/>
      <c r="H34" s="3184"/>
      <c r="I34" s="3175"/>
      <c r="J34" s="3978" t="s">
        <v>2421</v>
      </c>
      <c r="K34" s="3979"/>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2" customHeight="1" thickBot="1">
      <c r="A36" s="3157">
        <v>7</v>
      </c>
      <c r="B36" s="3212" t="s">
        <v>2425</v>
      </c>
      <c r="C36" s="3213"/>
      <c r="D36" s="3214"/>
      <c r="E36" s="3215"/>
      <c r="F36" s="3216">
        <f>C36+D36+E36</f>
        <v>0</v>
      </c>
      <c r="G36" s="3156"/>
      <c r="H36" s="3074"/>
      <c r="I36" s="3075"/>
      <c r="J36" s="3983">
        <v>1</v>
      </c>
      <c r="K36" s="3984" t="s">
        <v>2426</v>
      </c>
      <c r="L36" s="3100"/>
      <c r="M36" s="3101"/>
      <c r="N36" s="3101"/>
      <c r="O36" s="3101"/>
      <c r="P36" s="3101"/>
      <c r="Q36" s="3101"/>
      <c r="R36" s="3084" t="s">
        <v>2327</v>
      </c>
      <c r="S36" s="3148"/>
      <c r="T36" s="3066" t="s">
        <v>2328</v>
      </c>
      <c r="U36" s="3066"/>
      <c r="V36" s="3075"/>
    </row>
    <row r="37" spans="1:23" s="3079" customFormat="1" ht="13.2" customHeight="1">
      <c r="A37" s="3157"/>
      <c r="B37" s="3158"/>
      <c r="C37" s="3158"/>
      <c r="D37" s="3158"/>
      <c r="E37" s="3158"/>
      <c r="F37" s="3162"/>
      <c r="G37" s="3156"/>
      <c r="H37" s="3074"/>
      <c r="I37" s="3075"/>
      <c r="J37" s="3983"/>
      <c r="K37" s="3985"/>
      <c r="L37" s="3109"/>
      <c r="M37" s="3110"/>
      <c r="N37" s="3086"/>
      <c r="O37" s="3111"/>
      <c r="P37" s="3111"/>
      <c r="Q37" s="3112"/>
      <c r="R37" s="3113"/>
      <c r="S37" s="3148"/>
      <c r="T37" s="3066" t="s">
        <v>2331</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3983"/>
      <c r="K38" s="3985"/>
      <c r="L38" s="3109"/>
      <c r="M38" s="3110"/>
      <c r="N38" s="3086"/>
      <c r="O38" s="3111"/>
      <c r="P38" s="3111"/>
      <c r="Q38" s="3112"/>
      <c r="R38" s="3113"/>
      <c r="S38" s="3148"/>
      <c r="T38" s="3066" t="s">
        <v>2338</v>
      </c>
      <c r="U38" s="3066"/>
      <c r="V38" s="3075"/>
    </row>
    <row r="39" spans="1:23" s="3079" customFormat="1" ht="13.2" customHeight="1">
      <c r="A39" s="3157">
        <v>9</v>
      </c>
      <c r="B39" s="3158" t="s">
        <v>2427</v>
      </c>
      <c r="C39" s="3123" t="e">
        <f>C38</f>
        <v>#DIV/0!</v>
      </c>
      <c r="D39" s="3158">
        <f>D38/(1+D34)^C36</f>
        <v>0</v>
      </c>
      <c r="E39" s="3158">
        <f>E38/(1+E34)^(C36+D36)</f>
        <v>0</v>
      </c>
      <c r="F39" s="3162"/>
      <c r="G39" s="3217"/>
      <c r="H39" s="3074"/>
      <c r="I39" s="3075"/>
      <c r="J39" s="3983"/>
      <c r="K39" s="3985"/>
      <c r="L39" s="3109"/>
      <c r="M39" s="3110"/>
      <c r="N39" s="3086"/>
      <c r="O39" s="3111"/>
      <c r="P39" s="3111"/>
      <c r="Q39" s="3112"/>
      <c r="R39" s="3113"/>
      <c r="S39" s="3148"/>
      <c r="T39" s="3066"/>
      <c r="U39" s="3066"/>
      <c r="V39" s="3075"/>
    </row>
    <row r="40" spans="1:23" s="3079" customFormat="1" ht="13.2" customHeight="1">
      <c r="A40" s="3218">
        <v>10</v>
      </c>
      <c r="B40" s="3158" t="s">
        <v>2428</v>
      </c>
      <c r="C40" s="3219" t="e">
        <f>C39+D39+E39</f>
        <v>#DIV/0!</v>
      </c>
      <c r="D40" s="3220"/>
      <c r="E40" s="3220"/>
      <c r="F40" s="3221"/>
      <c r="G40" s="3156"/>
      <c r="H40" s="3074"/>
      <c r="I40" s="3075"/>
      <c r="J40" s="3983"/>
      <c r="K40" s="3986"/>
      <c r="L40" s="3129" t="s">
        <v>2429</v>
      </c>
      <c r="M40" s="3130"/>
      <c r="N40" s="3130"/>
      <c r="O40" s="3131"/>
      <c r="P40" s="3131"/>
      <c r="Q40" s="3132"/>
      <c r="R40" s="3078">
        <f>SUM(R37:R39)</f>
        <v>0</v>
      </c>
      <c r="S40" s="3148"/>
      <c r="T40" s="3066"/>
      <c r="U40" s="3066"/>
      <c r="V40" s="3075"/>
    </row>
    <row r="41" spans="1:23" s="3079" customFormat="1" ht="13.2"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2" customHeight="1">
      <c r="G42" s="3226"/>
      <c r="H42" s="3074"/>
      <c r="I42" s="3075"/>
      <c r="J42" s="3993">
        <v>3</v>
      </c>
      <c r="K42" s="3177" t="s">
        <v>2432</v>
      </c>
      <c r="L42" s="3178"/>
      <c r="M42" s="3179"/>
      <c r="N42" s="3180" t="s">
        <v>2433</v>
      </c>
      <c r="O42" s="3180" t="s">
        <v>2434</v>
      </c>
      <c r="P42" s="3181" t="s">
        <v>2435</v>
      </c>
      <c r="Q42" s="3181" t="s">
        <v>2436</v>
      </c>
      <c r="R42" s="3084" t="s">
        <v>2437</v>
      </c>
      <c r="S42" s="3182"/>
      <c r="T42" s="3182"/>
      <c r="U42" s="3066"/>
      <c r="V42" s="3075"/>
    </row>
    <row r="43" spans="1:23" ht="13.2" customHeight="1">
      <c r="A43" s="3079"/>
      <c r="B43" s="3079"/>
      <c r="C43" s="3079"/>
      <c r="D43" s="3079"/>
      <c r="E43" s="3079"/>
      <c r="F43" s="3079"/>
      <c r="I43" s="3061"/>
      <c r="J43" s="3994"/>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1">
        <f>'数据-汇总表'!E5</f>
        <v>109460.71999999999</v>
      </c>
      <c r="E12" s="3011">
        <f>'数据-取费表'!B27</f>
        <v>0</v>
      </c>
      <c r="F12" s="722"/>
      <c r="G12" s="725"/>
    </row>
    <row r="13" spans="1:25" s="1904" customFormat="1" ht="13.5" customHeight="1">
      <c r="A13" s="2124" t="s">
        <v>1793</v>
      </c>
      <c r="B13" s="723" t="s">
        <v>560</v>
      </c>
      <c r="C13" s="724">
        <f>ROUND(D13*E13/10000,0)</f>
        <v>0</v>
      </c>
      <c r="D13" s="3011">
        <f>'数据-汇总表'!E6</f>
        <v>37116.83</v>
      </c>
      <c r="E13" s="3011">
        <f>'数据-取费表'!B28</f>
        <v>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0.93</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2" t="s">
        <v>470</v>
      </c>
      <c r="B4" s="483"/>
      <c r="C4" s="3867" t="s">
        <v>471</v>
      </c>
      <c r="D4" s="3868"/>
      <c r="E4" s="3906" t="s">
        <v>472</v>
      </c>
      <c r="F4" s="3907"/>
      <c r="G4" s="3867" t="s">
        <v>473</v>
      </c>
      <c r="H4" s="3868"/>
      <c r="I4" s="3867" t="s">
        <v>474</v>
      </c>
      <c r="J4" s="3868"/>
      <c r="K4" s="484" t="s">
        <v>475</v>
      </c>
      <c r="L4" s="1855"/>
      <c r="M4" s="1856"/>
      <c r="N4" s="1856"/>
      <c r="O4" s="1856"/>
      <c r="P4" s="3869" t="s">
        <v>476</v>
      </c>
      <c r="Q4" s="3870"/>
      <c r="R4" s="3875" t="s">
        <v>472</v>
      </c>
      <c r="S4" s="3876"/>
      <c r="T4" s="3875" t="s">
        <v>473</v>
      </c>
      <c r="U4" s="3876"/>
      <c r="V4" s="3862" t="s">
        <v>474</v>
      </c>
      <c r="W4" s="3862"/>
      <c r="X4" s="1379"/>
      <c r="Y4" s="3875" t="s">
        <v>476</v>
      </c>
      <c r="Z4" s="3876"/>
      <c r="AA4" s="3864" t="s">
        <v>472</v>
      </c>
      <c r="AB4" s="3862" t="s">
        <v>473</v>
      </c>
      <c r="AC4" s="3864" t="s">
        <v>474</v>
      </c>
    </row>
    <row r="5" spans="1:29">
      <c r="A5" s="485"/>
      <c r="B5" s="486"/>
      <c r="C5" s="3883" t="s">
        <v>2192</v>
      </c>
      <c r="D5" s="3884"/>
      <c r="E5" s="3908" t="s">
        <v>2193</v>
      </c>
      <c r="F5" s="3909"/>
      <c r="G5" s="3883" t="s">
        <v>2194</v>
      </c>
      <c r="H5" s="3884"/>
      <c r="I5" s="3883" t="s">
        <v>2195</v>
      </c>
      <c r="J5" s="3884"/>
      <c r="K5" s="484"/>
      <c r="L5" s="1855"/>
      <c r="M5" s="1856"/>
      <c r="N5" s="1856"/>
      <c r="O5" s="1856"/>
      <c r="P5" s="3871"/>
      <c r="Q5" s="3872"/>
      <c r="R5" s="3877"/>
      <c r="S5" s="3878"/>
      <c r="T5" s="3877"/>
      <c r="U5" s="3878"/>
      <c r="V5" s="3862"/>
      <c r="W5" s="3862"/>
      <c r="X5" s="1379"/>
      <c r="Y5" s="3877"/>
      <c r="Z5" s="3878"/>
      <c r="AA5" s="3865"/>
      <c r="AB5" s="3862"/>
      <c r="AC5" s="3865"/>
    </row>
    <row r="6" spans="1:29" ht="15" thickBot="1">
      <c r="A6" s="487"/>
      <c r="B6" s="488"/>
      <c r="C6" s="3881" t="s">
        <v>2196</v>
      </c>
      <c r="D6" s="3882"/>
      <c r="E6" s="3904" t="s">
        <v>2196</v>
      </c>
      <c r="F6" s="3905"/>
      <c r="G6" s="3881" t="s">
        <v>2196</v>
      </c>
      <c r="H6" s="3882"/>
      <c r="I6" s="3881" t="s">
        <v>2196</v>
      </c>
      <c r="J6" s="3882"/>
      <c r="K6" s="484" t="s">
        <v>477</v>
      </c>
      <c r="L6" s="1855"/>
      <c r="M6" s="1856"/>
      <c r="N6" s="1856"/>
      <c r="O6" s="1856"/>
      <c r="P6" s="3873"/>
      <c r="Q6" s="3874"/>
      <c r="R6" s="3877"/>
      <c r="S6" s="3878"/>
      <c r="T6" s="3879"/>
      <c r="U6" s="3880"/>
      <c r="V6" s="3862"/>
      <c r="W6" s="3862"/>
      <c r="X6" s="1379"/>
      <c r="Y6" s="3879"/>
      <c r="Z6" s="3880"/>
      <c r="AA6" s="3866"/>
      <c r="AB6" s="3862"/>
      <c r="AC6" s="3866"/>
    </row>
    <row r="7" spans="1:29" s="1117" customFormat="1" ht="1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1" t="s">
        <v>479</v>
      </c>
      <c r="Q7" s="3893"/>
      <c r="R7" s="1380" t="s">
        <v>5</v>
      </c>
      <c r="S7" s="1381">
        <f t="shared" ref="S7:S15" si="0">F7</f>
        <v>0</v>
      </c>
      <c r="T7" s="1380" t="s">
        <v>5</v>
      </c>
      <c r="U7" s="1381">
        <f t="shared" ref="U7:U15" si="1">H7</f>
        <v>0</v>
      </c>
      <c r="V7" s="1380" t="s">
        <v>5</v>
      </c>
      <c r="W7" s="1381">
        <f t="shared" ref="W7:W15" si="2">J7</f>
        <v>0</v>
      </c>
      <c r="X7" s="1382"/>
      <c r="Y7" s="3891" t="s">
        <v>479</v>
      </c>
      <c r="Z7" s="3892"/>
      <c r="AA7" s="1383" t="e">
        <f>D7/F7</f>
        <v>#DIV/0!</v>
      </c>
      <c r="AB7" s="1383" t="e">
        <f>D7/H7</f>
        <v>#DIV/0!</v>
      </c>
      <c r="AC7" s="1383" t="e">
        <f>D7/J7</f>
        <v>#DIV/0!</v>
      </c>
    </row>
    <row r="8" spans="1:29" s="1117"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1" t="s">
        <v>482</v>
      </c>
      <c r="Q8" s="3892"/>
      <c r="R8" s="1380" t="s">
        <v>5</v>
      </c>
      <c r="S8" s="1381">
        <f t="shared" si="0"/>
        <v>0</v>
      </c>
      <c r="T8" s="1380" t="s">
        <v>5</v>
      </c>
      <c r="U8" s="1381">
        <f t="shared" si="1"/>
        <v>0</v>
      </c>
      <c r="V8" s="1380" t="s">
        <v>5</v>
      </c>
      <c r="W8" s="1381">
        <f t="shared" si="2"/>
        <v>0</v>
      </c>
      <c r="X8" s="1382"/>
      <c r="Y8" s="3891" t="s">
        <v>482</v>
      </c>
      <c r="Z8" s="3892"/>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1" t="s">
        <v>484</v>
      </c>
      <c r="Q9" s="1049" t="str">
        <f t="shared" ref="Q9:Q15" si="6">B9</f>
        <v>用途</v>
      </c>
      <c r="R9" s="1380" t="s">
        <v>5</v>
      </c>
      <c r="S9" s="1381">
        <f t="shared" si="0"/>
        <v>100</v>
      </c>
      <c r="T9" s="1380" t="s">
        <v>5</v>
      </c>
      <c r="U9" s="1381">
        <f t="shared" si="1"/>
        <v>100</v>
      </c>
      <c r="V9" s="1380" t="s">
        <v>5</v>
      </c>
      <c r="W9" s="1381">
        <f t="shared" si="2"/>
        <v>100</v>
      </c>
      <c r="X9" s="1382"/>
      <c r="Y9" s="3809"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61"/>
      <c r="Q10" s="1049" t="str">
        <f t="shared" si="6"/>
        <v>土地使用年限（年）</v>
      </c>
      <c r="R10" s="1380" t="s">
        <v>5</v>
      </c>
      <c r="S10" s="1381">
        <f t="shared" si="0"/>
        <v>100</v>
      </c>
      <c r="T10" s="1380" t="s">
        <v>5</v>
      </c>
      <c r="U10" s="1381">
        <f t="shared" si="1"/>
        <v>100</v>
      </c>
      <c r="V10" s="1380" t="s">
        <v>5</v>
      </c>
      <c r="W10" s="1381">
        <f t="shared" si="2"/>
        <v>100</v>
      </c>
      <c r="X10" s="1382"/>
      <c r="Y10" s="3809"/>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1"/>
      <c r="Q11" s="1049" t="str">
        <f t="shared" si="6"/>
        <v>容积率</v>
      </c>
      <c r="R11" s="1380" t="s">
        <v>5</v>
      </c>
      <c r="S11" s="1381" t="e">
        <f t="shared" si="0"/>
        <v>#N/A</v>
      </c>
      <c r="T11" s="1380" t="s">
        <v>5</v>
      </c>
      <c r="U11" s="1381" t="e">
        <f t="shared" si="1"/>
        <v>#N/A</v>
      </c>
      <c r="V11" s="1380" t="s">
        <v>5</v>
      </c>
      <c r="W11" s="1381" t="e">
        <f t="shared" si="2"/>
        <v>#N/A</v>
      </c>
      <c r="X11" s="1382"/>
      <c r="Y11" s="3809"/>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61"/>
      <c r="Q12" s="1049">
        <f t="shared" si="6"/>
        <v>111</v>
      </c>
      <c r="R12" s="1380" t="s">
        <v>5</v>
      </c>
      <c r="S12" s="1381">
        <f t="shared" si="0"/>
        <v>100</v>
      </c>
      <c r="T12" s="1380" t="s">
        <v>5</v>
      </c>
      <c r="U12" s="1381">
        <f t="shared" si="1"/>
        <v>100</v>
      </c>
      <c r="V12" s="1380" t="s">
        <v>5</v>
      </c>
      <c r="W12" s="1381">
        <f t="shared" si="2"/>
        <v>100</v>
      </c>
      <c r="X12" s="1382"/>
      <c r="Y12" s="3809"/>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61"/>
      <c r="Q13" s="1049">
        <f t="shared" si="6"/>
        <v>111</v>
      </c>
      <c r="R13" s="1380" t="s">
        <v>5</v>
      </c>
      <c r="S13" s="1381">
        <f t="shared" si="0"/>
        <v>100</v>
      </c>
      <c r="T13" s="1380" t="s">
        <v>5</v>
      </c>
      <c r="U13" s="1381">
        <f t="shared" si="1"/>
        <v>100</v>
      </c>
      <c r="V13" s="1380" t="s">
        <v>5</v>
      </c>
      <c r="W13" s="1381">
        <f t="shared" si="2"/>
        <v>100</v>
      </c>
      <c r="X13" s="1382"/>
      <c r="Y13" s="3809"/>
      <c r="Z13" s="1048">
        <f t="shared" si="7"/>
        <v>111</v>
      </c>
      <c r="AA13" s="1383">
        <f t="shared" si="3"/>
        <v>1</v>
      </c>
      <c r="AB13" s="1383">
        <f t="shared" si="4"/>
        <v>1</v>
      </c>
      <c r="AC13" s="1383">
        <f t="shared" si="5"/>
        <v>1</v>
      </c>
    </row>
    <row r="14" spans="1:29" ht="15.6"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61"/>
      <c r="Q14" s="1049">
        <f t="shared" si="6"/>
        <v>111</v>
      </c>
      <c r="R14" s="1380" t="s">
        <v>5</v>
      </c>
      <c r="S14" s="1381">
        <f t="shared" si="0"/>
        <v>100</v>
      </c>
      <c r="T14" s="1380" t="s">
        <v>5</v>
      </c>
      <c r="U14" s="1381">
        <f t="shared" si="1"/>
        <v>100</v>
      </c>
      <c r="V14" s="1380" t="s">
        <v>5</v>
      </c>
      <c r="W14" s="1381">
        <f t="shared" si="2"/>
        <v>100</v>
      </c>
      <c r="X14" s="1382"/>
      <c r="Y14" s="3809"/>
      <c r="Z14" s="1048">
        <f t="shared" si="7"/>
        <v>111</v>
      </c>
      <c r="AA14" s="1383">
        <f t="shared" si="3"/>
        <v>1</v>
      </c>
      <c r="AB14" s="1383">
        <f t="shared" si="4"/>
        <v>1</v>
      </c>
      <c r="AC14" s="1383">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94" t="s">
        <v>489</v>
      </c>
      <c r="Q15" s="1384" t="str">
        <f t="shared" si="6"/>
        <v>商业繁华度</v>
      </c>
      <c r="R15" s="1385" t="s">
        <v>5</v>
      </c>
      <c r="S15" s="1386">
        <f t="shared" si="0"/>
        <v>100</v>
      </c>
      <c r="T15" s="1385" t="s">
        <v>5</v>
      </c>
      <c r="U15" s="1386">
        <f t="shared" si="1"/>
        <v>100</v>
      </c>
      <c r="V15" s="1385" t="s">
        <v>5</v>
      </c>
      <c r="W15" s="1386">
        <f t="shared" si="2"/>
        <v>100</v>
      </c>
      <c r="X15" s="1379"/>
      <c r="Y15" s="3894"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5"/>
      <c r="Q16" s="1384"/>
      <c r="R16" s="1385"/>
      <c r="S16" s="1386"/>
      <c r="T16" s="1385"/>
      <c r="U16" s="1386"/>
      <c r="V16" s="1385"/>
      <c r="W16" s="1386"/>
      <c r="X16" s="1379"/>
      <c r="Y16" s="3895"/>
      <c r="Z16" s="1387"/>
      <c r="AA16" s="1388">
        <v>1</v>
      </c>
      <c r="AB16" s="1388">
        <v>1</v>
      </c>
      <c r="AC16" s="1388">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95"/>
      <c r="Q17" s="1384" t="str">
        <f>B17</f>
        <v>交通便捷度</v>
      </c>
      <c r="R17" s="1385" t="s">
        <v>5</v>
      </c>
      <c r="S17" s="1386">
        <f>F17</f>
        <v>100</v>
      </c>
      <c r="T17" s="1385" t="s">
        <v>5</v>
      </c>
      <c r="U17" s="1386">
        <f>H17</f>
        <v>100</v>
      </c>
      <c r="V17" s="1385" t="s">
        <v>5</v>
      </c>
      <c r="W17" s="1386">
        <f>J17</f>
        <v>100</v>
      </c>
      <c r="X17" s="1379"/>
      <c r="Y17" s="3895"/>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5"/>
      <c r="Q18" s="1384"/>
      <c r="R18" s="1385"/>
      <c r="S18" s="1386"/>
      <c r="T18" s="1385"/>
      <c r="U18" s="1386"/>
      <c r="V18" s="1385"/>
      <c r="W18" s="1386"/>
      <c r="X18" s="1379"/>
      <c r="Y18" s="3895"/>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95"/>
      <c r="Q19" s="1384" t="str">
        <f>B19</f>
        <v>公共配套设施</v>
      </c>
      <c r="R19" s="1385" t="s">
        <v>5</v>
      </c>
      <c r="S19" s="1386">
        <f>F19</f>
        <v>100</v>
      </c>
      <c r="T19" s="1385" t="s">
        <v>5</v>
      </c>
      <c r="U19" s="1386">
        <f>H19</f>
        <v>100</v>
      </c>
      <c r="V19" s="1385" t="s">
        <v>5</v>
      </c>
      <c r="W19" s="1386">
        <f>J19</f>
        <v>100</v>
      </c>
      <c r="X19" s="1379"/>
      <c r="Y19" s="3895"/>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95"/>
      <c r="Q20" s="1384"/>
      <c r="R20" s="1385"/>
      <c r="S20" s="1386"/>
      <c r="T20" s="1385"/>
      <c r="U20" s="1386"/>
      <c r="V20" s="1385"/>
      <c r="W20" s="1386"/>
      <c r="X20" s="1379"/>
      <c r="Y20" s="3895"/>
      <c r="Z20" s="1387"/>
      <c r="AA20" s="1388">
        <v>1</v>
      </c>
      <c r="AB20" s="1388">
        <v>1</v>
      </c>
      <c r="AC20" s="1388">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95"/>
      <c r="Q21" s="2192" t="str">
        <f>B21</f>
        <v>基础设施水平</v>
      </c>
      <c r="R21" s="1385" t="s">
        <v>5</v>
      </c>
      <c r="S21" s="1386">
        <f>F21</f>
        <v>100</v>
      </c>
      <c r="T21" s="1385" t="s">
        <v>5</v>
      </c>
      <c r="U21" s="1386">
        <f>H21</f>
        <v>100</v>
      </c>
      <c r="V21" s="1385" t="s">
        <v>5</v>
      </c>
      <c r="W21" s="1386">
        <f>J21</f>
        <v>100</v>
      </c>
      <c r="X21" s="2194"/>
      <c r="Y21" s="3895"/>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95"/>
      <c r="Q22" s="2192"/>
      <c r="R22" s="1385"/>
      <c r="S22" s="1386"/>
      <c r="T22" s="1385"/>
      <c r="U22" s="1386"/>
      <c r="V22" s="1385"/>
      <c r="W22" s="1386"/>
      <c r="X22" s="2194"/>
      <c r="Y22" s="3895"/>
      <c r="Z22" s="2193"/>
      <c r="AA22" s="1388">
        <v>1</v>
      </c>
      <c r="AB22" s="1388">
        <v>1</v>
      </c>
      <c r="AC22" s="1388">
        <v>1</v>
      </c>
    </row>
    <row r="23" spans="1:29" ht="55.2">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95"/>
      <c r="Q23" s="1384" t="str">
        <f>B23</f>
        <v>自然及人文环境</v>
      </c>
      <c r="R23" s="1385" t="s">
        <v>5</v>
      </c>
      <c r="S23" s="1386">
        <f>F23</f>
        <v>100</v>
      </c>
      <c r="T23" s="1385" t="s">
        <v>5</v>
      </c>
      <c r="U23" s="1386">
        <f>H23</f>
        <v>100</v>
      </c>
      <c r="V23" s="1385" t="s">
        <v>5</v>
      </c>
      <c r="W23" s="1386">
        <f>J23</f>
        <v>100</v>
      </c>
      <c r="X23" s="1379"/>
      <c r="Y23" s="3895"/>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95"/>
      <c r="Q24" s="1384"/>
      <c r="R24" s="1385"/>
      <c r="S24" s="1386"/>
      <c r="T24" s="1385"/>
      <c r="U24" s="1386"/>
      <c r="V24" s="1385"/>
      <c r="W24" s="1386"/>
      <c r="X24" s="1379"/>
      <c r="Y24" s="3895"/>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95"/>
      <c r="Q25" s="1384" t="str">
        <f t="shared" ref="Q25:Q46" si="8">B25</f>
        <v>临街状况</v>
      </c>
      <c r="R25" s="1385" t="s">
        <v>5</v>
      </c>
      <c r="S25" s="1386">
        <f>F25</f>
        <v>100</v>
      </c>
      <c r="T25" s="1385" t="s">
        <v>5</v>
      </c>
      <c r="U25" s="1386">
        <f>H25</f>
        <v>100</v>
      </c>
      <c r="V25" s="1385" t="s">
        <v>5</v>
      </c>
      <c r="W25" s="1386">
        <f>J25</f>
        <v>100</v>
      </c>
      <c r="X25" s="1379"/>
      <c r="Y25" s="3895"/>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95"/>
      <c r="Q26" s="1384" t="str">
        <f t="shared" si="8"/>
        <v>平面位置/可视性</v>
      </c>
      <c r="R26" s="1385" t="s">
        <v>5</v>
      </c>
      <c r="S26" s="1386">
        <f>F26</f>
        <v>100</v>
      </c>
      <c r="T26" s="1385" t="s">
        <v>5</v>
      </c>
      <c r="U26" s="1386">
        <f>H26</f>
        <v>100</v>
      </c>
      <c r="V26" s="1385" t="s">
        <v>5</v>
      </c>
      <c r="W26" s="1386">
        <f>J26</f>
        <v>100</v>
      </c>
      <c r="X26" s="1379"/>
      <c r="Y26" s="3895"/>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95"/>
      <c r="Q27" s="1049" t="str">
        <f t="shared" si="8"/>
        <v>人流量</v>
      </c>
      <c r="R27" s="1380" t="s">
        <v>5</v>
      </c>
      <c r="S27" s="1381">
        <f>F27</f>
        <v>100</v>
      </c>
      <c r="T27" s="1380" t="s">
        <v>5</v>
      </c>
      <c r="U27" s="1381">
        <f>H27</f>
        <v>100</v>
      </c>
      <c r="V27" s="1380" t="s">
        <v>5</v>
      </c>
      <c r="W27" s="1381">
        <f>J27</f>
        <v>100</v>
      </c>
      <c r="X27" s="1382"/>
      <c r="Y27" s="3895"/>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95"/>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95"/>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95"/>
      <c r="Q29" s="1384">
        <f t="shared" si="8"/>
        <v>111</v>
      </c>
      <c r="R29" s="1385" t="s">
        <v>5</v>
      </c>
      <c r="S29" s="1386">
        <f t="shared" si="9"/>
        <v>100</v>
      </c>
      <c r="T29" s="1385" t="s">
        <v>5</v>
      </c>
      <c r="U29" s="1386">
        <f t="shared" si="10"/>
        <v>100</v>
      </c>
      <c r="V29" s="1385" t="s">
        <v>5</v>
      </c>
      <c r="W29" s="1386">
        <f t="shared" si="11"/>
        <v>100</v>
      </c>
      <c r="X29" s="1379"/>
      <c r="Y29" s="3895"/>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95"/>
      <c r="Q30" s="1384">
        <f t="shared" si="8"/>
        <v>111</v>
      </c>
      <c r="R30" s="1385" t="s">
        <v>5</v>
      </c>
      <c r="S30" s="1386">
        <f t="shared" si="9"/>
        <v>100</v>
      </c>
      <c r="T30" s="1385" t="s">
        <v>5</v>
      </c>
      <c r="U30" s="1386">
        <f t="shared" si="10"/>
        <v>100</v>
      </c>
      <c r="V30" s="1385" t="s">
        <v>5</v>
      </c>
      <c r="W30" s="1386">
        <f t="shared" si="11"/>
        <v>100</v>
      </c>
      <c r="X30" s="1379"/>
      <c r="Y30" s="3895"/>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95"/>
      <c r="Q31" s="1384">
        <f t="shared" si="8"/>
        <v>111</v>
      </c>
      <c r="R31" s="1385" t="s">
        <v>5</v>
      </c>
      <c r="S31" s="1386">
        <f t="shared" si="9"/>
        <v>100</v>
      </c>
      <c r="T31" s="1385" t="s">
        <v>5</v>
      </c>
      <c r="U31" s="1386">
        <f t="shared" si="10"/>
        <v>100</v>
      </c>
      <c r="V31" s="1385" t="s">
        <v>5</v>
      </c>
      <c r="W31" s="1386">
        <f t="shared" si="11"/>
        <v>100</v>
      </c>
      <c r="X31" s="1379"/>
      <c r="Y31" s="3895"/>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96" t="s">
        <v>499</v>
      </c>
      <c r="Q32" s="1384" t="str">
        <f t="shared" si="8"/>
        <v>商业类型</v>
      </c>
      <c r="R32" s="1385" t="s">
        <v>5</v>
      </c>
      <c r="S32" s="1386">
        <f t="shared" si="9"/>
        <v>100</v>
      </c>
      <c r="T32" s="1385" t="s">
        <v>5</v>
      </c>
      <c r="U32" s="1386">
        <f t="shared" si="10"/>
        <v>100</v>
      </c>
      <c r="V32" s="1385" t="s">
        <v>5</v>
      </c>
      <c r="W32" s="1386">
        <f t="shared" si="11"/>
        <v>100</v>
      </c>
      <c r="X32" s="1379"/>
      <c r="Y32" s="3897"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97"/>
      <c r="Q33" s="1413" t="str">
        <f t="shared" si="8"/>
        <v>项目建筑规模</v>
      </c>
      <c r="R33" s="1389" t="s">
        <v>5</v>
      </c>
      <c r="S33" s="1390" t="e">
        <f t="shared" si="9"/>
        <v>#N/A</v>
      </c>
      <c r="T33" s="1389" t="s">
        <v>5</v>
      </c>
      <c r="U33" s="1390" t="e">
        <f t="shared" si="10"/>
        <v>#N/A</v>
      </c>
      <c r="V33" s="1389" t="s">
        <v>5</v>
      </c>
      <c r="W33" s="1390" t="e">
        <f t="shared" si="11"/>
        <v>#N/A</v>
      </c>
      <c r="X33" s="1391"/>
      <c r="Y33" s="3897"/>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97"/>
      <c r="Q34" s="1384" t="str">
        <f t="shared" si="8"/>
        <v>建筑结构</v>
      </c>
      <c r="R34" s="1385" t="s">
        <v>5</v>
      </c>
      <c r="S34" s="1386">
        <f t="shared" si="9"/>
        <v>100</v>
      </c>
      <c r="T34" s="1385" t="s">
        <v>5</v>
      </c>
      <c r="U34" s="1386">
        <f t="shared" si="10"/>
        <v>100</v>
      </c>
      <c r="V34" s="1385" t="s">
        <v>5</v>
      </c>
      <c r="W34" s="1386">
        <f t="shared" si="11"/>
        <v>100</v>
      </c>
      <c r="X34" s="1379"/>
      <c r="Y34" s="3897"/>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97"/>
      <c r="Q35" s="1384" t="str">
        <f t="shared" si="8"/>
        <v>公共部分装修</v>
      </c>
      <c r="R35" s="1385" t="s">
        <v>5</v>
      </c>
      <c r="S35" s="1386">
        <f t="shared" si="9"/>
        <v>100</v>
      </c>
      <c r="T35" s="1385" t="s">
        <v>5</v>
      </c>
      <c r="U35" s="1386">
        <f t="shared" si="10"/>
        <v>100</v>
      </c>
      <c r="V35" s="1385" t="s">
        <v>5</v>
      </c>
      <c r="W35" s="1386">
        <f t="shared" si="11"/>
        <v>100</v>
      </c>
      <c r="X35" s="1379"/>
      <c r="Y35" s="3897"/>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97"/>
      <c r="Q36" s="1384" t="str">
        <f t="shared" si="8"/>
        <v>成新度</v>
      </c>
      <c r="R36" s="1385" t="s">
        <v>5</v>
      </c>
      <c r="S36" s="1386" t="e">
        <f t="shared" si="9"/>
        <v>#N/A</v>
      </c>
      <c r="T36" s="1385" t="s">
        <v>5</v>
      </c>
      <c r="U36" s="1386" t="e">
        <f t="shared" si="10"/>
        <v>#N/A</v>
      </c>
      <c r="V36" s="1385" t="s">
        <v>5</v>
      </c>
      <c r="W36" s="1386" t="e">
        <f t="shared" si="11"/>
        <v>#N/A</v>
      </c>
      <c r="X36" s="1379"/>
      <c r="Y36" s="3897"/>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97"/>
      <c r="Q37" s="1049" t="str">
        <f t="shared" si="8"/>
        <v>市政基础设施</v>
      </c>
      <c r="R37" s="1380" t="s">
        <v>5</v>
      </c>
      <c r="S37" s="1381">
        <f t="shared" si="9"/>
        <v>100</v>
      </c>
      <c r="T37" s="1380" t="s">
        <v>5</v>
      </c>
      <c r="U37" s="1381">
        <f t="shared" si="10"/>
        <v>100</v>
      </c>
      <c r="V37" s="1380" t="s">
        <v>5</v>
      </c>
      <c r="W37" s="1381">
        <f t="shared" si="11"/>
        <v>100</v>
      </c>
      <c r="X37" s="1382"/>
      <c r="Y37" s="3897"/>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97" t="s">
        <v>706</v>
      </c>
      <c r="Q38" s="1384" t="str">
        <f t="shared" si="8"/>
        <v>业态</v>
      </c>
      <c r="R38" s="1385" t="s">
        <v>5</v>
      </c>
      <c r="S38" s="1386">
        <f t="shared" si="9"/>
        <v>100</v>
      </c>
      <c r="T38" s="1385" t="s">
        <v>5</v>
      </c>
      <c r="U38" s="1386">
        <f t="shared" si="10"/>
        <v>100</v>
      </c>
      <c r="V38" s="1385" t="s">
        <v>5</v>
      </c>
      <c r="W38" s="1386">
        <f t="shared" si="11"/>
        <v>100</v>
      </c>
      <c r="X38" s="1379"/>
      <c r="Y38" s="3897"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97"/>
      <c r="Q39" s="1384" t="str">
        <f t="shared" si="8"/>
        <v>层高</v>
      </c>
      <c r="R39" s="1385" t="s">
        <v>5</v>
      </c>
      <c r="S39" s="1386">
        <f t="shared" si="9"/>
        <v>100</v>
      </c>
      <c r="T39" s="1385" t="s">
        <v>5</v>
      </c>
      <c r="U39" s="1386">
        <f t="shared" si="10"/>
        <v>100</v>
      </c>
      <c r="V39" s="1385" t="s">
        <v>5</v>
      </c>
      <c r="W39" s="1386">
        <f t="shared" si="11"/>
        <v>100</v>
      </c>
      <c r="X39" s="1379"/>
      <c r="Y39" s="3897"/>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97"/>
      <c r="Q40" s="1384" t="str">
        <f t="shared" si="8"/>
        <v>单套建筑面积</v>
      </c>
      <c r="R40" s="1385" t="s">
        <v>5</v>
      </c>
      <c r="S40" s="1386">
        <f t="shared" si="9"/>
        <v>100</v>
      </c>
      <c r="T40" s="1385" t="s">
        <v>5</v>
      </c>
      <c r="U40" s="1386">
        <f t="shared" si="10"/>
        <v>100</v>
      </c>
      <c r="V40" s="1385" t="s">
        <v>5</v>
      </c>
      <c r="W40" s="1386">
        <f t="shared" si="11"/>
        <v>100</v>
      </c>
      <c r="X40" s="1379"/>
      <c r="Y40" s="3897"/>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97"/>
      <c r="Q41" s="1413" t="str">
        <f t="shared" si="8"/>
        <v>进深比</v>
      </c>
      <c r="R41" s="1389" t="s">
        <v>5</v>
      </c>
      <c r="S41" s="1390">
        <f t="shared" si="9"/>
        <v>100</v>
      </c>
      <c r="T41" s="1389" t="s">
        <v>5</v>
      </c>
      <c r="U41" s="1390">
        <f t="shared" si="10"/>
        <v>100</v>
      </c>
      <c r="V41" s="1389" t="s">
        <v>5</v>
      </c>
      <c r="W41" s="1390">
        <f t="shared" si="11"/>
        <v>100</v>
      </c>
      <c r="X41" s="1391"/>
      <c r="Y41" s="3897"/>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97"/>
      <c r="Q42" s="1384" t="str">
        <f t="shared" si="8"/>
        <v>内部装修</v>
      </c>
      <c r="R42" s="1385" t="s">
        <v>5</v>
      </c>
      <c r="S42" s="1386">
        <f t="shared" si="9"/>
        <v>100</v>
      </c>
      <c r="T42" s="1385" t="s">
        <v>5</v>
      </c>
      <c r="U42" s="1386">
        <f t="shared" si="10"/>
        <v>100</v>
      </c>
      <c r="V42" s="1385" t="s">
        <v>5</v>
      </c>
      <c r="W42" s="1386">
        <f t="shared" si="11"/>
        <v>100</v>
      </c>
      <c r="X42" s="1379"/>
      <c r="Y42" s="3897"/>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97"/>
      <c r="Q43" s="1384" t="str">
        <f t="shared" si="8"/>
        <v>内部装修维护情况</v>
      </c>
      <c r="R43" s="1385" t="s">
        <v>5</v>
      </c>
      <c r="S43" s="1386">
        <f t="shared" si="9"/>
        <v>100</v>
      </c>
      <c r="T43" s="1385" t="s">
        <v>5</v>
      </c>
      <c r="U43" s="1386">
        <f t="shared" si="10"/>
        <v>100</v>
      </c>
      <c r="V43" s="1385" t="s">
        <v>5</v>
      </c>
      <c r="W43" s="1386">
        <f t="shared" si="11"/>
        <v>100</v>
      </c>
      <c r="X43" s="1379"/>
      <c r="Y43" s="3897"/>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97"/>
      <c r="Q44" s="1049">
        <f t="shared" si="8"/>
        <v>111</v>
      </c>
      <c r="R44" s="1380" t="s">
        <v>5</v>
      </c>
      <c r="S44" s="1381">
        <f t="shared" si="9"/>
        <v>100</v>
      </c>
      <c r="T44" s="1380" t="s">
        <v>5</v>
      </c>
      <c r="U44" s="1381">
        <f t="shared" si="10"/>
        <v>100</v>
      </c>
      <c r="V44" s="1380" t="s">
        <v>5</v>
      </c>
      <c r="W44" s="1381">
        <f t="shared" si="11"/>
        <v>100</v>
      </c>
      <c r="X44" s="1382"/>
      <c r="Y44" s="3897"/>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97"/>
      <c r="Q45" s="1384">
        <f t="shared" si="8"/>
        <v>111</v>
      </c>
      <c r="R45" s="1385" t="s">
        <v>5</v>
      </c>
      <c r="S45" s="1386">
        <f t="shared" si="9"/>
        <v>100</v>
      </c>
      <c r="T45" s="1385" t="s">
        <v>5</v>
      </c>
      <c r="U45" s="1386">
        <f t="shared" si="10"/>
        <v>100</v>
      </c>
      <c r="V45" s="1385" t="s">
        <v>5</v>
      </c>
      <c r="W45" s="1386">
        <f t="shared" si="11"/>
        <v>100</v>
      </c>
      <c r="X45" s="1379"/>
      <c r="Y45" s="3897"/>
      <c r="Z45" s="1387">
        <f t="shared" si="12"/>
        <v>111</v>
      </c>
      <c r="AA45" s="1388">
        <f t="shared" si="3"/>
        <v>1</v>
      </c>
      <c r="AB45" s="1388">
        <f t="shared" si="4"/>
        <v>1</v>
      </c>
      <c r="AC45" s="1388">
        <f t="shared" si="5"/>
        <v>1</v>
      </c>
    </row>
    <row r="46" spans="1:29" ht="15.6"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1"/>
      <c r="Q46" s="1384">
        <f t="shared" si="8"/>
        <v>111</v>
      </c>
      <c r="R46" s="1385" t="s">
        <v>5</v>
      </c>
      <c r="S46" s="1386">
        <f t="shared" si="9"/>
        <v>100</v>
      </c>
      <c r="T46" s="1385" t="s">
        <v>5</v>
      </c>
      <c r="U46" s="1386">
        <f t="shared" si="10"/>
        <v>100</v>
      </c>
      <c r="V46" s="1385" t="s">
        <v>5</v>
      </c>
      <c r="W46" s="1386">
        <f t="shared" si="11"/>
        <v>100</v>
      </c>
      <c r="X46" s="1379"/>
      <c r="Y46" s="3971"/>
      <c r="Z46" s="1387">
        <f t="shared" si="12"/>
        <v>111</v>
      </c>
      <c r="AA46" s="1388">
        <f t="shared" si="3"/>
        <v>1</v>
      </c>
      <c r="AB46" s="1388">
        <f t="shared" si="4"/>
        <v>1</v>
      </c>
      <c r="AC46" s="1388">
        <f t="shared" si="5"/>
        <v>1</v>
      </c>
    </row>
    <row r="47" spans="1:29" ht="14.4">
      <c r="A47" s="577" t="s">
        <v>683</v>
      </c>
      <c r="B47" s="849"/>
      <c r="C47" s="2233" t="s">
        <v>0</v>
      </c>
      <c r="D47" s="2234"/>
      <c r="E47" s="2235"/>
      <c r="F47" s="2236"/>
      <c r="G47" s="2237"/>
      <c r="H47" s="2238"/>
      <c r="I47" s="2235"/>
      <c r="J47" s="2238"/>
      <c r="K47" s="1418"/>
      <c r="L47" s="1866"/>
      <c r="M47" s="1867"/>
      <c r="N47" s="1856"/>
      <c r="O47" s="1867"/>
      <c r="P47" s="3861" t="str">
        <f>A47</f>
        <v>成交单价（元/平方米）</v>
      </c>
      <c r="Q47" s="3861"/>
      <c r="R47" s="3970">
        <f>E47</f>
        <v>0</v>
      </c>
      <c r="S47" s="3970"/>
      <c r="T47" s="3970">
        <f>G47</f>
        <v>0</v>
      </c>
      <c r="U47" s="3970"/>
      <c r="V47" s="3970">
        <f>I47</f>
        <v>0</v>
      </c>
      <c r="W47" s="3970"/>
      <c r="X47" s="1374"/>
      <c r="Y47" s="1393"/>
      <c r="Z47" s="1374"/>
      <c r="AA47" s="1374"/>
      <c r="AB47" s="1374"/>
      <c r="AC47" s="1374"/>
    </row>
    <row r="48" spans="1:29" ht="15" thickBot="1">
      <c r="A48" s="585" t="s">
        <v>2042</v>
      </c>
      <c r="B48" s="850"/>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61" t="str">
        <f>A48</f>
        <v>比较价格（元/平方米）</v>
      </c>
      <c r="Q48" s="3861"/>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9"/>
      <c r="L49" s="1866"/>
      <c r="M49" s="1867"/>
      <c r="N49" s="1856"/>
      <c r="O49" s="1867"/>
      <c r="P49" s="3898" t="str">
        <f>A49</f>
        <v>估价对象XX用房的比较价格（楼面单价，元/平方米）</v>
      </c>
      <c r="Q49" s="3899"/>
      <c r="R49" s="3969" t="e">
        <f>IF(F1="售价",ROUND(IF(D48="简单平均",AVERAGE(R48:V48),R48*F48+T48*H48+V48*J48),0),ROUND(IF(D48="简单平均",AVERAGE(R48:V48),R48*F48+T48*H48+V48*J48),1))</f>
        <v>#DIV/0!</v>
      </c>
      <c r="S49" s="3969"/>
      <c r="T49" s="3969"/>
      <c r="U49" s="3969"/>
      <c r="V49" s="3969"/>
      <c r="W49" s="396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受贵公司委托，我公司对北京市出让国有建设用地使用权抵押价格进行了预评估。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87">
      <c r="A7" s="2352" t="s">
        <v>2030</v>
      </c>
    </row>
    <row r="8" spans="1:4" ht="17.399999999999999">
      <c r="A8" s="1581" t="s">
        <v>1430</v>
      </c>
    </row>
    <row r="9" spans="1:4" ht="69.599999999999994">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4" t="s">
        <v>1544</v>
      </c>
    </row>
    <row r="11" spans="1:4" ht="17.399999999999999">
      <c r="A11" s="1567" t="str">
        <f>TEXT(项目基本情况!D3,"yyyy年m月d日;;")&amp;IF(项目基本情况!B3=项目基本情况!D3,"（评估专业人员勘察现场之日）","")</f>
        <v>2023年1月3日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4" t="s">
        <v>2031</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52.2">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4.4">
      <c r="A4" s="482" t="s">
        <v>470</v>
      </c>
      <c r="B4" s="483"/>
      <c r="C4" s="3867" t="s">
        <v>471</v>
      </c>
      <c r="D4" s="3868"/>
      <c r="E4" s="3906" t="s">
        <v>472</v>
      </c>
      <c r="F4" s="3907"/>
      <c r="G4" s="3867" t="s">
        <v>473</v>
      </c>
      <c r="H4" s="3868"/>
      <c r="I4" s="3867" t="s">
        <v>474</v>
      </c>
      <c r="J4" s="3868"/>
      <c r="K4" s="484" t="s">
        <v>475</v>
      </c>
      <c r="L4" s="1855"/>
      <c r="M4" s="1856"/>
      <c r="N4" s="1856"/>
      <c r="O4" s="1856"/>
      <c r="P4" s="3996" t="s">
        <v>476</v>
      </c>
      <c r="Q4" s="3870"/>
      <c r="R4" s="3875" t="s">
        <v>472</v>
      </c>
      <c r="S4" s="3876"/>
      <c r="T4" s="3875" t="s">
        <v>473</v>
      </c>
      <c r="U4" s="3876"/>
      <c r="V4" s="3862" t="s">
        <v>474</v>
      </c>
      <c r="W4" s="3862"/>
      <c r="X4" s="1379"/>
      <c r="Y4" s="3875" t="s">
        <v>476</v>
      </c>
      <c r="Z4" s="3876"/>
      <c r="AA4" s="3864" t="s">
        <v>472</v>
      </c>
      <c r="AB4" s="3864" t="s">
        <v>473</v>
      </c>
      <c r="AC4" s="3864" t="s">
        <v>474</v>
      </c>
    </row>
    <row r="5" spans="1:29">
      <c r="A5" s="485"/>
      <c r="B5" s="486"/>
      <c r="C5" s="3883" t="s">
        <v>2192</v>
      </c>
      <c r="D5" s="3884"/>
      <c r="E5" s="3908" t="s">
        <v>2193</v>
      </c>
      <c r="F5" s="3909"/>
      <c r="G5" s="3883" t="s">
        <v>2194</v>
      </c>
      <c r="H5" s="3884"/>
      <c r="I5" s="3883" t="s">
        <v>2195</v>
      </c>
      <c r="J5" s="3884"/>
      <c r="K5" s="484"/>
      <c r="L5" s="1855"/>
      <c r="M5" s="1856"/>
      <c r="N5" s="1856"/>
      <c r="O5" s="1856"/>
      <c r="P5" s="3997"/>
      <c r="Q5" s="3872"/>
      <c r="R5" s="3877"/>
      <c r="S5" s="3878"/>
      <c r="T5" s="3877"/>
      <c r="U5" s="3878"/>
      <c r="V5" s="3862"/>
      <c r="W5" s="3862"/>
      <c r="X5" s="1379"/>
      <c r="Y5" s="3877"/>
      <c r="Z5" s="3878"/>
      <c r="AA5" s="3865"/>
      <c r="AB5" s="3865"/>
      <c r="AC5" s="3865"/>
    </row>
    <row r="6" spans="1:29" ht="15" thickBot="1">
      <c r="A6" s="487"/>
      <c r="B6" s="488"/>
      <c r="C6" s="3881" t="s">
        <v>2196</v>
      </c>
      <c r="D6" s="3882"/>
      <c r="E6" s="3904" t="s">
        <v>2196</v>
      </c>
      <c r="F6" s="3905"/>
      <c r="G6" s="3881" t="s">
        <v>2196</v>
      </c>
      <c r="H6" s="3882"/>
      <c r="I6" s="3881" t="s">
        <v>2196</v>
      </c>
      <c r="J6" s="3882"/>
      <c r="K6" s="484" t="s">
        <v>477</v>
      </c>
      <c r="L6" s="1855"/>
      <c r="M6" s="1856"/>
      <c r="N6" s="1856"/>
      <c r="O6" s="1856"/>
      <c r="P6" s="3998"/>
      <c r="Q6" s="3874"/>
      <c r="R6" s="3877"/>
      <c r="S6" s="3878"/>
      <c r="T6" s="3879"/>
      <c r="U6" s="3880"/>
      <c r="V6" s="3862"/>
      <c r="W6" s="3862"/>
      <c r="X6" s="1379"/>
      <c r="Y6" s="3879"/>
      <c r="Z6" s="3880"/>
      <c r="AA6" s="3866"/>
      <c r="AB6" s="3866"/>
      <c r="AC6" s="3866"/>
    </row>
    <row r="7" spans="1:29" s="1117" customFormat="1" ht="1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3" t="s">
        <v>479</v>
      </c>
      <c r="Q7" s="3893"/>
      <c r="R7" s="1380" t="s">
        <v>5</v>
      </c>
      <c r="S7" s="1381">
        <f t="shared" ref="S7:S15" si="0">F7</f>
        <v>0</v>
      </c>
      <c r="T7" s="1380" t="s">
        <v>5</v>
      </c>
      <c r="U7" s="1381">
        <f t="shared" ref="U7:U15" si="1">H7</f>
        <v>0</v>
      </c>
      <c r="V7" s="1380" t="s">
        <v>5</v>
      </c>
      <c r="W7" s="1381">
        <f t="shared" ref="W7:W15" si="2">J7</f>
        <v>0</v>
      </c>
      <c r="X7" s="1382"/>
      <c r="Y7" s="3891" t="s">
        <v>479</v>
      </c>
      <c r="Z7" s="3892"/>
      <c r="AA7" s="1383" t="e">
        <f>D7/F7</f>
        <v>#DIV/0!</v>
      </c>
      <c r="AB7" s="1383" t="e">
        <f>D7/H7</f>
        <v>#DIV/0!</v>
      </c>
      <c r="AC7" s="1383" t="e">
        <f>D7/J7</f>
        <v>#DIV/0!</v>
      </c>
    </row>
    <row r="8" spans="1:29" s="1117"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3" t="s">
        <v>482</v>
      </c>
      <c r="Q8" s="3892"/>
      <c r="R8" s="1380" t="s">
        <v>5</v>
      </c>
      <c r="S8" s="1381">
        <f t="shared" si="0"/>
        <v>0</v>
      </c>
      <c r="T8" s="1380" t="s">
        <v>5</v>
      </c>
      <c r="U8" s="1381">
        <f t="shared" si="1"/>
        <v>0</v>
      </c>
      <c r="V8" s="1380" t="s">
        <v>5</v>
      </c>
      <c r="W8" s="1381">
        <f t="shared" si="2"/>
        <v>0</v>
      </c>
      <c r="X8" s="1382"/>
      <c r="Y8" s="3891" t="s">
        <v>482</v>
      </c>
      <c r="Z8" s="3892"/>
      <c r="AA8" s="1383" t="e">
        <f t="shared" ref="AA8:AA47" si="3">D8/F8</f>
        <v>#DIV/0!</v>
      </c>
      <c r="AB8" s="1383" t="e">
        <f t="shared" ref="AB8:AB47" si="4">D8/H8</f>
        <v>#DIV/0!</v>
      </c>
      <c r="AC8" s="1383" t="e">
        <f t="shared" ref="AC8:AC47" si="5">D8/J8</f>
        <v>#DIV/0!</v>
      </c>
    </row>
    <row r="9" spans="1:29" s="1117"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1" t="s">
        <v>484</v>
      </c>
      <c r="Q9" s="1049" t="str">
        <f t="shared" ref="Q9:Q15" si="6">B9</f>
        <v>用途</v>
      </c>
      <c r="R9" s="1380" t="s">
        <v>5</v>
      </c>
      <c r="S9" s="1381">
        <f t="shared" si="0"/>
        <v>100</v>
      </c>
      <c r="T9" s="1380" t="s">
        <v>5</v>
      </c>
      <c r="U9" s="1381">
        <f t="shared" si="1"/>
        <v>100</v>
      </c>
      <c r="V9" s="1380" t="s">
        <v>5</v>
      </c>
      <c r="W9" s="1381">
        <f t="shared" si="2"/>
        <v>100</v>
      </c>
      <c r="X9" s="1382"/>
      <c r="Y9" s="3809"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61"/>
      <c r="Q10" s="1049" t="str">
        <f t="shared" si="6"/>
        <v>土地使用年限（年）</v>
      </c>
      <c r="R10" s="1380" t="s">
        <v>5</v>
      </c>
      <c r="S10" s="1381">
        <f t="shared" si="0"/>
        <v>100</v>
      </c>
      <c r="T10" s="1380" t="s">
        <v>5</v>
      </c>
      <c r="U10" s="1381">
        <f t="shared" si="1"/>
        <v>100</v>
      </c>
      <c r="V10" s="1380" t="s">
        <v>5</v>
      </c>
      <c r="W10" s="1381">
        <f t="shared" si="2"/>
        <v>100</v>
      </c>
      <c r="X10" s="1382"/>
      <c r="Y10" s="3809"/>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1"/>
      <c r="Q11" s="1049" t="str">
        <f t="shared" si="6"/>
        <v>容积率</v>
      </c>
      <c r="R11" s="1380" t="s">
        <v>5</v>
      </c>
      <c r="S11" s="1381" t="e">
        <f t="shared" si="0"/>
        <v>#N/A</v>
      </c>
      <c r="T11" s="1380" t="s">
        <v>5</v>
      </c>
      <c r="U11" s="1381" t="e">
        <f t="shared" si="1"/>
        <v>#N/A</v>
      </c>
      <c r="V11" s="1380" t="s">
        <v>5</v>
      </c>
      <c r="W11" s="1381" t="e">
        <f t="shared" si="2"/>
        <v>#N/A</v>
      </c>
      <c r="X11" s="1382"/>
      <c r="Y11" s="3809"/>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61"/>
      <c r="Q12" s="1049">
        <f t="shared" si="6"/>
        <v>111</v>
      </c>
      <c r="R12" s="1380" t="s">
        <v>5</v>
      </c>
      <c r="S12" s="1381">
        <f t="shared" si="0"/>
        <v>100</v>
      </c>
      <c r="T12" s="1380" t="s">
        <v>5</v>
      </c>
      <c r="U12" s="1381">
        <f t="shared" si="1"/>
        <v>100</v>
      </c>
      <c r="V12" s="1380" t="s">
        <v>5</v>
      </c>
      <c r="W12" s="1381">
        <f t="shared" si="2"/>
        <v>100</v>
      </c>
      <c r="X12" s="1382"/>
      <c r="Y12" s="3809"/>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61"/>
      <c r="Q13" s="1049">
        <f t="shared" si="6"/>
        <v>111</v>
      </c>
      <c r="R13" s="1380" t="s">
        <v>5</v>
      </c>
      <c r="S13" s="1381">
        <f t="shared" si="0"/>
        <v>100</v>
      </c>
      <c r="T13" s="1380" t="s">
        <v>5</v>
      </c>
      <c r="U13" s="1381">
        <f t="shared" si="1"/>
        <v>100</v>
      </c>
      <c r="V13" s="1380" t="s">
        <v>5</v>
      </c>
      <c r="W13" s="1381">
        <f t="shared" si="2"/>
        <v>100</v>
      </c>
      <c r="X13" s="1382"/>
      <c r="Y13" s="3809"/>
      <c r="Z13" s="1048">
        <f t="shared" si="7"/>
        <v>111</v>
      </c>
      <c r="AA13" s="1383">
        <f t="shared" si="3"/>
        <v>1</v>
      </c>
      <c r="AB13" s="1383">
        <f t="shared" si="4"/>
        <v>1</v>
      </c>
      <c r="AC13" s="1383">
        <f t="shared" si="5"/>
        <v>1</v>
      </c>
    </row>
    <row r="14" spans="1:29" ht="15.6"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61"/>
      <c r="Q14" s="1049">
        <f t="shared" si="6"/>
        <v>111</v>
      </c>
      <c r="R14" s="1380" t="s">
        <v>5</v>
      </c>
      <c r="S14" s="1381">
        <f t="shared" si="0"/>
        <v>100</v>
      </c>
      <c r="T14" s="1380" t="s">
        <v>5</v>
      </c>
      <c r="U14" s="1381">
        <f t="shared" si="1"/>
        <v>100</v>
      </c>
      <c r="V14" s="1380" t="s">
        <v>5</v>
      </c>
      <c r="W14" s="1381">
        <f t="shared" si="2"/>
        <v>100</v>
      </c>
      <c r="X14" s="1382"/>
      <c r="Y14" s="3809"/>
      <c r="Z14" s="1048">
        <f t="shared" si="7"/>
        <v>111</v>
      </c>
      <c r="AA14" s="1383">
        <f t="shared" si="3"/>
        <v>1</v>
      </c>
      <c r="AB14" s="1383">
        <f t="shared" si="4"/>
        <v>1</v>
      </c>
      <c r="AC14" s="1383">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94" t="s">
        <v>489</v>
      </c>
      <c r="Q15" s="1384" t="str">
        <f t="shared" si="6"/>
        <v>办公集聚程度</v>
      </c>
      <c r="R15" s="1385" t="s">
        <v>5</v>
      </c>
      <c r="S15" s="1386">
        <f t="shared" si="0"/>
        <v>100</v>
      </c>
      <c r="T15" s="1385" t="s">
        <v>5</v>
      </c>
      <c r="U15" s="1386">
        <f t="shared" si="1"/>
        <v>100</v>
      </c>
      <c r="V15" s="1385" t="s">
        <v>5</v>
      </c>
      <c r="W15" s="1386">
        <f t="shared" si="2"/>
        <v>100</v>
      </c>
      <c r="X15" s="1379"/>
      <c r="Y15" s="3894"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95"/>
      <c r="Q16" s="1384"/>
      <c r="R16" s="1385"/>
      <c r="S16" s="1386"/>
      <c r="T16" s="1385"/>
      <c r="U16" s="1386"/>
      <c r="V16" s="1385"/>
      <c r="W16" s="1386"/>
      <c r="X16" s="1379"/>
      <c r="Y16" s="3895"/>
      <c r="Z16" s="1387"/>
      <c r="AA16" s="1388">
        <v>1</v>
      </c>
      <c r="AB16" s="1388">
        <v>1</v>
      </c>
      <c r="AC16" s="1388">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95"/>
      <c r="Q17" s="1384" t="str">
        <f>B17</f>
        <v>交通便捷度</v>
      </c>
      <c r="R17" s="1385" t="s">
        <v>5</v>
      </c>
      <c r="S17" s="1386">
        <f>F17</f>
        <v>100</v>
      </c>
      <c r="T17" s="1385" t="s">
        <v>5</v>
      </c>
      <c r="U17" s="1386">
        <f>H17</f>
        <v>100</v>
      </c>
      <c r="V17" s="1385" t="s">
        <v>5</v>
      </c>
      <c r="W17" s="1386">
        <f>J17</f>
        <v>100</v>
      </c>
      <c r="X17" s="1379"/>
      <c r="Y17" s="3895"/>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95"/>
      <c r="Q18" s="1384"/>
      <c r="R18" s="1385"/>
      <c r="S18" s="1386"/>
      <c r="T18" s="1385"/>
      <c r="U18" s="1386"/>
      <c r="V18" s="1385"/>
      <c r="W18" s="1386"/>
      <c r="X18" s="1379"/>
      <c r="Y18" s="3895"/>
      <c r="Z18" s="1387"/>
      <c r="AA18" s="1388">
        <v>1</v>
      </c>
      <c r="AB18" s="1388">
        <v>1</v>
      </c>
      <c r="AC18" s="1388">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95"/>
      <c r="Q19" s="1384" t="str">
        <f>B19</f>
        <v>公共配套设施</v>
      </c>
      <c r="R19" s="1385" t="s">
        <v>5</v>
      </c>
      <c r="S19" s="1386">
        <f>F19</f>
        <v>100</v>
      </c>
      <c r="T19" s="1385" t="s">
        <v>5</v>
      </c>
      <c r="U19" s="1386">
        <f>H19</f>
        <v>100</v>
      </c>
      <c r="V19" s="1385" t="s">
        <v>5</v>
      </c>
      <c r="W19" s="1386">
        <f>J19</f>
        <v>100</v>
      </c>
      <c r="X19" s="1379"/>
      <c r="Y19" s="3895"/>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95"/>
      <c r="Q20" s="1384"/>
      <c r="R20" s="1385"/>
      <c r="S20" s="1386"/>
      <c r="T20" s="1385"/>
      <c r="U20" s="1386"/>
      <c r="V20" s="1385"/>
      <c r="W20" s="1386"/>
      <c r="X20" s="1379"/>
      <c r="Y20" s="3895"/>
      <c r="Z20" s="1387"/>
      <c r="AA20" s="1388">
        <v>1</v>
      </c>
      <c r="AB20" s="1388">
        <v>1</v>
      </c>
      <c r="AC20" s="1388">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95"/>
      <c r="Q21" s="2192" t="str">
        <f>B21</f>
        <v>基础设施水平</v>
      </c>
      <c r="R21" s="1385" t="s">
        <v>5</v>
      </c>
      <c r="S21" s="1386">
        <f>F21</f>
        <v>100</v>
      </c>
      <c r="T21" s="1385" t="s">
        <v>5</v>
      </c>
      <c r="U21" s="1386">
        <f>H21</f>
        <v>100</v>
      </c>
      <c r="V21" s="1385" t="s">
        <v>5</v>
      </c>
      <c r="W21" s="1386">
        <f>J21</f>
        <v>100</v>
      </c>
      <c r="X21" s="2194"/>
      <c r="Y21" s="3895"/>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95"/>
      <c r="Q22" s="2192"/>
      <c r="R22" s="1385"/>
      <c r="S22" s="1386"/>
      <c r="T22" s="1385"/>
      <c r="U22" s="1386"/>
      <c r="V22" s="1385"/>
      <c r="W22" s="1386"/>
      <c r="X22" s="2194"/>
      <c r="Y22" s="3895"/>
      <c r="Z22" s="2193"/>
      <c r="AA22" s="1388">
        <v>1</v>
      </c>
      <c r="AB22" s="1388">
        <v>1</v>
      </c>
      <c r="AC22" s="1388">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95"/>
      <c r="Q23" s="1384" t="str">
        <f>B23</f>
        <v>环境质量</v>
      </c>
      <c r="R23" s="1385" t="s">
        <v>5</v>
      </c>
      <c r="S23" s="1386">
        <f>F23</f>
        <v>100</v>
      </c>
      <c r="T23" s="1385" t="s">
        <v>5</v>
      </c>
      <c r="U23" s="1386">
        <f>H23</f>
        <v>100</v>
      </c>
      <c r="V23" s="1385" t="s">
        <v>5</v>
      </c>
      <c r="W23" s="1386">
        <f>J23</f>
        <v>100</v>
      </c>
      <c r="X23" s="1379"/>
      <c r="Y23" s="3895"/>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95"/>
      <c r="Q24" s="1384"/>
      <c r="R24" s="1385"/>
      <c r="S24" s="1386"/>
      <c r="T24" s="1385"/>
      <c r="U24" s="1386"/>
      <c r="V24" s="1385"/>
      <c r="W24" s="1386"/>
      <c r="X24" s="1379"/>
      <c r="Y24" s="3895"/>
      <c r="Z24" s="1387"/>
      <c r="AA24" s="1388">
        <v>1</v>
      </c>
      <c r="AB24" s="1388">
        <v>1</v>
      </c>
      <c r="AC24" s="1388">
        <v>1</v>
      </c>
    </row>
    <row r="25" spans="1:29" ht="28.8">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95"/>
      <c r="Q25" s="1384" t="str">
        <f>B25</f>
        <v>毗邻道路的类型与等级</v>
      </c>
      <c r="R25" s="1385" t="s">
        <v>5</v>
      </c>
      <c r="S25" s="1386">
        <f>F25</f>
        <v>100</v>
      </c>
      <c r="T25" s="1385" t="s">
        <v>5</v>
      </c>
      <c r="U25" s="1386">
        <f>H25</f>
        <v>100</v>
      </c>
      <c r="V25" s="1385" t="s">
        <v>5</v>
      </c>
      <c r="W25" s="1386">
        <f>J25</f>
        <v>100</v>
      </c>
      <c r="X25" s="1379"/>
      <c r="Y25" s="3895"/>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95"/>
      <c r="Q26" s="1384"/>
      <c r="R26" s="1385"/>
      <c r="S26" s="1386"/>
      <c r="T26" s="1385"/>
      <c r="U26" s="1386"/>
      <c r="V26" s="1385"/>
      <c r="W26" s="1386"/>
      <c r="X26" s="1379"/>
      <c r="Y26" s="3895"/>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95"/>
      <c r="Q27" s="1384" t="str">
        <f t="shared" ref="Q27:Q47" si="8">B27</f>
        <v>楼层</v>
      </c>
      <c r="R27" s="1385" t="s">
        <v>5</v>
      </c>
      <c r="S27" s="1386">
        <f>F27</f>
        <v>100</v>
      </c>
      <c r="T27" s="1385" t="s">
        <v>5</v>
      </c>
      <c r="U27" s="1386">
        <f>H27</f>
        <v>100</v>
      </c>
      <c r="V27" s="1385" t="s">
        <v>5</v>
      </c>
      <c r="W27" s="1386">
        <f>J27</f>
        <v>100</v>
      </c>
      <c r="X27" s="1379"/>
      <c r="Y27" s="3895"/>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95"/>
      <c r="Q28" s="1049" t="str">
        <f t="shared" si="8"/>
        <v>朝向</v>
      </c>
      <c r="R28" s="1380" t="s">
        <v>5</v>
      </c>
      <c r="S28" s="1381">
        <f>F28</f>
        <v>100</v>
      </c>
      <c r="T28" s="1380" t="s">
        <v>5</v>
      </c>
      <c r="U28" s="1381">
        <f>H28</f>
        <v>100</v>
      </c>
      <c r="V28" s="1380" t="s">
        <v>5</v>
      </c>
      <c r="W28" s="1381">
        <f>J28</f>
        <v>100</v>
      </c>
      <c r="X28" s="1382"/>
      <c r="Y28" s="3895"/>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95"/>
      <c r="Q29" s="1384">
        <f t="shared" si="8"/>
        <v>111</v>
      </c>
      <c r="R29" s="1385" t="s">
        <v>5</v>
      </c>
      <c r="S29" s="1386">
        <f t="shared" ref="S29:S47" si="9">F29</f>
        <v>100</v>
      </c>
      <c r="T29" s="1385" t="s">
        <v>5</v>
      </c>
      <c r="U29" s="1386">
        <f t="shared" ref="U29:U47" si="10">H29</f>
        <v>100</v>
      </c>
      <c r="V29" s="1385" t="s">
        <v>5</v>
      </c>
      <c r="W29" s="1386">
        <f t="shared" ref="W29:W47" si="11">J29</f>
        <v>100</v>
      </c>
      <c r="X29" s="1379"/>
      <c r="Y29" s="3895"/>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95"/>
      <c r="Q30" s="1384">
        <f t="shared" si="8"/>
        <v>111</v>
      </c>
      <c r="R30" s="1385" t="s">
        <v>5</v>
      </c>
      <c r="S30" s="1386">
        <f t="shared" si="9"/>
        <v>100</v>
      </c>
      <c r="T30" s="1385" t="s">
        <v>5</v>
      </c>
      <c r="U30" s="1386">
        <f t="shared" si="10"/>
        <v>100</v>
      </c>
      <c r="V30" s="1385" t="s">
        <v>5</v>
      </c>
      <c r="W30" s="1386">
        <f t="shared" si="11"/>
        <v>100</v>
      </c>
      <c r="X30" s="1379"/>
      <c r="Y30" s="3895"/>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95"/>
      <c r="Q31" s="1384">
        <f t="shared" si="8"/>
        <v>111</v>
      </c>
      <c r="R31" s="1385" t="s">
        <v>5</v>
      </c>
      <c r="S31" s="1386">
        <f t="shared" si="9"/>
        <v>100</v>
      </c>
      <c r="T31" s="1385" t="s">
        <v>5</v>
      </c>
      <c r="U31" s="1386">
        <f t="shared" si="10"/>
        <v>100</v>
      </c>
      <c r="V31" s="1385" t="s">
        <v>5</v>
      </c>
      <c r="W31" s="1386">
        <f t="shared" si="11"/>
        <v>100</v>
      </c>
      <c r="X31" s="1379"/>
      <c r="Y31" s="3895"/>
      <c r="Z31" s="1387">
        <f t="shared" si="12"/>
        <v>111</v>
      </c>
      <c r="AA31" s="1388">
        <f t="shared" si="3"/>
        <v>1</v>
      </c>
      <c r="AB31" s="1388">
        <f t="shared" si="4"/>
        <v>1</v>
      </c>
      <c r="AC31" s="1388">
        <f t="shared" si="5"/>
        <v>1</v>
      </c>
    </row>
    <row r="32" spans="1:29" ht="15.6"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95"/>
      <c r="Q32" s="1384">
        <f t="shared" si="8"/>
        <v>111</v>
      </c>
      <c r="R32" s="1385" t="s">
        <v>5</v>
      </c>
      <c r="S32" s="1386">
        <f t="shared" si="9"/>
        <v>100</v>
      </c>
      <c r="T32" s="1385" t="s">
        <v>5</v>
      </c>
      <c r="U32" s="1386">
        <f t="shared" si="10"/>
        <v>100</v>
      </c>
      <c r="V32" s="1385" t="s">
        <v>5</v>
      </c>
      <c r="W32" s="1386">
        <f t="shared" si="11"/>
        <v>100</v>
      </c>
      <c r="X32" s="1379"/>
      <c r="Y32" s="3895"/>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96" t="s">
        <v>499</v>
      </c>
      <c r="Q33" s="1384" t="str">
        <f t="shared" si="8"/>
        <v>建筑类型</v>
      </c>
      <c r="R33" s="1385" t="s">
        <v>5</v>
      </c>
      <c r="S33" s="1386">
        <f t="shared" si="9"/>
        <v>100</v>
      </c>
      <c r="T33" s="1385" t="s">
        <v>5</v>
      </c>
      <c r="U33" s="1386">
        <f t="shared" si="10"/>
        <v>100</v>
      </c>
      <c r="V33" s="1385" t="s">
        <v>5</v>
      </c>
      <c r="W33" s="1386">
        <f t="shared" si="11"/>
        <v>100</v>
      </c>
      <c r="X33" s="1379"/>
      <c r="Y33" s="3897"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97"/>
      <c r="Q34" s="1413" t="str">
        <f t="shared" si="8"/>
        <v>项目建筑规模</v>
      </c>
      <c r="R34" s="1389" t="s">
        <v>5</v>
      </c>
      <c r="S34" s="1390" t="e">
        <f t="shared" si="9"/>
        <v>#N/A</v>
      </c>
      <c r="T34" s="1389" t="s">
        <v>5</v>
      </c>
      <c r="U34" s="1390" t="e">
        <f t="shared" si="10"/>
        <v>#N/A</v>
      </c>
      <c r="V34" s="1389" t="s">
        <v>5</v>
      </c>
      <c r="W34" s="1390" t="e">
        <f t="shared" si="11"/>
        <v>#N/A</v>
      </c>
      <c r="X34" s="1391"/>
      <c r="Y34" s="3897"/>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97"/>
      <c r="Q35" s="1384" t="str">
        <f t="shared" si="8"/>
        <v>建筑结构</v>
      </c>
      <c r="R35" s="1385" t="s">
        <v>5</v>
      </c>
      <c r="S35" s="1386">
        <f t="shared" si="9"/>
        <v>100</v>
      </c>
      <c r="T35" s="1385" t="s">
        <v>5</v>
      </c>
      <c r="U35" s="1386">
        <f t="shared" si="10"/>
        <v>100</v>
      </c>
      <c r="V35" s="1385" t="s">
        <v>5</v>
      </c>
      <c r="W35" s="1386">
        <f t="shared" si="11"/>
        <v>100</v>
      </c>
      <c r="X35" s="1379"/>
      <c r="Y35" s="3897"/>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97"/>
      <c r="Q36" s="1384" t="str">
        <f t="shared" si="8"/>
        <v>公共部分装修</v>
      </c>
      <c r="R36" s="1385" t="s">
        <v>5</v>
      </c>
      <c r="S36" s="1386">
        <f t="shared" si="9"/>
        <v>100</v>
      </c>
      <c r="T36" s="1385" t="s">
        <v>5</v>
      </c>
      <c r="U36" s="1386">
        <f t="shared" si="10"/>
        <v>100</v>
      </c>
      <c r="V36" s="1385" t="s">
        <v>5</v>
      </c>
      <c r="W36" s="1386">
        <f t="shared" si="11"/>
        <v>100</v>
      </c>
      <c r="X36" s="1379"/>
      <c r="Y36" s="3897"/>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97"/>
      <c r="Q37" s="1384" t="str">
        <f t="shared" si="8"/>
        <v>成新度</v>
      </c>
      <c r="R37" s="1385" t="s">
        <v>5</v>
      </c>
      <c r="S37" s="1386" t="e">
        <f t="shared" si="9"/>
        <v>#N/A</v>
      </c>
      <c r="T37" s="1385" t="s">
        <v>5</v>
      </c>
      <c r="U37" s="1386" t="e">
        <f t="shared" si="10"/>
        <v>#N/A</v>
      </c>
      <c r="V37" s="1385" t="s">
        <v>5</v>
      </c>
      <c r="W37" s="1386" t="e">
        <f t="shared" si="11"/>
        <v>#N/A</v>
      </c>
      <c r="X37" s="1379"/>
      <c r="Y37" s="3897"/>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97"/>
      <c r="Q38" s="1049" t="str">
        <f t="shared" si="8"/>
        <v>写字楼等级</v>
      </c>
      <c r="R38" s="1380" t="s">
        <v>5</v>
      </c>
      <c r="S38" s="1381">
        <f t="shared" si="9"/>
        <v>100</v>
      </c>
      <c r="T38" s="1380" t="s">
        <v>5</v>
      </c>
      <c r="U38" s="1381">
        <f t="shared" si="10"/>
        <v>100</v>
      </c>
      <c r="V38" s="1380" t="s">
        <v>5</v>
      </c>
      <c r="W38" s="1381">
        <f t="shared" si="11"/>
        <v>100</v>
      </c>
      <c r="X38" s="1382"/>
      <c r="Y38" s="3897"/>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97" t="s">
        <v>499</v>
      </c>
      <c r="Q39" s="1384" t="str">
        <f t="shared" si="8"/>
        <v>物业管理</v>
      </c>
      <c r="R39" s="1385" t="s">
        <v>5</v>
      </c>
      <c r="S39" s="1386">
        <f t="shared" si="9"/>
        <v>100</v>
      </c>
      <c r="T39" s="1385" t="s">
        <v>5</v>
      </c>
      <c r="U39" s="1386">
        <f t="shared" si="10"/>
        <v>100</v>
      </c>
      <c r="V39" s="1385" t="s">
        <v>5</v>
      </c>
      <c r="W39" s="1386">
        <f t="shared" si="11"/>
        <v>100</v>
      </c>
      <c r="X39" s="1379"/>
      <c r="Y39" s="3897"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97"/>
      <c r="Q40" s="1384" t="str">
        <f t="shared" si="8"/>
        <v>市政基础设施</v>
      </c>
      <c r="R40" s="1385" t="s">
        <v>5</v>
      </c>
      <c r="S40" s="1386">
        <f t="shared" si="9"/>
        <v>100</v>
      </c>
      <c r="T40" s="1385" t="s">
        <v>5</v>
      </c>
      <c r="U40" s="1386">
        <f t="shared" si="10"/>
        <v>100</v>
      </c>
      <c r="V40" s="1385" t="s">
        <v>5</v>
      </c>
      <c r="W40" s="1386">
        <f t="shared" si="11"/>
        <v>100</v>
      </c>
      <c r="X40" s="1379"/>
      <c r="Y40" s="3897"/>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97"/>
      <c r="Q41" s="1384" t="str">
        <f t="shared" si="8"/>
        <v>层高</v>
      </c>
      <c r="R41" s="1385" t="s">
        <v>5</v>
      </c>
      <c r="S41" s="1386">
        <f t="shared" si="9"/>
        <v>100</v>
      </c>
      <c r="T41" s="1385" t="s">
        <v>5</v>
      </c>
      <c r="U41" s="1386">
        <f t="shared" si="10"/>
        <v>100</v>
      </c>
      <c r="V41" s="1385" t="s">
        <v>5</v>
      </c>
      <c r="W41" s="1386">
        <f t="shared" si="11"/>
        <v>100</v>
      </c>
      <c r="X41" s="1379"/>
      <c r="Y41" s="3897"/>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97"/>
      <c r="Q42" s="1413" t="str">
        <f t="shared" si="8"/>
        <v>单套建筑面积</v>
      </c>
      <c r="R42" s="1389" t="s">
        <v>5</v>
      </c>
      <c r="S42" s="1390">
        <f t="shared" si="9"/>
        <v>100</v>
      </c>
      <c r="T42" s="1389" t="s">
        <v>5</v>
      </c>
      <c r="U42" s="1390">
        <f t="shared" si="10"/>
        <v>100</v>
      </c>
      <c r="V42" s="1389" t="s">
        <v>5</v>
      </c>
      <c r="W42" s="1390">
        <f t="shared" si="11"/>
        <v>100</v>
      </c>
      <c r="X42" s="1391"/>
      <c r="Y42" s="3897"/>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97"/>
      <c r="Q43" s="1384" t="str">
        <f t="shared" si="8"/>
        <v>内部装修</v>
      </c>
      <c r="R43" s="1385" t="s">
        <v>5</v>
      </c>
      <c r="S43" s="1386">
        <f t="shared" si="9"/>
        <v>100</v>
      </c>
      <c r="T43" s="1385" t="s">
        <v>5</v>
      </c>
      <c r="U43" s="1386">
        <f t="shared" si="10"/>
        <v>100</v>
      </c>
      <c r="V43" s="1385" t="s">
        <v>5</v>
      </c>
      <c r="W43" s="1386">
        <f t="shared" si="11"/>
        <v>100</v>
      </c>
      <c r="X43" s="1379"/>
      <c r="Y43" s="3897"/>
      <c r="Z43" s="1387" t="str">
        <f t="shared" si="12"/>
        <v>内部装修</v>
      </c>
      <c r="AA43" s="1388">
        <f t="shared" si="3"/>
        <v>1</v>
      </c>
      <c r="AB43" s="1388">
        <f t="shared" si="4"/>
        <v>1</v>
      </c>
      <c r="AC43" s="1388">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97"/>
      <c r="Q44" s="1384" t="str">
        <f t="shared" si="8"/>
        <v>内部装修维护情况</v>
      </c>
      <c r="R44" s="1385" t="s">
        <v>5</v>
      </c>
      <c r="S44" s="1386">
        <f t="shared" si="9"/>
        <v>100</v>
      </c>
      <c r="T44" s="1385" t="s">
        <v>5</v>
      </c>
      <c r="U44" s="1386">
        <f t="shared" si="10"/>
        <v>100</v>
      </c>
      <c r="V44" s="1385" t="s">
        <v>5</v>
      </c>
      <c r="W44" s="1386">
        <f t="shared" si="11"/>
        <v>100</v>
      </c>
      <c r="X44" s="1379"/>
      <c r="Y44" s="3897"/>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97"/>
      <c r="Q45" s="1049">
        <f t="shared" si="8"/>
        <v>111</v>
      </c>
      <c r="R45" s="1380" t="s">
        <v>5</v>
      </c>
      <c r="S45" s="1381">
        <f t="shared" si="9"/>
        <v>100</v>
      </c>
      <c r="T45" s="1380" t="s">
        <v>5</v>
      </c>
      <c r="U45" s="1381">
        <f t="shared" si="10"/>
        <v>100</v>
      </c>
      <c r="V45" s="1380" t="s">
        <v>5</v>
      </c>
      <c r="W45" s="1381">
        <f t="shared" si="11"/>
        <v>100</v>
      </c>
      <c r="X45" s="1382"/>
      <c r="Y45" s="3897"/>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97"/>
      <c r="Q46" s="1384">
        <f t="shared" si="8"/>
        <v>111</v>
      </c>
      <c r="R46" s="1385" t="s">
        <v>5</v>
      </c>
      <c r="S46" s="1386">
        <f t="shared" si="9"/>
        <v>100</v>
      </c>
      <c r="T46" s="1385" t="s">
        <v>5</v>
      </c>
      <c r="U46" s="1386">
        <f t="shared" si="10"/>
        <v>100</v>
      </c>
      <c r="V46" s="1385" t="s">
        <v>5</v>
      </c>
      <c r="W46" s="1386">
        <f t="shared" si="11"/>
        <v>100</v>
      </c>
      <c r="X46" s="1379"/>
      <c r="Y46" s="3897"/>
      <c r="Z46" s="1387">
        <f t="shared" si="12"/>
        <v>111</v>
      </c>
      <c r="AA46" s="1388">
        <f t="shared" si="3"/>
        <v>1</v>
      </c>
      <c r="AB46" s="1388">
        <f t="shared" si="4"/>
        <v>1</v>
      </c>
      <c r="AC46" s="1388">
        <f t="shared" si="5"/>
        <v>1</v>
      </c>
    </row>
    <row r="47" spans="1:29" ht="15.6"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1"/>
      <c r="Q47" s="1384">
        <f t="shared" si="8"/>
        <v>111</v>
      </c>
      <c r="R47" s="1385" t="s">
        <v>5</v>
      </c>
      <c r="S47" s="1386">
        <f t="shared" si="9"/>
        <v>100</v>
      </c>
      <c r="T47" s="1385" t="s">
        <v>5</v>
      </c>
      <c r="U47" s="1386">
        <f t="shared" si="10"/>
        <v>100</v>
      </c>
      <c r="V47" s="1385" t="s">
        <v>5</v>
      </c>
      <c r="W47" s="1386">
        <f t="shared" si="11"/>
        <v>100</v>
      </c>
      <c r="X47" s="1379"/>
      <c r="Y47" s="3971"/>
      <c r="Z47" s="1387">
        <f t="shared" si="12"/>
        <v>111</v>
      </c>
      <c r="AA47" s="1388">
        <f t="shared" si="3"/>
        <v>1</v>
      </c>
      <c r="AB47" s="1388">
        <f t="shared" si="4"/>
        <v>1</v>
      </c>
      <c r="AC47" s="1388">
        <f t="shared" si="5"/>
        <v>1</v>
      </c>
    </row>
    <row r="48" spans="1:29" ht="14.4">
      <c r="A48" s="577" t="s">
        <v>683</v>
      </c>
      <c r="B48" s="849"/>
      <c r="C48" s="2233" t="s">
        <v>0</v>
      </c>
      <c r="D48" s="2234"/>
      <c r="E48" s="2235"/>
      <c r="F48" s="2236"/>
      <c r="G48" s="2237"/>
      <c r="H48" s="2238"/>
      <c r="I48" s="2235"/>
      <c r="J48" s="2238"/>
      <c r="K48" s="1418"/>
      <c r="L48" s="1866"/>
      <c r="M48" s="1856"/>
      <c r="N48" s="1856"/>
      <c r="O48" s="1856"/>
      <c r="P48" s="3899" t="str">
        <f>A48</f>
        <v>成交单价（元/平方米）</v>
      </c>
      <c r="Q48" s="3861"/>
      <c r="R48" s="3970">
        <f>E48</f>
        <v>0</v>
      </c>
      <c r="S48" s="3970"/>
      <c r="T48" s="3970">
        <f>G48</f>
        <v>0</v>
      </c>
      <c r="U48" s="3970"/>
      <c r="V48" s="3970">
        <f>I48</f>
        <v>0</v>
      </c>
      <c r="W48" s="3970"/>
      <c r="X48" s="1374"/>
      <c r="Y48" s="1393"/>
      <c r="Z48" s="1374"/>
      <c r="AA48" s="1374"/>
      <c r="AB48" s="1374"/>
      <c r="AC48" s="1374"/>
    </row>
    <row r="49" spans="1:29" ht="15" thickBot="1">
      <c r="A49" s="585" t="s">
        <v>2042</v>
      </c>
      <c r="B49" s="850"/>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899" t="str">
        <f>A49</f>
        <v>比较价格（元/平方米）</v>
      </c>
      <c r="Q49" s="3861"/>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1374"/>
      <c r="Y49" s="1374"/>
      <c r="Z49" s="1374"/>
      <c r="AA49" s="1374"/>
      <c r="AB49" s="1374"/>
      <c r="AC49" s="1374"/>
    </row>
    <row r="50" spans="1:29" ht="15" thickBot="1">
      <c r="A50" s="589" t="s">
        <v>2198</v>
      </c>
      <c r="B50" s="590"/>
      <c r="C50" s="2241" t="e">
        <f>R50</f>
        <v>#DIV/0!</v>
      </c>
      <c r="D50" s="2241"/>
      <c r="E50" s="2241"/>
      <c r="F50" s="2241"/>
      <c r="G50" s="2241"/>
      <c r="H50" s="2241"/>
      <c r="I50" s="2241"/>
      <c r="J50" s="2241"/>
      <c r="K50" s="1419"/>
      <c r="L50" s="1866"/>
      <c r="M50" s="1856"/>
      <c r="N50" s="1856"/>
      <c r="O50" s="1856"/>
      <c r="P50" s="3995" t="str">
        <f>A50</f>
        <v>估价对象XX用房的比较价格（楼面单价，元/平方米）</v>
      </c>
      <c r="Q50" s="3899"/>
      <c r="R50" s="3969" t="e">
        <f>IF(F1="售价",ROUND(IF(D49="简单平均",AVERAGE(R49:V49),R49*F49+T49*H49+V49*J49),0),ROUND(IF(D49="简单平均",AVERAGE(R49:V49),R49*F49+T49*H49+V49*J49),1))</f>
        <v>#DIV/0!</v>
      </c>
      <c r="S50" s="3969"/>
      <c r="T50" s="3969"/>
      <c r="U50" s="3969"/>
      <c r="V50" s="3969"/>
      <c r="W50" s="3969"/>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4.4">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4.4"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ht="14.4">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4.4"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9.4"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4.4"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4.4"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4.4"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4.4"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4.4"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4.4"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ht="14.4">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4.4"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9.4"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4.4"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4.4"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4.4"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4.4"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4.4"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4.4"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ht="14.4">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4.4"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4.4"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4.4"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4.4"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470</v>
      </c>
      <c r="B4" s="483"/>
      <c r="C4" s="3867" t="s">
        <v>471</v>
      </c>
      <c r="D4" s="3868"/>
      <c r="E4" s="3906" t="s">
        <v>472</v>
      </c>
      <c r="F4" s="3907"/>
      <c r="G4" s="3867" t="s">
        <v>473</v>
      </c>
      <c r="H4" s="3868"/>
      <c r="I4" s="3867" t="s">
        <v>474</v>
      </c>
      <c r="J4" s="3868"/>
      <c r="K4" s="484" t="s">
        <v>475</v>
      </c>
      <c r="L4" s="1855"/>
      <c r="M4" s="1856"/>
      <c r="N4" s="1856"/>
      <c r="O4" s="1856"/>
      <c r="P4" s="3869" t="s">
        <v>476</v>
      </c>
      <c r="Q4" s="3870"/>
      <c r="R4" s="3875" t="s">
        <v>472</v>
      </c>
      <c r="S4" s="3876"/>
      <c r="T4" s="3875" t="s">
        <v>473</v>
      </c>
      <c r="U4" s="3876"/>
      <c r="V4" s="3862" t="s">
        <v>474</v>
      </c>
      <c r="W4" s="3862"/>
      <c r="X4" s="1379"/>
      <c r="Y4" s="3875" t="s">
        <v>476</v>
      </c>
      <c r="Z4" s="3876"/>
      <c r="AA4" s="3864" t="s">
        <v>472</v>
      </c>
      <c r="AB4" s="3865" t="s">
        <v>473</v>
      </c>
      <c r="AC4" s="3864" t="s">
        <v>474</v>
      </c>
    </row>
    <row r="5" spans="1:29">
      <c r="A5" s="485"/>
      <c r="B5" s="486"/>
      <c r="C5" s="3883" t="s">
        <v>2192</v>
      </c>
      <c r="D5" s="3884"/>
      <c r="E5" s="3908" t="s">
        <v>2193</v>
      </c>
      <c r="F5" s="3909"/>
      <c r="G5" s="3883" t="s">
        <v>2194</v>
      </c>
      <c r="H5" s="3884"/>
      <c r="I5" s="3883" t="s">
        <v>2195</v>
      </c>
      <c r="J5" s="3884"/>
      <c r="K5" s="484"/>
      <c r="L5" s="1855"/>
      <c r="M5" s="1856"/>
      <c r="N5" s="1856"/>
      <c r="O5" s="1856"/>
      <c r="P5" s="3871"/>
      <c r="Q5" s="3872"/>
      <c r="R5" s="3877"/>
      <c r="S5" s="3878"/>
      <c r="T5" s="3877"/>
      <c r="U5" s="3878"/>
      <c r="V5" s="3862"/>
      <c r="W5" s="3862"/>
      <c r="X5" s="1379"/>
      <c r="Y5" s="3877"/>
      <c r="Z5" s="3878"/>
      <c r="AA5" s="3865"/>
      <c r="AB5" s="3865"/>
      <c r="AC5" s="3865"/>
    </row>
    <row r="6" spans="1:29" ht="15" thickBot="1">
      <c r="A6" s="487"/>
      <c r="B6" s="488"/>
      <c r="C6" s="3881" t="s">
        <v>2196</v>
      </c>
      <c r="D6" s="3882"/>
      <c r="E6" s="3904" t="s">
        <v>2196</v>
      </c>
      <c r="F6" s="3905"/>
      <c r="G6" s="3881" t="s">
        <v>2196</v>
      </c>
      <c r="H6" s="3882"/>
      <c r="I6" s="3881" t="s">
        <v>2196</v>
      </c>
      <c r="J6" s="3882"/>
      <c r="K6" s="484" t="s">
        <v>477</v>
      </c>
      <c r="L6" s="1855"/>
      <c r="M6" s="1856"/>
      <c r="N6" s="1856"/>
      <c r="O6" s="1856"/>
      <c r="P6" s="3873"/>
      <c r="Q6" s="3874"/>
      <c r="R6" s="3877"/>
      <c r="S6" s="3878"/>
      <c r="T6" s="3879"/>
      <c r="U6" s="3880"/>
      <c r="V6" s="3862"/>
      <c r="W6" s="3862"/>
      <c r="X6" s="1379"/>
      <c r="Y6" s="3879"/>
      <c r="Z6" s="3880"/>
      <c r="AA6" s="3866"/>
      <c r="AB6" s="3866"/>
      <c r="AC6" s="3866"/>
    </row>
    <row r="7" spans="1:29" s="1117" customFormat="1" ht="1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1" t="s">
        <v>479</v>
      </c>
      <c r="Q7" s="3893"/>
      <c r="R7" s="1380" t="s">
        <v>5</v>
      </c>
      <c r="S7" s="1381">
        <f t="shared" ref="S7:S15" si="0">F7</f>
        <v>0</v>
      </c>
      <c r="T7" s="1380" t="s">
        <v>5</v>
      </c>
      <c r="U7" s="1381">
        <f t="shared" ref="U7:U15" si="1">H7</f>
        <v>0</v>
      </c>
      <c r="V7" s="1380" t="s">
        <v>5</v>
      </c>
      <c r="W7" s="1381">
        <f t="shared" ref="W7:W15" si="2">J7</f>
        <v>0</v>
      </c>
      <c r="X7" s="1382"/>
      <c r="Y7" s="3891" t="s">
        <v>479</v>
      </c>
      <c r="Z7" s="3892"/>
      <c r="AA7" s="1383" t="e">
        <f>D7/F7</f>
        <v>#DIV/0!</v>
      </c>
      <c r="AB7" s="1383" t="e">
        <f>D7/H7</f>
        <v>#DIV/0!</v>
      </c>
      <c r="AC7" s="1383" t="e">
        <f>D7/J7</f>
        <v>#DIV/0!</v>
      </c>
    </row>
    <row r="8" spans="1:29" s="1117"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1" t="s">
        <v>482</v>
      </c>
      <c r="Q8" s="3892"/>
      <c r="R8" s="1380" t="s">
        <v>5</v>
      </c>
      <c r="S8" s="1381">
        <f t="shared" si="0"/>
        <v>0</v>
      </c>
      <c r="T8" s="1380" t="s">
        <v>5</v>
      </c>
      <c r="U8" s="1381">
        <f t="shared" si="1"/>
        <v>0</v>
      </c>
      <c r="V8" s="1380" t="s">
        <v>5</v>
      </c>
      <c r="W8" s="1381">
        <f t="shared" si="2"/>
        <v>0</v>
      </c>
      <c r="X8" s="1382"/>
      <c r="Y8" s="3891" t="s">
        <v>482</v>
      </c>
      <c r="Z8" s="3892"/>
      <c r="AA8" s="1383" t="e">
        <f t="shared" ref="AA8:AA40" si="3">D8/F8</f>
        <v>#DIV/0!</v>
      </c>
      <c r="AB8" s="1383" t="e">
        <f t="shared" ref="AB8:AB40" si="4">D8/H8</f>
        <v>#DIV/0!</v>
      </c>
      <c r="AC8" s="1383" t="e">
        <f t="shared" ref="AC8:AC40" si="5">D8/J8</f>
        <v>#DIV/0!</v>
      </c>
    </row>
    <row r="9" spans="1:29" s="1117"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1" t="s">
        <v>484</v>
      </c>
      <c r="Q9" s="1049" t="str">
        <f t="shared" ref="Q9:Q15" si="6">B9</f>
        <v>用途</v>
      </c>
      <c r="R9" s="1380" t="s">
        <v>5</v>
      </c>
      <c r="S9" s="1381">
        <f t="shared" si="0"/>
        <v>100</v>
      </c>
      <c r="T9" s="1380" t="s">
        <v>5</v>
      </c>
      <c r="U9" s="1381">
        <f t="shared" si="1"/>
        <v>100</v>
      </c>
      <c r="V9" s="1380" t="s">
        <v>5</v>
      </c>
      <c r="W9" s="1381">
        <f t="shared" si="2"/>
        <v>100</v>
      </c>
      <c r="X9" s="1382"/>
      <c r="Y9" s="3809"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61"/>
      <c r="Q10" s="1049" t="str">
        <f t="shared" si="6"/>
        <v>土地使用年限（年）</v>
      </c>
      <c r="R10" s="1380" t="s">
        <v>5</v>
      </c>
      <c r="S10" s="1381">
        <f t="shared" si="0"/>
        <v>100</v>
      </c>
      <c r="T10" s="1380" t="s">
        <v>5</v>
      </c>
      <c r="U10" s="1381">
        <f t="shared" si="1"/>
        <v>100</v>
      </c>
      <c r="V10" s="1380" t="s">
        <v>5</v>
      </c>
      <c r="W10" s="1381">
        <f t="shared" si="2"/>
        <v>100</v>
      </c>
      <c r="X10" s="1382"/>
      <c r="Y10" s="3809"/>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1"/>
      <c r="Q11" s="1049" t="str">
        <f t="shared" si="6"/>
        <v>容积率</v>
      </c>
      <c r="R11" s="1380" t="s">
        <v>5</v>
      </c>
      <c r="S11" s="1381" t="e">
        <f t="shared" si="0"/>
        <v>#N/A</v>
      </c>
      <c r="T11" s="1380" t="s">
        <v>5</v>
      </c>
      <c r="U11" s="1381" t="e">
        <f t="shared" si="1"/>
        <v>#N/A</v>
      </c>
      <c r="V11" s="1380" t="s">
        <v>5</v>
      </c>
      <c r="W11" s="1381" t="e">
        <f t="shared" si="2"/>
        <v>#N/A</v>
      </c>
      <c r="X11" s="1382"/>
      <c r="Y11" s="3809"/>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61"/>
      <c r="Q12" s="1049">
        <f t="shared" si="6"/>
        <v>111</v>
      </c>
      <c r="R12" s="1380" t="s">
        <v>5</v>
      </c>
      <c r="S12" s="1381">
        <f t="shared" si="0"/>
        <v>100</v>
      </c>
      <c r="T12" s="1380" t="s">
        <v>5</v>
      </c>
      <c r="U12" s="1381">
        <f t="shared" si="1"/>
        <v>100</v>
      </c>
      <c r="V12" s="1380" t="s">
        <v>5</v>
      </c>
      <c r="W12" s="1381">
        <f t="shared" si="2"/>
        <v>100</v>
      </c>
      <c r="X12" s="1382"/>
      <c r="Y12" s="3809"/>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61"/>
      <c r="Q13" s="1049">
        <f t="shared" si="6"/>
        <v>111</v>
      </c>
      <c r="R13" s="1380" t="s">
        <v>5</v>
      </c>
      <c r="S13" s="1381">
        <f t="shared" si="0"/>
        <v>100</v>
      </c>
      <c r="T13" s="1380" t="s">
        <v>5</v>
      </c>
      <c r="U13" s="1381">
        <f t="shared" si="1"/>
        <v>100</v>
      </c>
      <c r="V13" s="1380" t="s">
        <v>5</v>
      </c>
      <c r="W13" s="1381">
        <f t="shared" si="2"/>
        <v>100</v>
      </c>
      <c r="X13" s="1382"/>
      <c r="Y13" s="3809"/>
      <c r="Z13" s="1048">
        <f t="shared" si="7"/>
        <v>111</v>
      </c>
      <c r="AA13" s="1383">
        <f t="shared" si="3"/>
        <v>1</v>
      </c>
      <c r="AB13" s="1383">
        <f t="shared" si="4"/>
        <v>1</v>
      </c>
      <c r="AC13" s="1383">
        <f t="shared" si="5"/>
        <v>1</v>
      </c>
    </row>
    <row r="14" spans="1:29" ht="15.6"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61"/>
      <c r="Q14" s="1049">
        <f t="shared" si="6"/>
        <v>111</v>
      </c>
      <c r="R14" s="1380" t="s">
        <v>5</v>
      </c>
      <c r="S14" s="1381">
        <f t="shared" si="0"/>
        <v>100</v>
      </c>
      <c r="T14" s="1380" t="s">
        <v>5</v>
      </c>
      <c r="U14" s="1381">
        <f t="shared" si="1"/>
        <v>100</v>
      </c>
      <c r="V14" s="1380" t="s">
        <v>5</v>
      </c>
      <c r="W14" s="1381">
        <f t="shared" si="2"/>
        <v>100</v>
      </c>
      <c r="X14" s="1382"/>
      <c r="Y14" s="3809"/>
      <c r="Z14" s="1048">
        <f t="shared" si="7"/>
        <v>111</v>
      </c>
      <c r="AA14" s="1383">
        <f t="shared" si="3"/>
        <v>1</v>
      </c>
      <c r="AB14" s="1383">
        <f t="shared" si="4"/>
        <v>1</v>
      </c>
      <c r="AC14" s="1383">
        <f t="shared" si="5"/>
        <v>1</v>
      </c>
    </row>
    <row r="15" spans="1:29" ht="69">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94" t="s">
        <v>489</v>
      </c>
      <c r="Q15" s="1384" t="str">
        <f t="shared" si="6"/>
        <v>产业集聚程度</v>
      </c>
      <c r="R15" s="1385" t="s">
        <v>5</v>
      </c>
      <c r="S15" s="1386">
        <f t="shared" si="0"/>
        <v>100</v>
      </c>
      <c r="T15" s="1385" t="s">
        <v>5</v>
      </c>
      <c r="U15" s="1386">
        <f t="shared" si="1"/>
        <v>100</v>
      </c>
      <c r="V15" s="1385" t="s">
        <v>5</v>
      </c>
      <c r="W15" s="1386">
        <f t="shared" si="2"/>
        <v>100</v>
      </c>
      <c r="X15" s="1379"/>
      <c r="Y15" s="3894"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5"/>
      <c r="Q16" s="1384"/>
      <c r="R16" s="1385"/>
      <c r="S16" s="1386"/>
      <c r="T16" s="1385"/>
      <c r="U16" s="1386"/>
      <c r="V16" s="1385"/>
      <c r="W16" s="1386"/>
      <c r="X16" s="1379"/>
      <c r="Y16" s="3895"/>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95"/>
      <c r="Q17" s="1384" t="str">
        <f>B17</f>
        <v>交通便捷度</v>
      </c>
      <c r="R17" s="1385" t="s">
        <v>5</v>
      </c>
      <c r="S17" s="1386">
        <f>F17</f>
        <v>100</v>
      </c>
      <c r="T17" s="1385" t="s">
        <v>5</v>
      </c>
      <c r="U17" s="1386">
        <f>H17</f>
        <v>100</v>
      </c>
      <c r="V17" s="1385" t="s">
        <v>5</v>
      </c>
      <c r="W17" s="1386">
        <f>J17</f>
        <v>100</v>
      </c>
      <c r="X17" s="1379"/>
      <c r="Y17" s="3895"/>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5"/>
      <c r="Q18" s="1384"/>
      <c r="R18" s="1385"/>
      <c r="S18" s="1386"/>
      <c r="T18" s="1385"/>
      <c r="U18" s="1386"/>
      <c r="V18" s="1385"/>
      <c r="W18" s="1386"/>
      <c r="X18" s="1379"/>
      <c r="Y18" s="3895"/>
      <c r="Z18" s="1387"/>
      <c r="AA18" s="1388">
        <v>1</v>
      </c>
      <c r="AB18" s="1388">
        <v>1</v>
      </c>
      <c r="AC18" s="1388">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95"/>
      <c r="Q19" s="1384" t="str">
        <f>B19</f>
        <v>公共配套设施</v>
      </c>
      <c r="R19" s="1385" t="s">
        <v>5</v>
      </c>
      <c r="S19" s="1386">
        <f>F19</f>
        <v>100</v>
      </c>
      <c r="T19" s="1385" t="s">
        <v>5</v>
      </c>
      <c r="U19" s="1386">
        <f>H19</f>
        <v>100</v>
      </c>
      <c r="V19" s="1385" t="s">
        <v>5</v>
      </c>
      <c r="W19" s="1386">
        <f>J19</f>
        <v>100</v>
      </c>
      <c r="X19" s="1379"/>
      <c r="Y19" s="3895"/>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95"/>
      <c r="Q20" s="1384"/>
      <c r="R20" s="1385"/>
      <c r="S20" s="1386"/>
      <c r="T20" s="1385"/>
      <c r="U20" s="1386"/>
      <c r="V20" s="1385"/>
      <c r="W20" s="1386"/>
      <c r="X20" s="1379"/>
      <c r="Y20" s="3895"/>
      <c r="Z20" s="1387"/>
      <c r="AA20" s="1388">
        <v>1</v>
      </c>
      <c r="AB20" s="1388">
        <v>1</v>
      </c>
      <c r="AC20" s="1388">
        <v>1</v>
      </c>
    </row>
    <row r="21" spans="1:29" ht="41.4">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95"/>
      <c r="Q21" s="2192" t="str">
        <f>B21</f>
        <v>基础设施水平</v>
      </c>
      <c r="R21" s="1385" t="s">
        <v>5</v>
      </c>
      <c r="S21" s="1386">
        <f>F21</f>
        <v>100</v>
      </c>
      <c r="T21" s="1385" t="s">
        <v>5</v>
      </c>
      <c r="U21" s="1386">
        <f>H21</f>
        <v>100</v>
      </c>
      <c r="V21" s="1385" t="s">
        <v>5</v>
      </c>
      <c r="W21" s="1386">
        <f>J21</f>
        <v>100</v>
      </c>
      <c r="X21" s="2194"/>
      <c r="Y21" s="3895"/>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95"/>
      <c r="Q22" s="2192"/>
      <c r="R22" s="1385"/>
      <c r="S22" s="1386"/>
      <c r="T22" s="1385"/>
      <c r="U22" s="1386"/>
      <c r="V22" s="1385"/>
      <c r="W22" s="1386"/>
      <c r="X22" s="2194"/>
      <c r="Y22" s="3895"/>
      <c r="Z22" s="2193"/>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95"/>
      <c r="Q23" s="1384" t="str">
        <f>B23</f>
        <v>环境质量</v>
      </c>
      <c r="R23" s="1385" t="s">
        <v>5</v>
      </c>
      <c r="S23" s="1386">
        <f>F23</f>
        <v>100</v>
      </c>
      <c r="T23" s="1385" t="s">
        <v>5</v>
      </c>
      <c r="U23" s="1386">
        <f>H23</f>
        <v>100</v>
      </c>
      <c r="V23" s="1385" t="s">
        <v>5</v>
      </c>
      <c r="W23" s="1386">
        <f>J23</f>
        <v>100</v>
      </c>
      <c r="X23" s="1379"/>
      <c r="Y23" s="3895"/>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95"/>
      <c r="Q24" s="1384"/>
      <c r="R24" s="1385"/>
      <c r="S24" s="1386"/>
      <c r="T24" s="1385"/>
      <c r="U24" s="1386"/>
      <c r="V24" s="1385"/>
      <c r="W24" s="1386"/>
      <c r="X24" s="1379"/>
      <c r="Y24" s="3895"/>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95"/>
      <c r="Q25" s="1384">
        <f>B25</f>
        <v>111</v>
      </c>
      <c r="R25" s="1385" t="s">
        <v>5</v>
      </c>
      <c r="S25" s="1386">
        <f>F25</f>
        <v>100</v>
      </c>
      <c r="T25" s="1385" t="s">
        <v>5</v>
      </c>
      <c r="U25" s="1386">
        <f>H25</f>
        <v>100</v>
      </c>
      <c r="V25" s="1385" t="s">
        <v>5</v>
      </c>
      <c r="W25" s="1386">
        <f>J25</f>
        <v>100</v>
      </c>
      <c r="X25" s="1379"/>
      <c r="Y25" s="3895"/>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95"/>
      <c r="Q26" s="1384">
        <f t="shared" ref="Q26:Q40" si="8">B26</f>
        <v>111</v>
      </c>
      <c r="R26" s="1385" t="s">
        <v>5</v>
      </c>
      <c r="S26" s="1386">
        <f>F26</f>
        <v>100</v>
      </c>
      <c r="T26" s="1385" t="s">
        <v>5</v>
      </c>
      <c r="U26" s="1386">
        <f>H26</f>
        <v>100</v>
      </c>
      <c r="V26" s="1385" t="s">
        <v>5</v>
      </c>
      <c r="W26" s="1386">
        <f>J26</f>
        <v>100</v>
      </c>
      <c r="X26" s="1379"/>
      <c r="Y26" s="3895"/>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95"/>
      <c r="Q27" s="1049">
        <f t="shared" si="8"/>
        <v>111</v>
      </c>
      <c r="R27" s="1380" t="s">
        <v>5</v>
      </c>
      <c r="S27" s="1381">
        <f>F27</f>
        <v>100</v>
      </c>
      <c r="T27" s="1380" t="s">
        <v>5</v>
      </c>
      <c r="U27" s="1381">
        <f>H27</f>
        <v>100</v>
      </c>
      <c r="V27" s="1380" t="s">
        <v>5</v>
      </c>
      <c r="W27" s="1381">
        <f>J27</f>
        <v>100</v>
      </c>
      <c r="X27" s="1382"/>
      <c r="Y27" s="3895"/>
      <c r="Z27" s="1048">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95"/>
      <c r="Q28" s="1384">
        <f t="shared" si="8"/>
        <v>111</v>
      </c>
      <c r="R28" s="1385" t="s">
        <v>5</v>
      </c>
      <c r="S28" s="1386">
        <f t="shared" ref="S28:S40" si="9">F28</f>
        <v>100</v>
      </c>
      <c r="T28" s="1385" t="s">
        <v>5</v>
      </c>
      <c r="U28" s="1386">
        <f t="shared" ref="U28:U40" si="10">H28</f>
        <v>100</v>
      </c>
      <c r="V28" s="1385" t="s">
        <v>5</v>
      </c>
      <c r="W28" s="1386">
        <f t="shared" ref="W28:W40" si="11">J28</f>
        <v>100</v>
      </c>
      <c r="X28" s="1379"/>
      <c r="Y28" s="3895"/>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96" t="s">
        <v>499</v>
      </c>
      <c r="Q29" s="1384" t="str">
        <f t="shared" si="8"/>
        <v>建筑类型</v>
      </c>
      <c r="R29" s="1385" t="s">
        <v>5</v>
      </c>
      <c r="S29" s="1386">
        <f t="shared" si="9"/>
        <v>100</v>
      </c>
      <c r="T29" s="1385" t="s">
        <v>5</v>
      </c>
      <c r="U29" s="1386">
        <f t="shared" si="10"/>
        <v>100</v>
      </c>
      <c r="V29" s="1385" t="s">
        <v>5</v>
      </c>
      <c r="W29" s="1386">
        <f t="shared" si="11"/>
        <v>100</v>
      </c>
      <c r="X29" s="1379"/>
      <c r="Y29" s="3897"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97"/>
      <c r="Q30" s="1413" t="str">
        <f t="shared" si="8"/>
        <v>项目建筑规模</v>
      </c>
      <c r="R30" s="1389" t="s">
        <v>5</v>
      </c>
      <c r="S30" s="1390" t="e">
        <f t="shared" si="9"/>
        <v>#N/A</v>
      </c>
      <c r="T30" s="1389" t="s">
        <v>5</v>
      </c>
      <c r="U30" s="1390" t="e">
        <f t="shared" si="10"/>
        <v>#N/A</v>
      </c>
      <c r="V30" s="1389" t="s">
        <v>5</v>
      </c>
      <c r="W30" s="1390" t="e">
        <f t="shared" si="11"/>
        <v>#N/A</v>
      </c>
      <c r="X30" s="1391"/>
      <c r="Y30" s="3897"/>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97"/>
      <c r="Q31" s="1384" t="str">
        <f t="shared" si="8"/>
        <v>建筑结构</v>
      </c>
      <c r="R31" s="1385" t="s">
        <v>5</v>
      </c>
      <c r="S31" s="1386">
        <f t="shared" si="9"/>
        <v>100</v>
      </c>
      <c r="T31" s="1385" t="s">
        <v>5</v>
      </c>
      <c r="U31" s="1386">
        <f t="shared" si="10"/>
        <v>100</v>
      </c>
      <c r="V31" s="1385" t="s">
        <v>5</v>
      </c>
      <c r="W31" s="1386">
        <f t="shared" si="11"/>
        <v>100</v>
      </c>
      <c r="X31" s="1379"/>
      <c r="Y31" s="3897"/>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97"/>
      <c r="Q32" s="1384" t="str">
        <f t="shared" si="8"/>
        <v>公共部分装修</v>
      </c>
      <c r="R32" s="1385" t="s">
        <v>5</v>
      </c>
      <c r="S32" s="1386">
        <f t="shared" si="9"/>
        <v>100</v>
      </c>
      <c r="T32" s="1385" t="s">
        <v>5</v>
      </c>
      <c r="U32" s="1386">
        <f t="shared" si="10"/>
        <v>100</v>
      </c>
      <c r="V32" s="1385" t="s">
        <v>5</v>
      </c>
      <c r="W32" s="1386">
        <f t="shared" si="11"/>
        <v>100</v>
      </c>
      <c r="X32" s="1379"/>
      <c r="Y32" s="3897"/>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97"/>
      <c r="Q33" s="1384" t="str">
        <f t="shared" si="8"/>
        <v>成新度</v>
      </c>
      <c r="R33" s="1385" t="s">
        <v>5</v>
      </c>
      <c r="S33" s="1386" t="e">
        <f t="shared" si="9"/>
        <v>#N/A</v>
      </c>
      <c r="T33" s="1385" t="s">
        <v>5</v>
      </c>
      <c r="U33" s="1386" t="e">
        <f t="shared" si="10"/>
        <v>#N/A</v>
      </c>
      <c r="V33" s="1385" t="s">
        <v>5</v>
      </c>
      <c r="W33" s="1386" t="e">
        <f t="shared" si="11"/>
        <v>#N/A</v>
      </c>
      <c r="X33" s="1379"/>
      <c r="Y33" s="3897"/>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97"/>
      <c r="Q34" s="1049" t="str">
        <f t="shared" si="8"/>
        <v>物业管理</v>
      </c>
      <c r="R34" s="1380" t="s">
        <v>5</v>
      </c>
      <c r="S34" s="1381">
        <f t="shared" si="9"/>
        <v>100</v>
      </c>
      <c r="T34" s="1380" t="s">
        <v>5</v>
      </c>
      <c r="U34" s="1381">
        <f t="shared" si="10"/>
        <v>100</v>
      </c>
      <c r="V34" s="1380" t="s">
        <v>5</v>
      </c>
      <c r="W34" s="1381">
        <f t="shared" si="11"/>
        <v>100</v>
      </c>
      <c r="X34" s="1382"/>
      <c r="Y34" s="3897"/>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97" t="s">
        <v>499</v>
      </c>
      <c r="Q35" s="1384" t="str">
        <f t="shared" si="8"/>
        <v>市政基础设施</v>
      </c>
      <c r="R35" s="1385" t="s">
        <v>5</v>
      </c>
      <c r="S35" s="1386">
        <f t="shared" si="9"/>
        <v>100</v>
      </c>
      <c r="T35" s="1385" t="s">
        <v>5</v>
      </c>
      <c r="U35" s="1386">
        <f t="shared" si="10"/>
        <v>100</v>
      </c>
      <c r="V35" s="1385" t="s">
        <v>5</v>
      </c>
      <c r="W35" s="1386">
        <f t="shared" si="11"/>
        <v>100</v>
      </c>
      <c r="X35" s="1379"/>
      <c r="Y35" s="3897"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97"/>
      <c r="Q36" s="1384" t="str">
        <f t="shared" si="8"/>
        <v>内部装修</v>
      </c>
      <c r="R36" s="1385" t="s">
        <v>5</v>
      </c>
      <c r="S36" s="1386">
        <f t="shared" si="9"/>
        <v>100</v>
      </c>
      <c r="T36" s="1385" t="s">
        <v>5</v>
      </c>
      <c r="U36" s="1386">
        <f t="shared" si="10"/>
        <v>100</v>
      </c>
      <c r="V36" s="1385" t="s">
        <v>5</v>
      </c>
      <c r="W36" s="1386">
        <f t="shared" si="11"/>
        <v>100</v>
      </c>
      <c r="X36" s="1379"/>
      <c r="Y36" s="3897"/>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97"/>
      <c r="Q37" s="1384" t="str">
        <f t="shared" si="8"/>
        <v>内部装修状况</v>
      </c>
      <c r="R37" s="1385" t="s">
        <v>5</v>
      </c>
      <c r="S37" s="1386">
        <f t="shared" si="9"/>
        <v>100</v>
      </c>
      <c r="T37" s="1385" t="s">
        <v>5</v>
      </c>
      <c r="U37" s="1386">
        <f t="shared" si="10"/>
        <v>100</v>
      </c>
      <c r="V37" s="1385" t="s">
        <v>5</v>
      </c>
      <c r="W37" s="1386">
        <f t="shared" si="11"/>
        <v>100</v>
      </c>
      <c r="X37" s="1379"/>
      <c r="Y37" s="3897"/>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97"/>
      <c r="Q38" s="1413">
        <f t="shared" si="8"/>
        <v>111</v>
      </c>
      <c r="R38" s="1389" t="s">
        <v>5</v>
      </c>
      <c r="S38" s="1390">
        <f t="shared" si="9"/>
        <v>100</v>
      </c>
      <c r="T38" s="1389" t="s">
        <v>5</v>
      </c>
      <c r="U38" s="1390">
        <f t="shared" si="10"/>
        <v>100</v>
      </c>
      <c r="V38" s="1389" t="s">
        <v>5</v>
      </c>
      <c r="W38" s="1390">
        <f t="shared" si="11"/>
        <v>100</v>
      </c>
      <c r="X38" s="1391"/>
      <c r="Y38" s="3897"/>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97"/>
      <c r="Q39" s="1384">
        <f t="shared" si="8"/>
        <v>111</v>
      </c>
      <c r="R39" s="1385" t="s">
        <v>5</v>
      </c>
      <c r="S39" s="1386">
        <f t="shared" si="9"/>
        <v>100</v>
      </c>
      <c r="T39" s="1385" t="s">
        <v>5</v>
      </c>
      <c r="U39" s="1386">
        <f t="shared" si="10"/>
        <v>100</v>
      </c>
      <c r="V39" s="1385" t="s">
        <v>5</v>
      </c>
      <c r="W39" s="1386">
        <f t="shared" si="11"/>
        <v>100</v>
      </c>
      <c r="X39" s="1379"/>
      <c r="Y39" s="3897"/>
      <c r="Z39" s="1387">
        <f t="shared" si="12"/>
        <v>111</v>
      </c>
      <c r="AA39" s="1388">
        <f t="shared" si="3"/>
        <v>1</v>
      </c>
      <c r="AB39" s="1388">
        <f t="shared" si="4"/>
        <v>1</v>
      </c>
      <c r="AC39" s="1388">
        <f t="shared" si="5"/>
        <v>1</v>
      </c>
    </row>
    <row r="40" spans="1:29" ht="15.6"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71"/>
      <c r="Q40" s="1384">
        <f t="shared" si="8"/>
        <v>111</v>
      </c>
      <c r="R40" s="1385" t="s">
        <v>5</v>
      </c>
      <c r="S40" s="1386">
        <f t="shared" si="9"/>
        <v>100</v>
      </c>
      <c r="T40" s="1385" t="s">
        <v>5</v>
      </c>
      <c r="U40" s="1386">
        <f t="shared" si="10"/>
        <v>100</v>
      </c>
      <c r="V40" s="1385" t="s">
        <v>5</v>
      </c>
      <c r="W40" s="1386">
        <f t="shared" si="11"/>
        <v>100</v>
      </c>
      <c r="X40" s="1379"/>
      <c r="Y40" s="3971"/>
      <c r="Z40" s="1387">
        <f t="shared" si="12"/>
        <v>111</v>
      </c>
      <c r="AA40" s="1388">
        <f t="shared" si="3"/>
        <v>1</v>
      </c>
      <c r="AB40" s="1388">
        <f t="shared" si="4"/>
        <v>1</v>
      </c>
      <c r="AC40" s="1388">
        <f t="shared" si="5"/>
        <v>1</v>
      </c>
    </row>
    <row r="41" spans="1:29" ht="14.4">
      <c r="A41" s="577" t="s">
        <v>683</v>
      </c>
      <c r="B41" s="849"/>
      <c r="C41" s="2233" t="s">
        <v>0</v>
      </c>
      <c r="D41" s="2234"/>
      <c r="E41" s="2235"/>
      <c r="F41" s="2236"/>
      <c r="G41" s="2237"/>
      <c r="H41" s="2238"/>
      <c r="I41" s="2235"/>
      <c r="J41" s="2238"/>
      <c r="K41" s="1418"/>
      <c r="L41" s="1866"/>
      <c r="M41" s="1867"/>
      <c r="N41" s="1856"/>
      <c r="O41" s="1867"/>
      <c r="P41" s="3861" t="str">
        <f>A41</f>
        <v>成交单价（元/平方米）</v>
      </c>
      <c r="Q41" s="3861"/>
      <c r="R41" s="3970">
        <f>E41</f>
        <v>0</v>
      </c>
      <c r="S41" s="3970"/>
      <c r="T41" s="3970">
        <f>G41</f>
        <v>0</v>
      </c>
      <c r="U41" s="3970"/>
      <c r="V41" s="3970">
        <f>I41</f>
        <v>0</v>
      </c>
      <c r="W41" s="3970"/>
      <c r="X41" s="1374"/>
      <c r="Y41" s="1393"/>
      <c r="Z41" s="1374"/>
      <c r="AA41" s="1374"/>
      <c r="AB41" s="1374"/>
      <c r="AC41" s="1374"/>
    </row>
    <row r="42" spans="1:29" ht="15" thickBot="1">
      <c r="A42" s="585" t="s">
        <v>2042</v>
      </c>
      <c r="B42" s="850"/>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61" t="str">
        <f>A42</f>
        <v>比较价格（元/平方米）</v>
      </c>
      <c r="Q42" s="3861"/>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1374"/>
      <c r="Y42" s="1374"/>
      <c r="Z42" s="1374"/>
      <c r="AA42" s="1374"/>
      <c r="AB42" s="1374"/>
      <c r="AC42" s="1374"/>
    </row>
    <row r="43" spans="1:29" ht="15" thickBot="1">
      <c r="A43" s="589" t="s">
        <v>2198</v>
      </c>
      <c r="B43" s="590"/>
      <c r="C43" s="2241" t="e">
        <f>R43</f>
        <v>#DIV/0!</v>
      </c>
      <c r="D43" s="2241"/>
      <c r="E43" s="2241"/>
      <c r="F43" s="2241"/>
      <c r="G43" s="2241"/>
      <c r="H43" s="2241"/>
      <c r="I43" s="2241"/>
      <c r="J43" s="2241"/>
      <c r="K43" s="1419"/>
      <c r="L43" s="1866"/>
      <c r="M43" s="1867"/>
      <c r="N43" s="1867"/>
      <c r="O43" s="1867"/>
      <c r="P43" s="3898" t="str">
        <f>A43</f>
        <v>估价对象XX用房的比较价格（楼面单价，元/平方米）</v>
      </c>
      <c r="Q43" s="3899"/>
      <c r="R43" s="3969" t="e">
        <f>IF(F1="售价",ROUND(IF(D42="简单平均",AVERAGE(R42:V42),R42*F42+T42*H42+V42*J42),0),ROUND(IF(D42="简单平均",AVERAGE(R42:V42),R42*F42+T42*H42+V42*J42),1))</f>
        <v>#DIV/0!</v>
      </c>
      <c r="S43" s="3969"/>
      <c r="T43" s="3969"/>
      <c r="U43" s="3969"/>
      <c r="V43" s="3969"/>
      <c r="W43" s="3969"/>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4.4">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4.4"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ht="14.4">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9.4"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4.4"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4.4"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4.4"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4.4"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4.4"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4.4"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ht="14.4">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4.4"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4.4"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4.4"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4.4"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4.4"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4.4"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4.4"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4.4"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ht="14.4">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9.4"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4.4"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4.4"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4.4"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90" zoomScaleNormal="60" zoomScaleSheetLayoutView="90" workbookViewId="0">
      <selection activeCell="O44" sqref="O4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5" t="s">
        <v>851</v>
      </c>
      <c r="C1" s="474" t="s">
        <v>732</v>
      </c>
      <c r="D1" s="814" t="s">
        <v>3260</v>
      </c>
      <c r="E1" s="476"/>
      <c r="F1" s="2286" t="s">
        <v>3430</v>
      </c>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f>IF(B37="元/平方米",ROUND(B3*D3/10000,0),ROUND(F3*C39/10000,0))</f>
        <v>10704</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f>IF(B37="元/平方米",C39,ROUND(B2*10000/D3,0))</f>
        <v>6592</v>
      </c>
      <c r="C3" s="817" t="s">
        <v>736</v>
      </c>
      <c r="D3" s="816">
        <f>SUMIF('数据-汇总表'!$C19:$C33,D1,'数据-汇总表'!$E19:$E33)</f>
        <v>16237.789999999999</v>
      </c>
      <c r="E3" s="1633" t="s">
        <v>1594</v>
      </c>
      <c r="F3" s="816">
        <f>SUMIF('数据-取费表'!A5:A15,D1,'数据-取费表'!AH5:AH15)</f>
        <v>610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867" t="s">
        <v>738</v>
      </c>
      <c r="D4" s="3868"/>
      <c r="E4" s="3867" t="s">
        <v>739</v>
      </c>
      <c r="F4" s="3868"/>
      <c r="G4" s="3867" t="s">
        <v>740</v>
      </c>
      <c r="H4" s="3868"/>
      <c r="I4" s="3867" t="s">
        <v>741</v>
      </c>
      <c r="J4" s="3868"/>
      <c r="K4" s="484" t="s">
        <v>742</v>
      </c>
      <c r="L4" s="1855"/>
      <c r="M4" s="1856"/>
      <c r="N4" s="1856"/>
      <c r="O4" s="1856"/>
      <c r="P4" s="3869" t="s">
        <v>743</v>
      </c>
      <c r="Q4" s="3870"/>
      <c r="R4" s="3875" t="s">
        <v>739</v>
      </c>
      <c r="S4" s="3876"/>
      <c r="T4" s="3875" t="s">
        <v>740</v>
      </c>
      <c r="U4" s="3876"/>
      <c r="V4" s="3862" t="s">
        <v>741</v>
      </c>
      <c r="W4" s="3862"/>
      <c r="X4" s="1379"/>
      <c r="Y4" s="3875" t="s">
        <v>743</v>
      </c>
      <c r="Z4" s="3876"/>
      <c r="AA4" s="3864" t="s">
        <v>739</v>
      </c>
      <c r="AB4" s="3865" t="s">
        <v>740</v>
      </c>
      <c r="AC4" s="3864" t="s">
        <v>741</v>
      </c>
    </row>
    <row r="5" spans="1:29">
      <c r="A5" s="485"/>
      <c r="B5" s="486"/>
      <c r="C5" s="3883" t="s">
        <v>2192</v>
      </c>
      <c r="D5" s="3884"/>
      <c r="E5" s="3972" t="s">
        <v>3434</v>
      </c>
      <c r="F5" s="3884"/>
      <c r="G5" s="3972" t="s">
        <v>3432</v>
      </c>
      <c r="H5" s="3884"/>
      <c r="I5" s="3972" t="s">
        <v>3433</v>
      </c>
      <c r="J5" s="3884"/>
      <c r="K5" s="484"/>
      <c r="L5" s="1855"/>
      <c r="M5" s="1856"/>
      <c r="N5" s="1856"/>
      <c r="O5" s="1856"/>
      <c r="P5" s="3871"/>
      <c r="Q5" s="3872"/>
      <c r="R5" s="3877"/>
      <c r="S5" s="3878"/>
      <c r="T5" s="3877"/>
      <c r="U5" s="3878"/>
      <c r="V5" s="3862"/>
      <c r="W5" s="3862"/>
      <c r="X5" s="1379"/>
      <c r="Y5" s="3877"/>
      <c r="Z5" s="3878"/>
      <c r="AA5" s="3865"/>
      <c r="AB5" s="3865"/>
      <c r="AC5" s="3865"/>
    </row>
    <row r="6" spans="1:29" ht="15" thickBot="1">
      <c r="A6" s="487"/>
      <c r="B6" s="488"/>
      <c r="C6" s="3881" t="s">
        <v>2196</v>
      </c>
      <c r="D6" s="3882"/>
      <c r="E6" s="3885" t="s">
        <v>2196</v>
      </c>
      <c r="F6" s="3886"/>
      <c r="G6" s="3881" t="s">
        <v>2196</v>
      </c>
      <c r="H6" s="3882"/>
      <c r="I6" s="3881" t="s">
        <v>2196</v>
      </c>
      <c r="J6" s="3882"/>
      <c r="K6" s="484" t="s">
        <v>477</v>
      </c>
      <c r="L6" s="1855"/>
      <c r="M6" s="1856"/>
      <c r="N6" s="1856"/>
      <c r="O6" s="1856"/>
      <c r="P6" s="3873"/>
      <c r="Q6" s="3874"/>
      <c r="R6" s="3877"/>
      <c r="S6" s="3878"/>
      <c r="T6" s="3879"/>
      <c r="U6" s="3880"/>
      <c r="V6" s="3862"/>
      <c r="W6" s="3862"/>
      <c r="X6" s="1379"/>
      <c r="Y6" s="3879"/>
      <c r="Z6" s="3880"/>
      <c r="AA6" s="3866"/>
      <c r="AB6" s="3866"/>
      <c r="AC6" s="3866"/>
    </row>
    <row r="7" spans="1:29" s="1117" customFormat="1" ht="15" thickBot="1">
      <c r="A7" s="2391"/>
      <c r="B7" s="2398" t="s">
        <v>478</v>
      </c>
      <c r="C7" s="489">
        <f>'数据-取费表'!B2</f>
        <v>44929</v>
      </c>
      <c r="D7" s="490">
        <v>100</v>
      </c>
      <c r="E7" s="491">
        <f>C7</f>
        <v>44929</v>
      </c>
      <c r="F7" s="492">
        <f>SUMIF(48:48,YEAR(E7)&amp;"-"&amp;MONTH(E7),49:49)</f>
        <v>100</v>
      </c>
      <c r="G7" s="493">
        <f>C7</f>
        <v>44929</v>
      </c>
      <c r="H7" s="490">
        <f>SUMIF(48:48,YEAR(G7)&amp;"-"&amp;MONTH(G7),49:49)</f>
        <v>100</v>
      </c>
      <c r="I7" s="493">
        <f>C7</f>
        <v>44929</v>
      </c>
      <c r="J7" s="490">
        <f>SUMIF(48:48,YEAR(I7)&amp;"-"&amp;MONTH(I7),49:49)</f>
        <v>100</v>
      </c>
      <c r="K7" s="494"/>
      <c r="L7" s="1857"/>
      <c r="M7" s="1858"/>
      <c r="N7" s="1858"/>
      <c r="O7" s="1858"/>
      <c r="P7" s="3891" t="s">
        <v>479</v>
      </c>
      <c r="Q7" s="3893"/>
      <c r="R7" s="1380" t="s">
        <v>5</v>
      </c>
      <c r="S7" s="1381">
        <f t="shared" ref="S7:S14" si="0">F7</f>
        <v>100</v>
      </c>
      <c r="T7" s="1380" t="s">
        <v>5</v>
      </c>
      <c r="U7" s="1381">
        <f t="shared" ref="U7:U14" si="1">H7</f>
        <v>100</v>
      </c>
      <c r="V7" s="1380" t="s">
        <v>5</v>
      </c>
      <c r="W7" s="1381">
        <f t="shared" ref="W7:W14" si="2">J7</f>
        <v>100</v>
      </c>
      <c r="X7" s="1382"/>
      <c r="Y7" s="3891" t="s">
        <v>479</v>
      </c>
      <c r="Z7" s="3892"/>
      <c r="AA7" s="1383">
        <f>D7/F7</f>
        <v>1</v>
      </c>
      <c r="AB7" s="1383">
        <f>D7/H7</f>
        <v>1</v>
      </c>
      <c r="AC7" s="1383">
        <f>D7/J7</f>
        <v>1</v>
      </c>
    </row>
    <row r="8" spans="1:29" s="1117" customFormat="1" ht="15" thickBot="1">
      <c r="A8" s="2392"/>
      <c r="B8" s="2399" t="s">
        <v>480</v>
      </c>
      <c r="C8" s="495" t="s">
        <v>524</v>
      </c>
      <c r="D8" s="490">
        <v>100</v>
      </c>
      <c r="E8" s="495" t="s">
        <v>3393</v>
      </c>
      <c r="F8" s="492">
        <f>SUMIF(51:51,E8,52:52)-SUMIF(51:51,C8,52:52)+100</f>
        <v>100</v>
      </c>
      <c r="G8" s="495" t="s">
        <v>3393</v>
      </c>
      <c r="H8" s="490">
        <f>SUMIF(51:51,G8,52:52)-SUMIF(51:51,C8,52:52)+100</f>
        <v>100</v>
      </c>
      <c r="I8" s="495" t="s">
        <v>3393</v>
      </c>
      <c r="J8" s="490">
        <f>SUMIF(51:51,I8,52:52)-SUMIF(51:51,C8,52:52)+100</f>
        <v>100</v>
      </c>
      <c r="K8" s="494"/>
      <c r="L8" s="1857"/>
      <c r="M8" s="1858"/>
      <c r="N8" s="1858"/>
      <c r="O8" s="1858"/>
      <c r="P8" s="3891" t="s">
        <v>482</v>
      </c>
      <c r="Q8" s="3892"/>
      <c r="R8" s="1380" t="s">
        <v>5</v>
      </c>
      <c r="S8" s="1381">
        <f t="shared" si="0"/>
        <v>100</v>
      </c>
      <c r="T8" s="1380" t="s">
        <v>5</v>
      </c>
      <c r="U8" s="1381">
        <f t="shared" si="1"/>
        <v>100</v>
      </c>
      <c r="V8" s="1380" t="s">
        <v>5</v>
      </c>
      <c r="W8" s="1381">
        <f t="shared" si="2"/>
        <v>100</v>
      </c>
      <c r="X8" s="1382"/>
      <c r="Y8" s="3891" t="s">
        <v>482</v>
      </c>
      <c r="Z8" s="3892"/>
      <c r="AA8" s="1383">
        <f t="shared" ref="AA8:AA36" si="3">D8/F8</f>
        <v>1</v>
      </c>
      <c r="AB8" s="1383">
        <f t="shared" ref="AB8:AB36" si="4">D8/H8</f>
        <v>1</v>
      </c>
      <c r="AC8" s="1383">
        <f t="shared" ref="AC8:AC36" si="5">D8/J8</f>
        <v>1</v>
      </c>
    </row>
    <row r="9" spans="1:29" s="1117" customFormat="1" ht="14.4">
      <c r="A9" s="2393"/>
      <c r="B9" s="2400" t="s">
        <v>2038</v>
      </c>
      <c r="C9" s="3687" t="s">
        <v>3431</v>
      </c>
      <c r="D9" s="245">
        <v>100</v>
      </c>
      <c r="E9" s="825" t="s">
        <v>3260</v>
      </c>
      <c r="F9" s="245">
        <f>SUMIF(53:53,E9,54:54)-SUMIF(53:53,C9,54:54)+100</f>
        <v>100</v>
      </c>
      <c r="G9" s="825" t="s">
        <v>3260</v>
      </c>
      <c r="H9" s="245">
        <f>SUMIF(53:53,G9,54:54)-SUMIF(53:53,C9,54:54)+100</f>
        <v>100</v>
      </c>
      <c r="I9" s="825" t="s">
        <v>3260</v>
      </c>
      <c r="J9" s="245">
        <f>SUMIF(53:53,I9,54:54)-SUMIF(53:53,C9,54:54)+100</f>
        <v>100</v>
      </c>
      <c r="K9" s="494"/>
      <c r="L9" s="1857"/>
      <c r="M9" s="1858"/>
      <c r="N9" s="1858"/>
      <c r="O9" s="1859"/>
      <c r="P9" s="3861" t="s">
        <v>484</v>
      </c>
      <c r="Q9" s="1049" t="str">
        <f t="shared" ref="Q9:Q14" si="6">B9</f>
        <v>用途</v>
      </c>
      <c r="R9" s="1380" t="s">
        <v>5</v>
      </c>
      <c r="S9" s="1381">
        <f t="shared" si="0"/>
        <v>100</v>
      </c>
      <c r="T9" s="1380" t="s">
        <v>5</v>
      </c>
      <c r="U9" s="1381">
        <f t="shared" si="1"/>
        <v>100</v>
      </c>
      <c r="V9" s="1380" t="s">
        <v>5</v>
      </c>
      <c r="W9" s="1381">
        <f t="shared" si="2"/>
        <v>100</v>
      </c>
      <c r="X9" s="1382"/>
      <c r="Y9" s="3809"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61"/>
      <c r="Q10" s="1049" t="str">
        <f t="shared" si="6"/>
        <v>土地使用年限（年）</v>
      </c>
      <c r="R10" s="1380" t="s">
        <v>5</v>
      </c>
      <c r="S10" s="1381">
        <f t="shared" si="0"/>
        <v>100</v>
      </c>
      <c r="T10" s="1380" t="s">
        <v>5</v>
      </c>
      <c r="U10" s="1381">
        <f t="shared" si="1"/>
        <v>100</v>
      </c>
      <c r="V10" s="1380" t="s">
        <v>5</v>
      </c>
      <c r="W10" s="1381">
        <f t="shared" si="2"/>
        <v>100</v>
      </c>
      <c r="X10" s="1382"/>
      <c r="Y10" s="3809"/>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1"/>
      <c r="Q11" s="1049">
        <f t="shared" si="6"/>
        <v>111</v>
      </c>
      <c r="R11" s="1380" t="s">
        <v>5</v>
      </c>
      <c r="S11" s="1381">
        <f t="shared" si="0"/>
        <v>100</v>
      </c>
      <c r="T11" s="1380" t="s">
        <v>5</v>
      </c>
      <c r="U11" s="1381">
        <f t="shared" si="1"/>
        <v>100</v>
      </c>
      <c r="V11" s="1380" t="s">
        <v>5</v>
      </c>
      <c r="W11" s="1381">
        <f t="shared" si="2"/>
        <v>100</v>
      </c>
      <c r="X11" s="1382"/>
      <c r="Y11" s="3809"/>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1"/>
      <c r="Q12" s="1049">
        <f t="shared" si="6"/>
        <v>111</v>
      </c>
      <c r="R12" s="1380" t="s">
        <v>5</v>
      </c>
      <c r="S12" s="1381">
        <f t="shared" si="0"/>
        <v>100</v>
      </c>
      <c r="T12" s="1380" t="s">
        <v>5</v>
      </c>
      <c r="U12" s="1381">
        <f t="shared" si="1"/>
        <v>100</v>
      </c>
      <c r="V12" s="1380" t="s">
        <v>5</v>
      </c>
      <c r="W12" s="1381">
        <f t="shared" si="2"/>
        <v>100</v>
      </c>
      <c r="X12" s="1382"/>
      <c r="Y12" s="3809"/>
      <c r="Z12" s="1048">
        <f t="shared" si="7"/>
        <v>111</v>
      </c>
      <c r="AA12" s="1383">
        <f>D12/F12</f>
        <v>1</v>
      </c>
      <c r="AB12" s="1383">
        <f>D12/H12</f>
        <v>1</v>
      </c>
      <c r="AC12" s="1383">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1"/>
      <c r="Q13" s="1049">
        <f t="shared" si="6"/>
        <v>111</v>
      </c>
      <c r="R13" s="1380" t="s">
        <v>5</v>
      </c>
      <c r="S13" s="1381">
        <f t="shared" si="0"/>
        <v>100</v>
      </c>
      <c r="T13" s="1380" t="s">
        <v>5</v>
      </c>
      <c r="U13" s="1381">
        <f t="shared" si="1"/>
        <v>100</v>
      </c>
      <c r="V13" s="1380" t="s">
        <v>5</v>
      </c>
      <c r="W13" s="1381">
        <f t="shared" si="2"/>
        <v>100</v>
      </c>
      <c r="X13" s="1382"/>
      <c r="Y13" s="3809"/>
      <c r="Z13" s="1048">
        <f t="shared" si="7"/>
        <v>111</v>
      </c>
      <c r="AA13" s="1383">
        <f t="shared" si="3"/>
        <v>1</v>
      </c>
      <c r="AB13" s="1383">
        <f t="shared" si="4"/>
        <v>1</v>
      </c>
      <c r="AC13" s="1383">
        <f t="shared" si="5"/>
        <v>1</v>
      </c>
    </row>
    <row r="14" spans="1:29" ht="96.6">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94" t="s">
        <v>489</v>
      </c>
      <c r="Q14" s="1384" t="str">
        <f t="shared" si="6"/>
        <v>交通便捷度</v>
      </c>
      <c r="R14" s="1385" t="s">
        <v>5</v>
      </c>
      <c r="S14" s="1386">
        <f t="shared" si="0"/>
        <v>100</v>
      </c>
      <c r="T14" s="1385" t="s">
        <v>5</v>
      </c>
      <c r="U14" s="1386">
        <f t="shared" si="1"/>
        <v>100</v>
      </c>
      <c r="V14" s="1385" t="s">
        <v>5</v>
      </c>
      <c r="W14" s="1386">
        <f t="shared" si="2"/>
        <v>100</v>
      </c>
      <c r="X14" s="1379"/>
      <c r="Y14" s="3894" t="s">
        <v>489</v>
      </c>
      <c r="Z14" s="1387" t="str">
        <f t="shared" si="7"/>
        <v>交通便捷度</v>
      </c>
      <c r="AA14" s="1388">
        <f t="shared" si="3"/>
        <v>1</v>
      </c>
      <c r="AB14" s="1388">
        <f t="shared" si="4"/>
        <v>1</v>
      </c>
      <c r="AC14" s="1388">
        <f t="shared" si="5"/>
        <v>1</v>
      </c>
    </row>
    <row r="15" spans="1:29" ht="15">
      <c r="A15" s="485"/>
      <c r="B15" s="886"/>
      <c r="C15" s="546" t="s">
        <v>3404</v>
      </c>
      <c r="D15" s="525"/>
      <c r="E15" s="546" t="s">
        <v>3404</v>
      </c>
      <c r="F15" s="527"/>
      <c r="G15" s="546" t="s">
        <v>3404</v>
      </c>
      <c r="H15" s="529"/>
      <c r="I15" s="546" t="s">
        <v>3404</v>
      </c>
      <c r="J15" s="525"/>
      <c r="K15" s="861"/>
      <c r="L15" s="1864"/>
      <c r="M15" s="1856"/>
      <c r="N15" s="1856"/>
      <c r="O15" s="1863"/>
      <c r="P15" s="3895"/>
      <c r="Q15" s="1384"/>
      <c r="R15" s="1385"/>
      <c r="S15" s="1386"/>
      <c r="T15" s="1385"/>
      <c r="U15" s="1386"/>
      <c r="V15" s="1385"/>
      <c r="W15" s="1386"/>
      <c r="X15" s="1379"/>
      <c r="Y15" s="3895"/>
      <c r="Z15" s="1387"/>
      <c r="AA15" s="1388">
        <v>1</v>
      </c>
      <c r="AB15" s="1388">
        <v>1</v>
      </c>
      <c r="AC15" s="1388">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98</v>
      </c>
      <c r="K16" s="860">
        <v>2</v>
      </c>
      <c r="L16" s="1864"/>
      <c r="M16" s="1856"/>
      <c r="N16" s="1856"/>
      <c r="O16" s="1863"/>
      <c r="P16" s="3895"/>
      <c r="Q16" s="1384" t="str">
        <f>B16</f>
        <v>公共配套设施</v>
      </c>
      <c r="R16" s="1385" t="s">
        <v>5</v>
      </c>
      <c r="S16" s="1386">
        <f>F16</f>
        <v>100</v>
      </c>
      <c r="T16" s="1385" t="s">
        <v>5</v>
      </c>
      <c r="U16" s="1386">
        <f>H16</f>
        <v>100</v>
      </c>
      <c r="V16" s="1385" t="s">
        <v>5</v>
      </c>
      <c r="W16" s="1386">
        <f>J16</f>
        <v>98</v>
      </c>
      <c r="X16" s="1379"/>
      <c r="Y16" s="3895"/>
      <c r="Z16" s="1387" t="str">
        <f>Q16</f>
        <v>公共配套设施</v>
      </c>
      <c r="AA16" s="1388">
        <f t="shared" si="3"/>
        <v>1</v>
      </c>
      <c r="AB16" s="1388">
        <f t="shared" si="4"/>
        <v>1</v>
      </c>
      <c r="AC16" s="1388">
        <f t="shared" si="5"/>
        <v>1.0204081632653061</v>
      </c>
    </row>
    <row r="17" spans="1:29" ht="15">
      <c r="A17" s="485"/>
      <c r="B17" s="536"/>
      <c r="C17" s="836" t="s">
        <v>3404</v>
      </c>
      <c r="D17" s="525"/>
      <c r="E17" s="546" t="s">
        <v>3404</v>
      </c>
      <c r="F17" s="527"/>
      <c r="G17" s="546" t="s">
        <v>3404</v>
      </c>
      <c r="H17" s="525"/>
      <c r="I17" s="546" t="s">
        <v>3407</v>
      </c>
      <c r="J17" s="525"/>
      <c r="K17" s="861"/>
      <c r="L17" s="1864"/>
      <c r="M17" s="1856"/>
      <c r="N17" s="1856"/>
      <c r="O17" s="1863"/>
      <c r="P17" s="3895"/>
      <c r="Q17" s="1384"/>
      <c r="R17" s="1385"/>
      <c r="S17" s="1386"/>
      <c r="T17" s="1385"/>
      <c r="U17" s="1386"/>
      <c r="V17" s="1385"/>
      <c r="W17" s="1386"/>
      <c r="X17" s="1379"/>
      <c r="Y17" s="3895"/>
      <c r="Z17" s="1387"/>
      <c r="AA17" s="1388">
        <v>1</v>
      </c>
      <c r="AB17" s="1388">
        <v>1</v>
      </c>
      <c r="AC17" s="1388">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v>1</v>
      </c>
      <c r="L18" s="1864"/>
      <c r="M18" s="1856"/>
      <c r="N18" s="1856"/>
      <c r="O18" s="1863"/>
      <c r="P18" s="3895"/>
      <c r="Q18" s="2192" t="str">
        <f>B18</f>
        <v>基础设施水平</v>
      </c>
      <c r="R18" s="1385" t="s">
        <v>5</v>
      </c>
      <c r="S18" s="1386">
        <f>F18</f>
        <v>100</v>
      </c>
      <c r="T18" s="1385" t="s">
        <v>5</v>
      </c>
      <c r="U18" s="1386">
        <f>H18</f>
        <v>100</v>
      </c>
      <c r="V18" s="1385" t="s">
        <v>5</v>
      </c>
      <c r="W18" s="1386">
        <f>J18</f>
        <v>100</v>
      </c>
      <c r="X18" s="2194"/>
      <c r="Y18" s="3895"/>
      <c r="Z18" s="2193" t="str">
        <f>Q18</f>
        <v>基础设施水平</v>
      </c>
      <c r="AA18" s="1388">
        <f>D18/F18</f>
        <v>1</v>
      </c>
      <c r="AB18" s="1388">
        <f>D18/H18</f>
        <v>1</v>
      </c>
      <c r="AC18" s="1388">
        <f>D18/J18</f>
        <v>1</v>
      </c>
    </row>
    <row r="19" spans="1:29" ht="15">
      <c r="A19" s="485"/>
      <c r="B19" s="548"/>
      <c r="C19" s="836" t="s">
        <v>3399</v>
      </c>
      <c r="D19" s="529"/>
      <c r="E19" s="836" t="s">
        <v>3399</v>
      </c>
      <c r="F19" s="527"/>
      <c r="G19" s="836" t="s">
        <v>3399</v>
      </c>
      <c r="H19" s="525"/>
      <c r="I19" s="836" t="s">
        <v>3399</v>
      </c>
      <c r="J19" s="525"/>
      <c r="K19" s="2209"/>
      <c r="L19" s="1864"/>
      <c r="M19" s="1856"/>
      <c r="N19" s="1856"/>
      <c r="O19" s="1863"/>
      <c r="P19" s="3895"/>
      <c r="Q19" s="2192"/>
      <c r="R19" s="1385"/>
      <c r="S19" s="1386"/>
      <c r="T19" s="1385"/>
      <c r="U19" s="1386"/>
      <c r="V19" s="1385"/>
      <c r="W19" s="1386"/>
      <c r="X19" s="2194"/>
      <c r="Y19" s="3895"/>
      <c r="Z19" s="2193"/>
      <c r="AA19" s="1388">
        <v>1</v>
      </c>
      <c r="AB19" s="1388">
        <v>1</v>
      </c>
      <c r="AC19" s="1388">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98</v>
      </c>
      <c r="G20" s="534"/>
      <c r="H20" s="529">
        <f>SUMIF(69:69,G21,70:70)-SUMIF(69:69,C21,70:70)+100</f>
        <v>98</v>
      </c>
      <c r="I20" s="532"/>
      <c r="J20" s="529">
        <f>SUMIF(69:69,I21,70:70)-SUMIF(69:69,C21,70:70)+100</f>
        <v>98</v>
      </c>
      <c r="K20" s="860">
        <v>2</v>
      </c>
      <c r="L20" s="1864"/>
      <c r="M20" s="1856"/>
      <c r="N20" s="1856"/>
      <c r="O20" s="1863"/>
      <c r="P20" s="3895"/>
      <c r="Q20" s="1384" t="str">
        <f>B20</f>
        <v>自然及人文环境</v>
      </c>
      <c r="R20" s="1385" t="s">
        <v>5</v>
      </c>
      <c r="S20" s="1386">
        <f>F20</f>
        <v>98</v>
      </c>
      <c r="T20" s="1385" t="s">
        <v>5</v>
      </c>
      <c r="U20" s="1386">
        <f>H20</f>
        <v>98</v>
      </c>
      <c r="V20" s="1385" t="s">
        <v>5</v>
      </c>
      <c r="W20" s="1386">
        <f>J20</f>
        <v>98</v>
      </c>
      <c r="X20" s="1379"/>
      <c r="Y20" s="3895"/>
      <c r="Z20" s="1387" t="str">
        <f>Q20</f>
        <v>自然及人文环境</v>
      </c>
      <c r="AA20" s="1388">
        <f t="shared" si="3"/>
        <v>1.0204081632653061</v>
      </c>
      <c r="AB20" s="1388">
        <f t="shared" si="4"/>
        <v>1.0204081632653061</v>
      </c>
      <c r="AC20" s="1388">
        <f t="shared" si="5"/>
        <v>1.0204081632653061</v>
      </c>
    </row>
    <row r="21" spans="1:29" ht="15">
      <c r="A21" s="485"/>
      <c r="B21" s="536"/>
      <c r="C21" s="546" t="s">
        <v>3404</v>
      </c>
      <c r="D21" s="525"/>
      <c r="E21" s="546" t="s">
        <v>3407</v>
      </c>
      <c r="F21" s="527"/>
      <c r="G21" s="546" t="s">
        <v>3407</v>
      </c>
      <c r="H21" s="525"/>
      <c r="I21" s="546" t="s">
        <v>3407</v>
      </c>
      <c r="J21" s="525"/>
      <c r="K21" s="861"/>
      <c r="L21" s="1864"/>
      <c r="M21" s="1856"/>
      <c r="N21" s="1856"/>
      <c r="O21" s="1863"/>
      <c r="P21" s="3895"/>
      <c r="Q21" s="1384"/>
      <c r="R21" s="1385"/>
      <c r="S21" s="1386"/>
      <c r="T21" s="1385"/>
      <c r="U21" s="1386"/>
      <c r="V21" s="1385"/>
      <c r="W21" s="1386"/>
      <c r="X21" s="1379"/>
      <c r="Y21" s="3895"/>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95"/>
      <c r="Q22" s="1384" t="str">
        <f>B22</f>
        <v>楼层</v>
      </c>
      <c r="R22" s="1385" t="s">
        <v>5</v>
      </c>
      <c r="S22" s="1386">
        <f>F22</f>
        <v>100</v>
      </c>
      <c r="T22" s="1385" t="s">
        <v>5</v>
      </c>
      <c r="U22" s="1386">
        <f>H22</f>
        <v>100</v>
      </c>
      <c r="V22" s="1385" t="s">
        <v>5</v>
      </c>
      <c r="W22" s="1386">
        <f>J22</f>
        <v>100</v>
      </c>
      <c r="X22" s="1379"/>
      <c r="Y22" s="3895"/>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95"/>
      <c r="Q23" s="1384">
        <f>B23</f>
        <v>111</v>
      </c>
      <c r="R23" s="1385" t="s">
        <v>5</v>
      </c>
      <c r="S23" s="1386">
        <f>F23</f>
        <v>100</v>
      </c>
      <c r="T23" s="1385" t="s">
        <v>5</v>
      </c>
      <c r="U23" s="1386">
        <f>H23</f>
        <v>100</v>
      </c>
      <c r="V23" s="1385" t="s">
        <v>5</v>
      </c>
      <c r="W23" s="1386">
        <f>J23</f>
        <v>100</v>
      </c>
      <c r="X23" s="1379"/>
      <c r="Y23" s="3895"/>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95"/>
      <c r="Q24" s="1384">
        <f t="shared" ref="Q24:Q36" si="8">B24</f>
        <v>111</v>
      </c>
      <c r="R24" s="1385" t="s">
        <v>5</v>
      </c>
      <c r="S24" s="1386">
        <f>F24</f>
        <v>100</v>
      </c>
      <c r="T24" s="1385" t="s">
        <v>5</v>
      </c>
      <c r="U24" s="1386">
        <f>H24</f>
        <v>100</v>
      </c>
      <c r="V24" s="1385" t="s">
        <v>5</v>
      </c>
      <c r="W24" s="1386">
        <f>J24</f>
        <v>100</v>
      </c>
      <c r="X24" s="1379"/>
      <c r="Y24" s="3895"/>
      <c r="Z24" s="1387">
        <f>Q24</f>
        <v>111</v>
      </c>
      <c r="AA24" s="1388">
        <f t="shared" si="3"/>
        <v>1</v>
      </c>
      <c r="AB24" s="1388">
        <f t="shared" si="4"/>
        <v>1</v>
      </c>
      <c r="AC24" s="1388">
        <f t="shared" si="5"/>
        <v>1</v>
      </c>
    </row>
    <row r="25" spans="1:29" s="1117" customFormat="1" ht="15.6"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95"/>
      <c r="Q25" s="1049">
        <f t="shared" si="8"/>
        <v>111</v>
      </c>
      <c r="R25" s="1380" t="s">
        <v>5</v>
      </c>
      <c r="S25" s="1381">
        <f>F25</f>
        <v>100</v>
      </c>
      <c r="T25" s="1380" t="s">
        <v>5</v>
      </c>
      <c r="U25" s="1381">
        <f>H25</f>
        <v>100</v>
      </c>
      <c r="V25" s="1380" t="s">
        <v>5</v>
      </c>
      <c r="W25" s="1381">
        <f>J25</f>
        <v>100</v>
      </c>
      <c r="X25" s="1382"/>
      <c r="Y25" s="3895"/>
      <c r="Z25" s="1048">
        <f>Q25</f>
        <v>111</v>
      </c>
      <c r="AA25" s="1388">
        <f>D25/F25</f>
        <v>1</v>
      </c>
      <c r="AB25" s="1388">
        <f>D25/H25</f>
        <v>1</v>
      </c>
      <c r="AC25" s="1388">
        <f>D25/J25</f>
        <v>1</v>
      </c>
    </row>
    <row r="26" spans="1:29" ht="15">
      <c r="A26" s="2386" t="s">
        <v>2037</v>
      </c>
      <c r="B26" s="163" t="s">
        <v>746</v>
      </c>
      <c r="C26" s="890"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c r="L26" s="1864"/>
      <c r="M26" s="1856"/>
      <c r="N26" s="1856"/>
      <c r="O26" s="1863"/>
      <c r="P26" s="3896"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97"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97"/>
      <c r="Q27" s="1413" t="str">
        <f t="shared" si="8"/>
        <v>项目停车位配比</v>
      </c>
      <c r="R27" s="1389" t="s">
        <v>5</v>
      </c>
      <c r="S27" s="1390">
        <f t="shared" si="9"/>
        <v>100</v>
      </c>
      <c r="T27" s="1389" t="s">
        <v>5</v>
      </c>
      <c r="U27" s="1390">
        <f t="shared" si="10"/>
        <v>100</v>
      </c>
      <c r="V27" s="1389" t="s">
        <v>5</v>
      </c>
      <c r="W27" s="1390">
        <f t="shared" si="11"/>
        <v>100</v>
      </c>
      <c r="X27" s="1391"/>
      <c r="Y27" s="3897"/>
      <c r="Z27" s="1392" t="str">
        <f t="shared" si="12"/>
        <v>项目停车位配比</v>
      </c>
      <c r="AA27" s="1388">
        <f t="shared" si="3"/>
        <v>1</v>
      </c>
      <c r="AB27" s="1388">
        <f t="shared" si="4"/>
        <v>1</v>
      </c>
      <c r="AC27" s="1388">
        <f t="shared" si="5"/>
        <v>1</v>
      </c>
    </row>
    <row r="28" spans="1:29" ht="15">
      <c r="A28" s="893"/>
      <c r="B28" s="552" t="s">
        <v>748</v>
      </c>
      <c r="C28" s="544" t="s">
        <v>3435</v>
      </c>
      <c r="D28" s="510">
        <v>100</v>
      </c>
      <c r="E28" s="544" t="s">
        <v>3435</v>
      </c>
      <c r="F28" s="545">
        <f>SUMIF(83:83,E28,84:84)-SUMIF(83:83,C28,84:84)+100</f>
        <v>100</v>
      </c>
      <c r="G28" s="544" t="s">
        <v>3435</v>
      </c>
      <c r="H28" s="510">
        <f>SUMIF(83:83,G28,84:84)-SUMIF(83:83,C28,84:84)+100</f>
        <v>100</v>
      </c>
      <c r="I28" s="544" t="s">
        <v>3435</v>
      </c>
      <c r="J28" s="510">
        <f>SUMIF(83:83,I28,84:84)-SUMIF(83:83,C28,84:84)+100</f>
        <v>100</v>
      </c>
      <c r="K28" s="554">
        <v>2</v>
      </c>
      <c r="L28" s="1864"/>
      <c r="M28" s="1856"/>
      <c r="N28" s="1856"/>
      <c r="O28" s="1863"/>
      <c r="P28" s="3897"/>
      <c r="Q28" s="1384" t="str">
        <f t="shared" si="8"/>
        <v>公共部分装修</v>
      </c>
      <c r="R28" s="1385" t="s">
        <v>5</v>
      </c>
      <c r="S28" s="1386">
        <f t="shared" si="9"/>
        <v>100</v>
      </c>
      <c r="T28" s="1385" t="s">
        <v>5</v>
      </c>
      <c r="U28" s="1386">
        <f t="shared" si="10"/>
        <v>100</v>
      </c>
      <c r="V28" s="1385" t="s">
        <v>5</v>
      </c>
      <c r="W28" s="1386">
        <f t="shared" si="11"/>
        <v>100</v>
      </c>
      <c r="X28" s="1379"/>
      <c r="Y28" s="3897"/>
      <c r="Z28" s="1387" t="str">
        <f t="shared" si="12"/>
        <v>公共部分装修</v>
      </c>
      <c r="AA28" s="1388">
        <f t="shared" si="3"/>
        <v>1</v>
      </c>
      <c r="AB28" s="1388">
        <f t="shared" si="4"/>
        <v>1</v>
      </c>
      <c r="AC28" s="1388">
        <f t="shared" si="5"/>
        <v>1</v>
      </c>
    </row>
    <row r="29" spans="1:29" ht="15">
      <c r="A29" s="893"/>
      <c r="B29" s="552" t="s">
        <v>749</v>
      </c>
      <c r="C29" s="842">
        <v>100</v>
      </c>
      <c r="D29" s="510">
        <v>100</v>
      </c>
      <c r="E29" s="845">
        <v>1</v>
      </c>
      <c r="F29" s="545">
        <f>LOOKUP(E29,86:86,87:87)-LOOKUP(C29,86:86,87:87)+100</f>
        <v>100</v>
      </c>
      <c r="G29" s="845">
        <v>1</v>
      </c>
      <c r="H29" s="545">
        <f>LOOKUP(G29,86:86,87:87)-LOOKUP(C29,86:86,87:87)+100</f>
        <v>100</v>
      </c>
      <c r="I29" s="845">
        <v>1</v>
      </c>
      <c r="J29" s="510">
        <f>LOOKUP(I29,86:86,87:87)-LOOKUP(C29,86:86,87:87)+100</f>
        <v>100</v>
      </c>
      <c r="K29" s="554">
        <v>0</v>
      </c>
      <c r="L29" s="1864"/>
      <c r="M29" s="1856"/>
      <c r="N29" s="1856"/>
      <c r="O29" s="1863"/>
      <c r="P29" s="3897"/>
      <c r="Q29" s="1384" t="str">
        <f t="shared" si="8"/>
        <v>成新率</v>
      </c>
      <c r="R29" s="1385" t="s">
        <v>5</v>
      </c>
      <c r="S29" s="1386">
        <f t="shared" si="9"/>
        <v>100</v>
      </c>
      <c r="T29" s="1385" t="s">
        <v>5</v>
      </c>
      <c r="U29" s="1386">
        <f t="shared" si="10"/>
        <v>100</v>
      </c>
      <c r="V29" s="1385" t="s">
        <v>5</v>
      </c>
      <c r="W29" s="1386">
        <f t="shared" si="11"/>
        <v>100</v>
      </c>
      <c r="X29" s="1379"/>
      <c r="Y29" s="3897"/>
      <c r="Z29" s="1387" t="str">
        <f t="shared" si="12"/>
        <v>成新率</v>
      </c>
      <c r="AA29" s="1388">
        <f t="shared" si="3"/>
        <v>1</v>
      </c>
      <c r="AB29" s="1388">
        <f t="shared" si="4"/>
        <v>1</v>
      </c>
      <c r="AC29" s="1388">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97"/>
      <c r="Q30" s="1384" t="str">
        <f t="shared" si="8"/>
        <v>物业等级</v>
      </c>
      <c r="R30" s="1385" t="s">
        <v>5</v>
      </c>
      <c r="S30" s="1386">
        <f t="shared" si="9"/>
        <v>100</v>
      </c>
      <c r="T30" s="1385" t="s">
        <v>5</v>
      </c>
      <c r="U30" s="1386">
        <f t="shared" si="10"/>
        <v>100</v>
      </c>
      <c r="V30" s="1385" t="s">
        <v>5</v>
      </c>
      <c r="W30" s="1386">
        <f t="shared" si="11"/>
        <v>100</v>
      </c>
      <c r="X30" s="1379"/>
      <c r="Y30" s="3897"/>
      <c r="Z30" s="1387" t="str">
        <f t="shared" si="12"/>
        <v>物业等级</v>
      </c>
      <c r="AA30" s="1388">
        <f t="shared" si="3"/>
        <v>1</v>
      </c>
      <c r="AB30" s="1388">
        <f t="shared" si="4"/>
        <v>1</v>
      </c>
      <c r="AC30" s="1388">
        <f t="shared" si="5"/>
        <v>1</v>
      </c>
    </row>
    <row r="31" spans="1:29" s="1117" customFormat="1" ht="15">
      <c r="A31" s="895"/>
      <c r="B31" s="552" t="s">
        <v>751</v>
      </c>
      <c r="C31" s="842">
        <v>27</v>
      </c>
      <c r="D31" s="246">
        <v>100</v>
      </c>
      <c r="E31" s="842">
        <v>33</v>
      </c>
      <c r="F31" s="545">
        <f>LOOKUP(E31,91:91,92:92)-LOOKUP(C31,91:91,92:92)+100</f>
        <v>105</v>
      </c>
      <c r="G31" s="842">
        <v>33</v>
      </c>
      <c r="H31" s="510">
        <f>LOOKUP(G31,91:91,92:92)-LOOKUP(C31,91:91,92:92)+100</f>
        <v>105</v>
      </c>
      <c r="I31" s="842">
        <v>30</v>
      </c>
      <c r="J31" s="510">
        <f>LOOKUP(I31,91:91,92:92)-LOOKUP(C31,91:91,92:92)+100</f>
        <v>105</v>
      </c>
      <c r="K31" s="554">
        <v>2</v>
      </c>
      <c r="L31" s="1857"/>
      <c r="M31" s="1858"/>
      <c r="N31" s="1858"/>
      <c r="O31" s="1859"/>
      <c r="P31" s="3897"/>
      <c r="Q31" s="1049" t="str">
        <f t="shared" si="8"/>
        <v>停车位面积</v>
      </c>
      <c r="R31" s="1380" t="s">
        <v>5</v>
      </c>
      <c r="S31" s="1381">
        <f t="shared" si="9"/>
        <v>105</v>
      </c>
      <c r="T31" s="1380" t="s">
        <v>5</v>
      </c>
      <c r="U31" s="1381">
        <f t="shared" si="10"/>
        <v>105</v>
      </c>
      <c r="V31" s="1380" t="s">
        <v>5</v>
      </c>
      <c r="W31" s="1381">
        <f t="shared" si="11"/>
        <v>105</v>
      </c>
      <c r="X31" s="1382"/>
      <c r="Y31" s="3897"/>
      <c r="Z31" s="1048" t="str">
        <f t="shared" si="12"/>
        <v>停车位面积</v>
      </c>
      <c r="AA31" s="1383">
        <f t="shared" si="3"/>
        <v>0.95238095238095233</v>
      </c>
      <c r="AB31" s="1383">
        <f t="shared" si="4"/>
        <v>0.95238095238095233</v>
      </c>
      <c r="AC31" s="1383">
        <f t="shared" si="5"/>
        <v>0.95238095238095233</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97" t="s">
        <v>499</v>
      </c>
      <c r="Q32" s="1384" t="str">
        <f t="shared" si="8"/>
        <v>车位类型</v>
      </c>
      <c r="R32" s="1385" t="s">
        <v>5</v>
      </c>
      <c r="S32" s="1386">
        <f t="shared" si="9"/>
        <v>100</v>
      </c>
      <c r="T32" s="1385" t="s">
        <v>5</v>
      </c>
      <c r="U32" s="1386">
        <f t="shared" si="10"/>
        <v>100</v>
      </c>
      <c r="V32" s="1385" t="s">
        <v>5</v>
      </c>
      <c r="W32" s="1386">
        <f t="shared" si="11"/>
        <v>100</v>
      </c>
      <c r="X32" s="1379"/>
      <c r="Y32" s="3897" t="s">
        <v>499</v>
      </c>
      <c r="Z32" s="1387" t="str">
        <f t="shared" si="12"/>
        <v>车位类型</v>
      </c>
      <c r="AA32" s="1388">
        <f t="shared" si="3"/>
        <v>1</v>
      </c>
      <c r="AB32" s="1388">
        <f t="shared" si="4"/>
        <v>1</v>
      </c>
      <c r="AC32" s="1388">
        <f t="shared" si="5"/>
        <v>1</v>
      </c>
    </row>
    <row r="33" spans="1:29" ht="15">
      <c r="A33" s="893"/>
      <c r="B33" s="552" t="s">
        <v>753</v>
      </c>
      <c r="C33" s="544" t="s">
        <v>3315</v>
      </c>
      <c r="D33" s="510">
        <v>100</v>
      </c>
      <c r="E33" s="544" t="s">
        <v>3315</v>
      </c>
      <c r="F33" s="545">
        <f>SUMIF(95:95,E33,96:96)-SUMIF(95:95,C33,96:96)+100</f>
        <v>100</v>
      </c>
      <c r="G33" s="544" t="s">
        <v>3315</v>
      </c>
      <c r="H33" s="510">
        <f>SUMIF(95:95,G33,96:96)-SUMIF(95:95,C33,96:96)+100</f>
        <v>100</v>
      </c>
      <c r="I33" s="544" t="s">
        <v>3315</v>
      </c>
      <c r="J33" s="510">
        <f>SUMIF(95:95,I33,96:96)-SUMIF(95:95,C33,96:96)+100</f>
        <v>100</v>
      </c>
      <c r="K33" s="554">
        <v>2</v>
      </c>
      <c r="L33" s="1864"/>
      <c r="M33" s="1856"/>
      <c r="N33" s="1856"/>
      <c r="O33" s="1863"/>
      <c r="P33" s="3897"/>
      <c r="Q33" s="1384" t="str">
        <f t="shared" si="8"/>
        <v>是否直接入户</v>
      </c>
      <c r="R33" s="1385" t="s">
        <v>5</v>
      </c>
      <c r="S33" s="1386">
        <f t="shared" si="9"/>
        <v>100</v>
      </c>
      <c r="T33" s="1385" t="s">
        <v>5</v>
      </c>
      <c r="U33" s="1386">
        <f t="shared" si="10"/>
        <v>100</v>
      </c>
      <c r="V33" s="1385" t="s">
        <v>5</v>
      </c>
      <c r="W33" s="1386">
        <f t="shared" si="11"/>
        <v>100</v>
      </c>
      <c r="X33" s="1379"/>
      <c r="Y33" s="3897"/>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97"/>
      <c r="Q34" s="1384">
        <f t="shared" si="8"/>
        <v>111</v>
      </c>
      <c r="R34" s="1385" t="s">
        <v>5</v>
      </c>
      <c r="S34" s="1386">
        <f t="shared" si="9"/>
        <v>100</v>
      </c>
      <c r="T34" s="1385" t="s">
        <v>5</v>
      </c>
      <c r="U34" s="1386">
        <f t="shared" si="10"/>
        <v>100</v>
      </c>
      <c r="V34" s="1385" t="s">
        <v>5</v>
      </c>
      <c r="W34" s="1386">
        <f t="shared" si="11"/>
        <v>100</v>
      </c>
      <c r="X34" s="1379"/>
      <c r="Y34" s="3897"/>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97"/>
      <c r="Q35" s="1413">
        <f t="shared" si="8"/>
        <v>111</v>
      </c>
      <c r="R35" s="1389" t="s">
        <v>5</v>
      </c>
      <c r="S35" s="1390">
        <f t="shared" si="9"/>
        <v>100</v>
      </c>
      <c r="T35" s="1389" t="s">
        <v>5</v>
      </c>
      <c r="U35" s="1390">
        <f t="shared" si="10"/>
        <v>100</v>
      </c>
      <c r="V35" s="1389" t="s">
        <v>5</v>
      </c>
      <c r="W35" s="1390">
        <f t="shared" si="11"/>
        <v>100</v>
      </c>
      <c r="X35" s="1391"/>
      <c r="Y35" s="3897"/>
      <c r="Z35" s="1392">
        <f t="shared" si="12"/>
        <v>111</v>
      </c>
      <c r="AA35" s="1388">
        <f t="shared" si="3"/>
        <v>1</v>
      </c>
      <c r="AB35" s="1388">
        <f t="shared" si="4"/>
        <v>1</v>
      </c>
      <c r="AC35" s="1388">
        <f t="shared" si="5"/>
        <v>1</v>
      </c>
    </row>
    <row r="36" spans="1:29" ht="15.6"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97"/>
      <c r="Q36" s="1384">
        <f t="shared" si="8"/>
        <v>111</v>
      </c>
      <c r="R36" s="1385" t="s">
        <v>5</v>
      </c>
      <c r="S36" s="1386">
        <f t="shared" si="9"/>
        <v>100</v>
      </c>
      <c r="T36" s="1385" t="s">
        <v>5</v>
      </c>
      <c r="U36" s="1386">
        <f t="shared" si="10"/>
        <v>100</v>
      </c>
      <c r="V36" s="1385" t="s">
        <v>5</v>
      </c>
      <c r="W36" s="1386">
        <f t="shared" si="11"/>
        <v>100</v>
      </c>
      <c r="X36" s="1379"/>
      <c r="Y36" s="3897"/>
      <c r="Z36" s="1387">
        <f t="shared" si="12"/>
        <v>111</v>
      </c>
      <c r="AA36" s="1388">
        <f t="shared" si="3"/>
        <v>1</v>
      </c>
      <c r="AB36" s="1388">
        <f t="shared" si="4"/>
        <v>1</v>
      </c>
      <c r="AC36" s="1388">
        <f t="shared" si="5"/>
        <v>1</v>
      </c>
    </row>
    <row r="37" spans="1:29" ht="14.4">
      <c r="A37" s="1631" t="s">
        <v>1595</v>
      </c>
      <c r="B37" s="1632" t="s">
        <v>3437</v>
      </c>
      <c r="C37" s="2233" t="s">
        <v>0</v>
      </c>
      <c r="D37" s="2234"/>
      <c r="E37" s="2235">
        <v>198000</v>
      </c>
      <c r="F37" s="2236"/>
      <c r="G37" s="2237">
        <v>160000</v>
      </c>
      <c r="H37" s="2238"/>
      <c r="I37" s="2235">
        <v>180000</v>
      </c>
      <c r="J37" s="2238"/>
      <c r="K37" s="1418"/>
      <c r="L37" s="1866"/>
      <c r="M37" s="1867"/>
      <c r="N37" s="1856"/>
      <c r="O37" s="1867"/>
      <c r="P37" s="3861" t="str">
        <f>A37</f>
        <v>成交单价</v>
      </c>
      <c r="Q37" s="3861"/>
      <c r="R37" s="3970">
        <f>E37</f>
        <v>198000</v>
      </c>
      <c r="S37" s="3970"/>
      <c r="T37" s="3970">
        <f>G37</f>
        <v>160000</v>
      </c>
      <c r="U37" s="3970"/>
      <c r="V37" s="3970">
        <f>I37</f>
        <v>180000</v>
      </c>
      <c r="W37" s="3970"/>
      <c r="X37" s="1374"/>
      <c r="Y37" s="1393"/>
      <c r="Z37" s="1374"/>
      <c r="AA37" s="1374"/>
      <c r="AB37" s="1374"/>
      <c r="AC37" s="1374"/>
    </row>
    <row r="38" spans="1:29" ht="15" thickBot="1">
      <c r="A38" s="585" t="s">
        <v>2042</v>
      </c>
      <c r="B38" s="850"/>
      <c r="C38" s="2239">
        <f>R39</f>
        <v>175469</v>
      </c>
      <c r="D38" s="2755" t="s">
        <v>2261</v>
      </c>
      <c r="E38" s="2240">
        <f>R38</f>
        <v>192420</v>
      </c>
      <c r="F38" s="2756"/>
      <c r="G38" s="2239">
        <f>T38</f>
        <v>155491</v>
      </c>
      <c r="H38" s="2756"/>
      <c r="I38" s="2240">
        <f>V38</f>
        <v>178497</v>
      </c>
      <c r="J38" s="2756"/>
      <c r="K38" s="2764">
        <f>F38+H38+J38</f>
        <v>0</v>
      </c>
      <c r="L38" s="1866"/>
      <c r="M38" s="1867"/>
      <c r="N38" s="1867"/>
      <c r="O38" s="1867"/>
      <c r="P38" s="3861" t="str">
        <f>A38</f>
        <v>比较价格（元/平方米）</v>
      </c>
      <c r="Q38" s="3861"/>
      <c r="R38" s="3970">
        <f>IF(F1="售价",ROUND(PRODUCT(R37,AA7:AA36),0),ROUND(PRODUCT(R37,AA7:AA36),1))</f>
        <v>192420</v>
      </c>
      <c r="S38" s="3970"/>
      <c r="T38" s="3970">
        <f>IF(F1="售价",ROUND(PRODUCT(T37,AB7:AB36),0),ROUND(PRODUCT(T37,AB7:AB36),1))</f>
        <v>155491</v>
      </c>
      <c r="U38" s="3970"/>
      <c r="V38" s="3970">
        <f>IF(F1="售价",ROUND(PRODUCT(V37,AC7:AC36),0),ROUND(PRODUCT(V37,AC7:AC36),1))</f>
        <v>178497</v>
      </c>
      <c r="W38" s="3970"/>
      <c r="X38" s="1374"/>
      <c r="Y38" s="1374"/>
      <c r="Z38" s="1374"/>
      <c r="AA38" s="1374"/>
      <c r="AB38" s="1374"/>
      <c r="AC38" s="1374"/>
    </row>
    <row r="39" spans="1:29" ht="15" thickBot="1">
      <c r="A39" s="589" t="s">
        <v>2198</v>
      </c>
      <c r="B39" s="590"/>
      <c r="C39" s="2241">
        <f>R39</f>
        <v>175469</v>
      </c>
      <c r="D39" s="2241"/>
      <c r="E39" s="2241"/>
      <c r="F39" s="2241"/>
      <c r="G39" s="2241"/>
      <c r="H39" s="2241"/>
      <c r="I39" s="2241"/>
      <c r="J39" s="2241"/>
      <c r="K39" s="1419"/>
      <c r="L39" s="1866"/>
      <c r="M39" s="1867"/>
      <c r="N39" s="1867"/>
      <c r="O39" s="1867"/>
      <c r="P39" s="3898" t="str">
        <f>A39</f>
        <v>估价对象XX用房的比较价格（楼面单价，元/平方米）</v>
      </c>
      <c r="Q39" s="3899"/>
      <c r="R39" s="3969">
        <f>IF(F1="售价",ROUND(IF(D38="简单平均",AVERAGE(R38:W38),R38*F38+T38*H38+V38*J38),0),ROUND(IF(D38="简单平均",AVERAGE(R38:V38),R38*F38+T38*H38+V38*J38),1))</f>
        <v>175469</v>
      </c>
      <c r="S39" s="3969"/>
      <c r="T39" s="3969"/>
      <c r="U39" s="3969"/>
      <c r="V39" s="3969"/>
      <c r="W39" s="3969"/>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f>IF(E37&lt;E38,E38/E37-1,E37/E38-1)</f>
        <v>2.8999064546304965E-2</v>
      </c>
      <c r="F42" s="595" t="str">
        <f>IF(OR(E42&gt;=0.3,E42&lt;=-0.3),"超过30%","")</f>
        <v/>
      </c>
      <c r="G42" s="594">
        <f>IF(G37&lt;G38,G38/G37-1,G37/G38-1)</f>
        <v>2.8998462933546021E-2</v>
      </c>
      <c r="H42" s="595" t="str">
        <f>IF(OR(G42&gt;=0.3,G42&lt;=-0.3),"超过30%","")</f>
        <v/>
      </c>
      <c r="I42" s="594">
        <f>IF(I37&lt;I38,I38/I37-1,I37/I38-1)</f>
        <v>8.4203095850350351E-3</v>
      </c>
      <c r="J42" s="595" t="str">
        <f>IF(OR(I42&gt;=0.3,I42&lt;=-0.3),"超过30%","")</f>
        <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f>IF(E38&lt;G38,G38/E38-1,E38/G38-1)</f>
        <v>0.23749927648545577</v>
      </c>
      <c r="F43" s="595" t="str">
        <f>IF(OR(E43&gt;=0.2,E43&lt;=-0.2),"超过20%","")</f>
        <v>超过20%</v>
      </c>
      <c r="G43" s="594">
        <f>IF(G38&lt;I38,I38/G38-1,G38/I38-1)</f>
        <v>0.14795711648905718</v>
      </c>
      <c r="H43" s="595" t="str">
        <f>IF(OR(G43&gt;=0.2,G43&lt;=-0.2),"超过20%","")</f>
        <v/>
      </c>
      <c r="I43" s="594">
        <f>IF(I38&lt;E38,E38/I38-1,I38/E38-1)</f>
        <v>7.8001310946402391E-2</v>
      </c>
      <c r="J43" s="595" t="str">
        <f>IF(OR(I43&gt;=0.2,I43&lt;=-0.2),"超过20%","")</f>
        <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f>IF(E37&lt;G37,G37/E37-1,E37/G37-1)</f>
        <v>0.23750000000000004</v>
      </c>
      <c r="F44" s="595" t="str">
        <f>IF(OR(E44&gt;=0.3,E44&lt;=-0.3),"超过30%","")</f>
        <v/>
      </c>
      <c r="G44" s="594">
        <f>IF(G37&lt;I37,I37/G37-1,G37/I37-1)</f>
        <v>0.125</v>
      </c>
      <c r="H44" s="595" t="str">
        <f>IF(OR(G44&gt;=0.3,G44&lt;=-0.3),"超过30%","")</f>
        <v/>
      </c>
      <c r="I44" s="594">
        <f>IF(I37&lt;E37,E37/I37-1,I37/E37-1)</f>
        <v>0.10000000000000009</v>
      </c>
      <c r="J44" s="595" t="str">
        <f>IF(OR(I44&gt;=0.3,I44&lt;=-0.3),"超过30%","")</f>
        <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4.4">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4.4"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ht="14.4">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 thickBot="1">
      <c r="A54" s="637"/>
      <c r="B54" s="638"/>
      <c r="C54" s="3688"/>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9.4"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4.4"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4.4"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4.4"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4.4"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4.4"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4.4"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4.4"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4.4" thickBot="1">
      <c r="A68" s="637"/>
      <c r="B68" s="649"/>
      <c r="C68" s="647">
        <v>100</v>
      </c>
      <c r="D68" s="647">
        <f>C68-$K18</f>
        <v>99</v>
      </c>
      <c r="E68" s="647">
        <f>D68-$K18</f>
        <v>98</v>
      </c>
      <c r="F68" s="647">
        <f>E68-$K18</f>
        <v>97</v>
      </c>
      <c r="G68" s="647">
        <f>F68-$K18</f>
        <v>96</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4.4"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4.4"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4.4"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4.4"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4.4"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9.4" thickTop="1">
      <c r="A79" s="632" t="s">
        <v>500</v>
      </c>
      <c r="B79" s="633" t="s">
        <v>754</v>
      </c>
      <c r="C79" s="672" t="str">
        <f>C26</f>
        <v>住宅</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4.4"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81" t="s">
        <v>3436</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4.4"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20(含)-30</v>
      </c>
      <c r="D90" s="676" t="str">
        <f t="shared" ref="D90:L90" si="18">D91&amp;"(含)"&amp;"-"&amp;E91</f>
        <v>30(含)-40</v>
      </c>
      <c r="E90" s="676" t="str">
        <f t="shared" si="18"/>
        <v>40(含)-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20</v>
      </c>
      <c r="D91" s="698">
        <v>30</v>
      </c>
      <c r="E91" s="698">
        <v>40</v>
      </c>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v>100</v>
      </c>
      <c r="D92" s="639">
        <v>105</v>
      </c>
      <c r="E92" s="639">
        <v>110</v>
      </c>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78" t="s">
        <v>3438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C96-$K33</f>
        <v>98</v>
      </c>
      <c r="E96" s="647">
        <f>D96-$K33</f>
        <v>96</v>
      </c>
      <c r="F96" s="647">
        <f>E96-$K33</f>
        <v>94</v>
      </c>
      <c r="G96" s="647">
        <f>F96-$K33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4.4"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4.4"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4.4"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4.4"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4.4"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workbookViewId="0">
      <selection activeCell="T54" sqref="T54"/>
    </sheetView>
  </sheetViews>
  <sheetFormatPr defaultColWidth="8.88671875" defaultRowHeight="14.4"/>
  <cols>
    <col min="1" max="16384" width="8.88671875" style="3686"/>
  </cols>
  <sheetData>
    <row r="9" spans="18:18">
      <c r="R9" s="3686">
        <f>4545.1/284</f>
        <v>16.003873239436622</v>
      </c>
    </row>
    <row r="10" spans="18:18">
      <c r="R10" s="3686">
        <f>9396/284</f>
        <v>33.08450704225352</v>
      </c>
    </row>
    <row r="24" spans="18:20">
      <c r="R24" s="3686">
        <f>5939.98/330</f>
        <v>17.999939393939393</v>
      </c>
      <c r="S24" s="3686" t="s">
        <v>3414</v>
      </c>
      <c r="T24" s="3686">
        <f>9729/330</f>
        <v>29.481818181818181</v>
      </c>
    </row>
    <row r="48" spans="19:20">
      <c r="S48" s="3686">
        <f>5621.88/284</f>
        <v>19.795352112676056</v>
      </c>
      <c r="T48" s="3686" t="s">
        <v>2207</v>
      </c>
    </row>
    <row r="49" spans="19:20">
      <c r="S49" s="3686">
        <f>9517/284</f>
        <v>33.510563380281688</v>
      </c>
      <c r="T49" s="3686" t="s">
        <v>3415</v>
      </c>
    </row>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0" zoomScaleNormal="60" zoomScaleSheetLayoutView="80" workbookViewId="0">
      <selection activeCell="K42" sqref="K42"/>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3261</v>
      </c>
      <c r="D1" s="2551" t="s">
        <v>3416</v>
      </c>
      <c r="E1" s="2078" t="s">
        <v>1728</v>
      </c>
      <c r="F1" s="2079">
        <f ca="1">J53</f>
        <v>47.86</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5487</v>
      </c>
      <c r="C2" s="3004"/>
      <c r="D2" s="3005"/>
      <c r="E2" s="3006"/>
      <c r="F2" s="3006"/>
      <c r="G2" s="3000"/>
      <c r="H2" s="1780"/>
      <c r="I2" s="1780"/>
      <c r="J2" s="1780"/>
      <c r="K2" s="1781"/>
      <c r="L2" s="1780"/>
      <c r="M2" s="1780"/>
    </row>
    <row r="3" spans="1:33" ht="18" customHeight="1" thickBot="1">
      <c r="A3" s="798" t="s">
        <v>1256</v>
      </c>
      <c r="B3" s="799">
        <f ca="1">IF(ISERROR(B2*10000/F43),0,ROUND(B2*10000/F43,0))</f>
        <v>4809</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450</v>
      </c>
      <c r="D5" s="2142" t="s">
        <v>1805</v>
      </c>
      <c r="E5" s="2136"/>
      <c r="F5" s="2137"/>
      <c r="G5" s="1785"/>
      <c r="H5" s="747">
        <v>1</v>
      </c>
      <c r="I5" s="748" t="s">
        <v>1802</v>
      </c>
      <c r="J5" s="53">
        <f ca="1">J6+J10+J12</f>
        <v>0</v>
      </c>
      <c r="K5" s="2142" t="s">
        <v>1805</v>
      </c>
      <c r="L5" s="2136"/>
      <c r="M5" s="2137"/>
    </row>
    <row r="6" spans="1:33" ht="18" customHeight="1">
      <c r="A6" s="1616" t="s">
        <v>1353</v>
      </c>
      <c r="B6" s="3963" t="s">
        <v>1807</v>
      </c>
      <c r="C6" s="749">
        <f ca="1">ROUND(F6*F8*F7*(1-F9)/10000,0)</f>
        <v>450</v>
      </c>
      <c r="D6" s="2143" t="s">
        <v>1806</v>
      </c>
      <c r="E6" s="750" t="s">
        <v>1267</v>
      </c>
      <c r="F6" s="751">
        <f ca="1">INDIRECT("'数据-取费表'!u"&amp;$G$1)</f>
        <v>1.2</v>
      </c>
      <c r="G6" s="1785"/>
      <c r="H6" s="2150" t="s">
        <v>1812</v>
      </c>
      <c r="I6" s="3963" t="s">
        <v>1807</v>
      </c>
      <c r="J6" s="749">
        <f ca="1">ROUND(M6*M8*M7*(1-M9)/10000,0)</f>
        <v>0</v>
      </c>
      <c r="K6" s="332" t="s">
        <v>1266</v>
      </c>
      <c r="L6" s="750" t="s">
        <v>1267</v>
      </c>
      <c r="M6" s="751">
        <f ca="1">INDIRECT("'数据-取费表'!z"&amp;$G$1)</f>
        <v>0</v>
      </c>
    </row>
    <row r="7" spans="1:33" ht="18" customHeight="1">
      <c r="A7" s="2146"/>
      <c r="B7" s="3964"/>
      <c r="C7" s="754"/>
      <c r="D7" s="755"/>
      <c r="E7" s="750" t="s">
        <v>1268</v>
      </c>
      <c r="F7" s="751">
        <f ca="1">IF(INDIRECT("'数据-取费表'!ah"&amp;$G$1)="",INDIRECT("'数据-取费表'!k"&amp;$G$1),INDIRECT("'数据-取费表'!ah"&amp;$G$1))</f>
        <v>11410.09</v>
      </c>
      <c r="G7" s="1785"/>
      <c r="H7" s="2135"/>
      <c r="I7" s="3964"/>
      <c r="J7" s="754"/>
      <c r="K7" s="755"/>
      <c r="L7" s="750" t="s">
        <v>1268</v>
      </c>
      <c r="M7" s="751">
        <f ca="1">F7</f>
        <v>11410.09</v>
      </c>
    </row>
    <row r="8" spans="1:33" ht="18" customHeight="1">
      <c r="A8" s="2139"/>
      <c r="B8" s="3965"/>
      <c r="C8" s="754"/>
      <c r="D8" s="755"/>
      <c r="E8" s="750" t="s">
        <v>1269</v>
      </c>
      <c r="F8" s="751">
        <f ca="1">INDIRECT("'数据-取费表'!ai"&amp;$G$1)</f>
        <v>365</v>
      </c>
      <c r="G8" s="1785"/>
      <c r="H8" s="2135"/>
      <c r="I8" s="3965"/>
      <c r="J8" s="754"/>
      <c r="K8" s="755"/>
      <c r="L8" s="750" t="s">
        <v>1269</v>
      </c>
      <c r="M8" s="751">
        <f ca="1">INDIRECT("'数据-取费表'!ai"&amp;$G$1)</f>
        <v>365</v>
      </c>
    </row>
    <row r="9" spans="1:33" ht="18" customHeight="1">
      <c r="A9" s="752"/>
      <c r="B9" s="3966"/>
      <c r="C9" s="754"/>
      <c r="D9" s="755"/>
      <c r="E9" s="750" t="s">
        <v>1270</v>
      </c>
      <c r="F9" s="760">
        <f ca="1">INDIRECT("'数据-取费表'!w"&amp;$G$1)</f>
        <v>0.1</v>
      </c>
      <c r="G9" s="1785"/>
      <c r="H9" s="2151"/>
      <c r="I9" s="3965"/>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6486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4790</v>
      </c>
      <c r="D14" s="3662" t="s">
        <v>1274</v>
      </c>
      <c r="E14" s="3661"/>
      <c r="F14" s="771"/>
      <c r="G14" s="1785"/>
      <c r="H14" s="1453" t="s">
        <v>1359</v>
      </c>
      <c r="I14" s="1949" t="s">
        <v>2103</v>
      </c>
      <c r="J14" s="51">
        <f ca="1">C29</f>
        <v>6486</v>
      </c>
      <c r="K14" s="24"/>
      <c r="L14" s="767"/>
      <c r="M14" s="768"/>
    </row>
    <row r="15" spans="1:33" s="1787" customFormat="1" ht="18" customHeight="1" thickBot="1">
      <c r="A15" s="1452" t="s">
        <v>1410</v>
      </c>
      <c r="B15" s="750" t="s">
        <v>595</v>
      </c>
      <c r="C15" s="51">
        <f ca="1">ROUND(C14*F15,0)</f>
        <v>144</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33</v>
      </c>
      <c r="K16" s="1607" t="s">
        <v>1279</v>
      </c>
      <c r="L16" s="3664"/>
      <c r="M16" s="2137"/>
    </row>
    <row r="17" spans="1:33" s="1787" customFormat="1" ht="18" customHeight="1">
      <c r="A17" s="1452" t="s">
        <v>1412</v>
      </c>
      <c r="B17" s="750" t="s">
        <v>601</v>
      </c>
      <c r="C17" s="51">
        <f ca="1">ROUND(F17*(F43+INDIRECT("'数据-取费表'!S"&amp;$G$1))/10000,0)</f>
        <v>240</v>
      </c>
      <c r="D17" s="750" t="s">
        <v>1280</v>
      </c>
      <c r="E17" s="750" t="s">
        <v>1281</v>
      </c>
      <c r="F17" s="54">
        <f>'数据-取费表'!B35</f>
        <v>200</v>
      </c>
      <c r="G17" s="3001"/>
      <c r="H17" s="1453" t="s">
        <v>1359</v>
      </c>
      <c r="I17" s="750" t="s">
        <v>604</v>
      </c>
      <c r="J17" s="2760">
        <f ca="1">ROUND(IF(AND(项目基本情况!B11="自然人",项目基本情况!B10="北京市"),J6*M17/(1+'数据-取费表'!C42),J18+J19+J20),2)</f>
        <v>0.85</v>
      </c>
      <c r="K17" s="3662" t="s">
        <v>1282</v>
      </c>
      <c r="L17" s="3663"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72</v>
      </c>
      <c r="D18" s="750" t="s">
        <v>1275</v>
      </c>
      <c r="E18" s="750" t="s">
        <v>1276</v>
      </c>
      <c r="F18" s="775">
        <f>'数据-取费表'!B36</f>
        <v>1.4999999999999999E-2</v>
      </c>
      <c r="G18" s="3001"/>
      <c r="H18" s="1452" t="s">
        <v>1409</v>
      </c>
      <c r="I18" s="750" t="s">
        <v>1284</v>
      </c>
      <c r="J18" s="51">
        <f ca="1">ROUND(J6*M18/(1+'数据-取费表'!C42),2)</f>
        <v>0</v>
      </c>
      <c r="K18" s="3663"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5246</v>
      </c>
      <c r="D19" s="252" t="s">
        <v>1286</v>
      </c>
      <c r="E19" s="3665"/>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105</v>
      </c>
      <c r="D20" s="777" t="s">
        <v>1288</v>
      </c>
      <c r="E20" s="750" t="s">
        <v>1276</v>
      </c>
      <c r="F20" s="775">
        <f>'数据-取费表'!B37</f>
        <v>0.02</v>
      </c>
      <c r="G20" s="3001"/>
      <c r="H20" s="1455" t="s">
        <v>1405</v>
      </c>
      <c r="I20" s="332" t="s">
        <v>1289</v>
      </c>
      <c r="J20" s="52">
        <f ca="1">ROUND(M20*M21/10000,2)</f>
        <v>0.85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5653.27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3665"/>
      <c r="F22" s="54"/>
      <c r="G22" s="1785"/>
      <c r="H22" s="1453" t="s">
        <v>1414</v>
      </c>
      <c r="I22" s="750" t="s">
        <v>1297</v>
      </c>
      <c r="J22" s="51">
        <f ca="1">ROUND(J14*M22,2)</f>
        <v>32.43</v>
      </c>
      <c r="K22" s="3663"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3663"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65"/>
      <c r="F25" s="54"/>
      <c r="G25" s="1785"/>
      <c r="H25" s="1615" t="s">
        <v>1305</v>
      </c>
      <c r="I25" s="2483" t="s">
        <v>2099</v>
      </c>
      <c r="J25" s="758">
        <f ca="1">J5-J16</f>
        <v>-33</v>
      </c>
      <c r="K25" s="2165" t="s">
        <v>1306</v>
      </c>
      <c r="L25" s="2166"/>
      <c r="M25" s="2167"/>
    </row>
    <row r="26" spans="1:33" ht="18" customHeight="1">
      <c r="A26" s="1452" t="s">
        <v>1360</v>
      </c>
      <c r="B26" s="750" t="s">
        <v>1785</v>
      </c>
      <c r="C26" s="51">
        <f ca="1">ROUND((C19+C20)*F26,0)</f>
        <v>428</v>
      </c>
      <c r="D26" s="777" t="s">
        <v>1307</v>
      </c>
      <c r="E26" s="761" t="s">
        <v>1308</v>
      </c>
      <c r="F26" s="760">
        <f ca="1">INDIRECT("'数据-取费表'!q"&amp;$G$1)</f>
        <v>0.08</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1.6000000000000001E-3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6486</v>
      </c>
      <c r="D29" s="2162"/>
      <c r="E29" s="2163"/>
      <c r="F29" s="2164"/>
      <c r="G29" s="3001"/>
      <c r="H29" s="788" t="s">
        <v>1316</v>
      </c>
      <c r="I29" s="789" t="s">
        <v>1317</v>
      </c>
      <c r="J29" s="790">
        <f ca="1">ROUND(J26/(1+F40)^F41,0)</f>
        <v>0</v>
      </c>
      <c r="K29" s="791" t="s">
        <v>1318</v>
      </c>
      <c r="L29" s="792"/>
      <c r="M29" s="793">
        <f ca="1">INDIRECT("'数据-取费表'!k"&amp;$G$1)</f>
        <v>11410.09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123</v>
      </c>
      <c r="D30" s="1607" t="s">
        <v>1320</v>
      </c>
      <c r="E30" s="3664"/>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75.849999999999994</v>
      </c>
      <c r="D31" s="3662" t="s">
        <v>1321</v>
      </c>
      <c r="E31" s="3663"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23.57</v>
      </c>
      <c r="D32" s="3663"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51.43</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0.85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5653.27</v>
      </c>
      <c r="G35" s="1785"/>
      <c r="H35" s="1788"/>
      <c r="I35" s="802" t="s">
        <v>1343</v>
      </c>
      <c r="J35" s="803">
        <f ca="1">ROUND(C13*J36,0)</f>
        <v>486</v>
      </c>
      <c r="K35" s="1801"/>
      <c r="L35" s="1800"/>
      <c r="M35" s="1800"/>
    </row>
    <row r="36" spans="1:18" ht="18" customHeight="1">
      <c r="A36" s="1453" t="s">
        <v>1414</v>
      </c>
      <c r="B36" s="750" t="s">
        <v>1331</v>
      </c>
      <c r="C36" s="51">
        <f ca="1">ROUND(C29*F36,2)</f>
        <v>32.43</v>
      </c>
      <c r="D36" s="3663" t="s">
        <v>1332</v>
      </c>
      <c r="E36" s="750" t="s">
        <v>1325</v>
      </c>
      <c r="F36" s="782">
        <f ca="1">INDIRECT("'数据-取费表'!Ak"&amp;$G$1)</f>
        <v>5.0000000000000001E-3</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9.73</v>
      </c>
      <c r="D37" s="3663"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4.5</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327</v>
      </c>
      <c r="D39" s="2165" t="s">
        <v>1335</v>
      </c>
      <c r="E39" s="2166"/>
      <c r="F39" s="2167"/>
      <c r="G39" s="1785"/>
      <c r="H39" s="1800"/>
      <c r="I39" s="802" t="s">
        <v>1347</v>
      </c>
      <c r="J39" s="810">
        <f ca="1">ROUND(J35/C39,3)</f>
        <v>1.486</v>
      </c>
      <c r="K39" s="1805"/>
      <c r="L39" s="1800"/>
      <c r="M39" s="1800"/>
    </row>
    <row r="40" spans="1:18" ht="18" customHeight="1">
      <c r="A40" s="747" t="s">
        <v>1420</v>
      </c>
      <c r="B40" s="1950" t="s">
        <v>1658</v>
      </c>
      <c r="C40" s="749">
        <f ca="1">ROUND(C39*(1-((1+F42)/(1+F40))^F41)/(F40-F42),0)</f>
        <v>5487</v>
      </c>
      <c r="D40" s="779" t="s">
        <v>1336</v>
      </c>
      <c r="E40" s="750" t="s">
        <v>1773</v>
      </c>
      <c r="F40" s="760">
        <f ca="1">INDIRECT("'数据-取费表'!I"&amp;$G$1)</f>
        <v>5.5E-2</v>
      </c>
      <c r="G40" s="1785"/>
      <c r="H40" s="1785"/>
      <c r="I40" s="802" t="s">
        <v>1348</v>
      </c>
      <c r="J40" s="810">
        <f ca="1">1-J39</f>
        <v>-0.48599999999999999</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47.86</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1.1819999999999999</v>
      </c>
      <c r="K42" s="1804"/>
      <c r="L42" s="1740"/>
      <c r="M42" s="1740"/>
    </row>
    <row r="43" spans="1:18" ht="18" customHeight="1" thickBot="1">
      <c r="A43" s="788" t="s">
        <v>1316</v>
      </c>
      <c r="B43" s="789" t="s">
        <v>1339</v>
      </c>
      <c r="C43" s="790">
        <f ca="1">ROUND(C40*10000/F43,0)</f>
        <v>4809</v>
      </c>
      <c r="D43" s="791" t="s">
        <v>1340</v>
      </c>
      <c r="E43" s="792" t="s">
        <v>1341</v>
      </c>
      <c r="F43" s="793">
        <f ca="1">INDIRECT("'数据-取费表'!k"&amp;$G$1)</f>
        <v>11410.09</v>
      </c>
      <c r="G43" s="1785"/>
      <c r="H43" s="1740"/>
      <c r="I43" s="812" t="s">
        <v>1351</v>
      </c>
      <c r="J43" s="813">
        <f ca="1">1-J42</f>
        <v>-0.18199999999999994</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-6209</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49.86</v>
      </c>
      <c r="M48" s="3003"/>
      <c r="O48" s="2089" t="s">
        <v>1733</v>
      </c>
      <c r="P48" s="2090" t="s">
        <v>1759</v>
      </c>
      <c r="Q48" s="2091">
        <f ca="1">C40+J29</f>
        <v>5487</v>
      </c>
      <c r="R48" s="2090" t="s">
        <v>1734</v>
      </c>
    </row>
    <row r="49" spans="1:18" s="1782" customFormat="1" ht="18" customHeight="1" thickBot="1">
      <c r="A49" s="752"/>
      <c r="B49" s="753"/>
      <c r="C49" s="754"/>
      <c r="D49" s="755"/>
      <c r="E49" s="750" t="s">
        <v>1268</v>
      </c>
      <c r="F49" s="751">
        <f ca="1">F7</f>
        <v>11410.09</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6486</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-3018</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47.86</v>
      </c>
      <c r="K53" s="3974" t="s">
        <v>2226</v>
      </c>
      <c r="L53" s="3975"/>
      <c r="M53" s="3003"/>
      <c r="O53" s="2092" t="s">
        <v>1742</v>
      </c>
      <c r="P53" s="2090" t="s">
        <v>1743</v>
      </c>
      <c r="Q53" s="2091">
        <f ca="1">J53</f>
        <v>47.86</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5487</v>
      </c>
      <c r="R54" s="2094" t="s">
        <v>1746</v>
      </c>
    </row>
    <row r="55" spans="1:18" s="1782" customFormat="1" ht="18" customHeight="1" thickTop="1" thickBot="1">
      <c r="A55" s="763">
        <v>2</v>
      </c>
      <c r="B55" s="764" t="s">
        <v>592</v>
      </c>
      <c r="C55" s="765">
        <f ca="1">C13</f>
        <v>6486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6486</v>
      </c>
      <c r="D56" s="3663"/>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43</v>
      </c>
      <c r="D57" s="24" t="s">
        <v>1279</v>
      </c>
      <c r="E57" s="366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5487</v>
      </c>
      <c r="R57" s="2090" t="s">
        <v>1734</v>
      </c>
    </row>
    <row r="58" spans="1:18" s="1782" customFormat="1" ht="28.5" customHeight="1" thickBot="1">
      <c r="A58" s="1453" t="s">
        <v>1353</v>
      </c>
      <c r="B58" s="750" t="s">
        <v>604</v>
      </c>
      <c r="C58" s="2760">
        <f ca="1">ROUND(IF(AND(项目基本情况!B11="自然人",项目基本情况!B10="北京市"),C48*F58/(1+'数据-取费表'!C42),C59+C60+C61),2)</f>
        <v>0.85</v>
      </c>
      <c r="D58" s="3662" t="s">
        <v>605</v>
      </c>
      <c r="E58" s="366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0.85</v>
      </c>
      <c r="D61" s="779" t="s">
        <v>616</v>
      </c>
      <c r="E61" s="750" t="s">
        <v>617</v>
      </c>
      <c r="F61" s="608">
        <f t="shared" si="0"/>
        <v>1.5</v>
      </c>
      <c r="K61" s="1808"/>
      <c r="O61" s="2092" t="s">
        <v>1740</v>
      </c>
      <c r="P61" s="2090" t="s">
        <v>1748</v>
      </c>
      <c r="Q61" s="2091" t="e">
        <f ca="1">L58</f>
        <v>#DIV/0!</v>
      </c>
      <c r="R61" s="2094" t="s">
        <v>1749</v>
      </c>
    </row>
    <row r="62" spans="1:18" s="1782" customFormat="1" ht="16.2" thickBot="1">
      <c r="A62" s="780"/>
      <c r="B62" s="759"/>
      <c r="C62" s="67"/>
      <c r="D62" s="781"/>
      <c r="E62" s="750" t="s">
        <v>621</v>
      </c>
      <c r="F62" s="751">
        <f t="shared" ca="1" si="0"/>
        <v>5653.27</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6.2" thickBot="1">
      <c r="A63" s="1453" t="s">
        <v>1414</v>
      </c>
      <c r="B63" s="750" t="s">
        <v>623</v>
      </c>
      <c r="C63" s="51">
        <f ca="1">ROUND(C56*F63,2)</f>
        <v>32.43</v>
      </c>
      <c r="D63" s="3663" t="s">
        <v>1332</v>
      </c>
      <c r="E63" s="750" t="s">
        <v>1276</v>
      </c>
      <c r="F63" s="782">
        <f t="shared" ca="1" si="0"/>
        <v>5.0000000000000001E-3</v>
      </c>
      <c r="I63" s="2577" t="s">
        <v>1724</v>
      </c>
      <c r="J63" s="2578">
        <v>70</v>
      </c>
      <c r="K63" s="2578">
        <v>50</v>
      </c>
      <c r="L63" s="2578">
        <v>80</v>
      </c>
      <c r="M63" s="2580">
        <v>0.02</v>
      </c>
      <c r="O63" s="2089" t="s">
        <v>1745</v>
      </c>
      <c r="P63" s="2090" t="s">
        <v>1762</v>
      </c>
      <c r="Q63" s="2091">
        <f ca="1">Q57+Q58</f>
        <v>5487</v>
      </c>
      <c r="R63" s="2094" t="s">
        <v>1746</v>
      </c>
    </row>
    <row r="64" spans="1:18" s="1782" customFormat="1" ht="16.2" thickBot="1">
      <c r="A64" s="1453" t="s">
        <v>1415</v>
      </c>
      <c r="B64" s="750" t="s">
        <v>626</v>
      </c>
      <c r="C64" s="51">
        <f ca="1">ROUND(C55*F64,2)</f>
        <v>9.73</v>
      </c>
      <c r="D64" s="3663"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6.2" thickBot="1">
      <c r="A65" s="1453" t="s">
        <v>1416</v>
      </c>
      <c r="B65" s="750" t="s">
        <v>613</v>
      </c>
      <c r="C65" s="51">
        <f ca="1">ROUND(C47*F65,2)</f>
        <v>0</v>
      </c>
      <c r="D65" s="3663"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6" thickBot="1">
      <c r="A66" s="763" t="s">
        <v>1305</v>
      </c>
      <c r="B66" s="2484" t="s">
        <v>2099</v>
      </c>
      <c r="C66" s="765">
        <f ca="1">C47-C57</f>
        <v>-43</v>
      </c>
      <c r="D66" s="3662" t="s">
        <v>647</v>
      </c>
      <c r="E66" s="3660"/>
      <c r="F66" s="785"/>
      <c r="K66" s="1808"/>
      <c r="O66" s="2089" t="s">
        <v>1733</v>
      </c>
      <c r="P66" s="2090" t="s">
        <v>1763</v>
      </c>
      <c r="Q66" s="2091">
        <f ca="1">C40+J29</f>
        <v>5487</v>
      </c>
      <c r="R66" s="2090" t="s">
        <v>1734</v>
      </c>
    </row>
    <row r="67" spans="1:18" s="1782" customFormat="1" ht="19.2" thickBot="1">
      <c r="A67" s="747" t="s">
        <v>1309</v>
      </c>
      <c r="B67" s="1950" t="s">
        <v>1658</v>
      </c>
      <c r="C67" s="749">
        <f ca="1">ROUND(C66*(1-((1+F69)/(1+F67))^F68)/(F67-F69),0)</f>
        <v>-722</v>
      </c>
      <c r="D67" s="779" t="s">
        <v>651</v>
      </c>
      <c r="E67" s="750" t="s">
        <v>652</v>
      </c>
      <c r="F67" s="760">
        <f ca="1">F40</f>
        <v>5.5E-2</v>
      </c>
      <c r="K67" s="1808"/>
      <c r="O67" s="2089" t="s">
        <v>1735</v>
      </c>
      <c r="P67" s="2090" t="s">
        <v>1766</v>
      </c>
      <c r="Q67" s="2091">
        <f ca="1">L60</f>
        <v>0</v>
      </c>
      <c r="R67" s="2094" t="s">
        <v>1768</v>
      </c>
    </row>
    <row r="68" spans="1:18" ht="20.399999999999999" thickBot="1">
      <c r="A68" s="752"/>
      <c r="B68" s="753"/>
      <c r="C68" s="754"/>
      <c r="D68" s="786" t="s">
        <v>1337</v>
      </c>
      <c r="E68" s="750" t="s">
        <v>1313</v>
      </c>
      <c r="F68" s="787">
        <f ca="1">F41</f>
        <v>47.86</v>
      </c>
      <c r="O68" s="2092" t="s">
        <v>1737</v>
      </c>
      <c r="P68" s="2090" t="s">
        <v>1767</v>
      </c>
      <c r="Q68" s="2096">
        <f ca="1">L51</f>
        <v>-3018</v>
      </c>
      <c r="R68" s="2097" t="s">
        <v>1770</v>
      </c>
    </row>
    <row r="69" spans="1:18" ht="19.2" thickBot="1">
      <c r="A69" s="756"/>
      <c r="B69" s="757"/>
      <c r="C69" s="758"/>
      <c r="D69" s="781"/>
      <c r="E69" s="750" t="s">
        <v>657</v>
      </c>
      <c r="F69" s="2064"/>
      <c r="O69" s="2092" t="s">
        <v>1738</v>
      </c>
      <c r="P69" s="2098" t="s">
        <v>1752</v>
      </c>
      <c r="Q69" s="2091">
        <f ca="1">ROUND(Q70-Q71*Q72,0)</f>
        <v>-159</v>
      </c>
      <c r="R69" s="2094"/>
    </row>
    <row r="70" spans="1:18" ht="16.2" thickBot="1">
      <c r="A70" s="788" t="s">
        <v>1316</v>
      </c>
      <c r="B70" s="789" t="s">
        <v>1339</v>
      </c>
      <c r="C70" s="790">
        <f ca="1">ROUND(C67*10000/F70,0)</f>
        <v>-633</v>
      </c>
      <c r="D70" s="791" t="s">
        <v>1340</v>
      </c>
      <c r="E70" s="792" t="s">
        <v>1341</v>
      </c>
      <c r="F70" s="793">
        <f ca="1">F43</f>
        <v>11410.09</v>
      </c>
      <c r="O70" s="2092" t="s">
        <v>1753</v>
      </c>
      <c r="P70" s="2098" t="s">
        <v>1754</v>
      </c>
      <c r="Q70" s="2091">
        <f ca="1">C39</f>
        <v>327</v>
      </c>
      <c r="R70" s="2090" t="s">
        <v>1734</v>
      </c>
    </row>
    <row r="71" spans="1:18" ht="16.2" thickBot="1">
      <c r="O71" s="2092" t="s">
        <v>1755</v>
      </c>
      <c r="P71" s="2098" t="s">
        <v>1756</v>
      </c>
      <c r="Q71" s="2091">
        <f ca="1">C13</f>
        <v>6486</v>
      </c>
      <c r="R71" s="2090" t="s">
        <v>1734</v>
      </c>
    </row>
    <row r="72" spans="1:18" ht="16.2" thickBot="1">
      <c r="O72" s="2092" t="s">
        <v>1757</v>
      </c>
      <c r="P72" s="2098" t="s">
        <v>1758</v>
      </c>
      <c r="Q72" s="2093">
        <f ca="1">J36</f>
        <v>7.4999999999999997E-2</v>
      </c>
      <c r="R72" s="2094"/>
    </row>
    <row r="73" spans="1:18" ht="16.2" thickBot="1">
      <c r="O73" s="2092" t="s">
        <v>1740</v>
      </c>
      <c r="P73" s="2090" t="s">
        <v>1747</v>
      </c>
      <c r="Q73" s="2093">
        <f>L52</f>
        <v>0</v>
      </c>
      <c r="R73" s="2094"/>
    </row>
    <row r="74" spans="1:18" ht="19.2" thickBot="1">
      <c r="O74" s="2092" t="s">
        <v>1742</v>
      </c>
      <c r="P74" s="2090" t="s">
        <v>1748</v>
      </c>
      <c r="Q74" s="2091" t="e">
        <f ca="1">L58</f>
        <v>#DIV/0!</v>
      </c>
      <c r="R74" s="2094" t="s">
        <v>1749</v>
      </c>
    </row>
    <row r="75" spans="1:18" ht="16.2" thickBot="1">
      <c r="O75" s="2092" t="s">
        <v>1771</v>
      </c>
      <c r="P75" s="2090" t="str">
        <f>K59</f>
        <v>建设期及建筑物耐用年限下的土地年期修正系数Kn</v>
      </c>
      <c r="Q75" s="2091" t="e">
        <f ca="1">L59</f>
        <v>#DIV/0!</v>
      </c>
      <c r="R75" s="2094" t="s">
        <v>1751</v>
      </c>
    </row>
    <row r="76" spans="1:18" ht="16.2" thickBot="1">
      <c r="O76" s="2089" t="s">
        <v>1745</v>
      </c>
      <c r="P76" s="2090" t="s">
        <v>1762</v>
      </c>
      <c r="Q76" s="2091">
        <f ca="1">Q66+Q67</f>
        <v>5487</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867" t="s">
        <v>738</v>
      </c>
      <c r="D4" s="3868"/>
      <c r="E4" s="3906" t="s">
        <v>739</v>
      </c>
      <c r="F4" s="3907"/>
      <c r="G4" s="3867" t="s">
        <v>740</v>
      </c>
      <c r="H4" s="3868"/>
      <c r="I4" s="3867" t="s">
        <v>741</v>
      </c>
      <c r="J4" s="3868"/>
      <c r="K4" s="484" t="s">
        <v>742</v>
      </c>
      <c r="L4" s="1855"/>
      <c r="M4" s="1856"/>
      <c r="N4" s="1856"/>
      <c r="O4" s="1856"/>
      <c r="P4" s="3869" t="s">
        <v>743</v>
      </c>
      <c r="Q4" s="3870"/>
      <c r="R4" s="3875" t="s">
        <v>739</v>
      </c>
      <c r="S4" s="3876"/>
      <c r="T4" s="3875" t="s">
        <v>740</v>
      </c>
      <c r="U4" s="3876"/>
      <c r="V4" s="3862" t="s">
        <v>741</v>
      </c>
      <c r="W4" s="3862"/>
      <c r="X4" s="1379"/>
      <c r="Y4" s="3875" t="s">
        <v>743</v>
      </c>
      <c r="Z4" s="3876"/>
      <c r="AA4" s="3864" t="s">
        <v>739</v>
      </c>
      <c r="AB4" s="3865" t="s">
        <v>740</v>
      </c>
      <c r="AC4" s="3864" t="s">
        <v>741</v>
      </c>
    </row>
    <row r="5" spans="1:29">
      <c r="A5" s="485"/>
      <c r="B5" s="486"/>
      <c r="C5" s="3883" t="s">
        <v>2192</v>
      </c>
      <c r="D5" s="3884"/>
      <c r="E5" s="3908" t="s">
        <v>2193</v>
      </c>
      <c r="F5" s="3909"/>
      <c r="G5" s="3883" t="s">
        <v>2194</v>
      </c>
      <c r="H5" s="3884"/>
      <c r="I5" s="3883" t="s">
        <v>2195</v>
      </c>
      <c r="J5" s="3884"/>
      <c r="K5" s="484"/>
      <c r="L5" s="1855"/>
      <c r="M5" s="1856"/>
      <c r="N5" s="1856"/>
      <c r="O5" s="1856"/>
      <c r="P5" s="3871"/>
      <c r="Q5" s="3872"/>
      <c r="R5" s="3877"/>
      <c r="S5" s="3878"/>
      <c r="T5" s="3877"/>
      <c r="U5" s="3878"/>
      <c r="V5" s="3862"/>
      <c r="W5" s="3862"/>
      <c r="X5" s="1379"/>
      <c r="Y5" s="3877"/>
      <c r="Z5" s="3878"/>
      <c r="AA5" s="3865"/>
      <c r="AB5" s="3865"/>
      <c r="AC5" s="3865"/>
    </row>
    <row r="6" spans="1:29" ht="15" thickBot="1">
      <c r="A6" s="487"/>
      <c r="B6" s="488"/>
      <c r="C6" s="3881" t="s">
        <v>2196</v>
      </c>
      <c r="D6" s="3882"/>
      <c r="E6" s="3904" t="s">
        <v>2196</v>
      </c>
      <c r="F6" s="3905"/>
      <c r="G6" s="3881" t="s">
        <v>2196</v>
      </c>
      <c r="H6" s="3882"/>
      <c r="I6" s="3881" t="s">
        <v>2196</v>
      </c>
      <c r="J6" s="3882"/>
      <c r="K6" s="484" t="s">
        <v>477</v>
      </c>
      <c r="L6" s="1855"/>
      <c r="M6" s="1856"/>
      <c r="N6" s="1856"/>
      <c r="O6" s="1856"/>
      <c r="P6" s="3873"/>
      <c r="Q6" s="3874"/>
      <c r="R6" s="3877"/>
      <c r="S6" s="3878"/>
      <c r="T6" s="3879"/>
      <c r="U6" s="3880"/>
      <c r="V6" s="3862"/>
      <c r="W6" s="3862"/>
      <c r="X6" s="1379"/>
      <c r="Y6" s="3879"/>
      <c r="Z6" s="3880"/>
      <c r="AA6" s="3866"/>
      <c r="AB6" s="3866"/>
      <c r="AC6" s="3866"/>
    </row>
    <row r="7" spans="1:29" s="1117" customFormat="1" ht="1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1" t="s">
        <v>479</v>
      </c>
      <c r="Q7" s="3893"/>
      <c r="R7" s="1380" t="s">
        <v>5</v>
      </c>
      <c r="S7" s="1381">
        <f t="shared" ref="S7:S14" si="0">F7</f>
        <v>0</v>
      </c>
      <c r="T7" s="1380" t="s">
        <v>5</v>
      </c>
      <c r="U7" s="1381">
        <f t="shared" ref="U7:U14" si="1">H7</f>
        <v>0</v>
      </c>
      <c r="V7" s="1380" t="s">
        <v>5</v>
      </c>
      <c r="W7" s="1381">
        <f t="shared" ref="W7:W14" si="2">J7</f>
        <v>0</v>
      </c>
      <c r="X7" s="1382"/>
      <c r="Y7" s="3891" t="s">
        <v>479</v>
      </c>
      <c r="Z7" s="3892"/>
      <c r="AA7" s="1383" t="e">
        <f>D7/F7</f>
        <v>#DIV/0!</v>
      </c>
      <c r="AB7" s="1383" t="e">
        <f>D7/H7</f>
        <v>#DIV/0!</v>
      </c>
      <c r="AC7" s="1383" t="e">
        <f>D7/J7</f>
        <v>#DIV/0!</v>
      </c>
    </row>
    <row r="8" spans="1:29" s="1117"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1" t="s">
        <v>482</v>
      </c>
      <c r="Q8" s="3892"/>
      <c r="R8" s="1380" t="s">
        <v>5</v>
      </c>
      <c r="S8" s="1381">
        <f t="shared" si="0"/>
        <v>0</v>
      </c>
      <c r="T8" s="1380" t="s">
        <v>5</v>
      </c>
      <c r="U8" s="1381">
        <f t="shared" si="1"/>
        <v>0</v>
      </c>
      <c r="V8" s="1380" t="s">
        <v>5</v>
      </c>
      <c r="W8" s="1381">
        <f t="shared" si="2"/>
        <v>0</v>
      </c>
      <c r="X8" s="1382"/>
      <c r="Y8" s="3891" t="s">
        <v>482</v>
      </c>
      <c r="Z8" s="3892"/>
      <c r="AA8" s="1383" t="e">
        <f t="shared" ref="AA8:AA34" si="3">D8/F8</f>
        <v>#DIV/0!</v>
      </c>
      <c r="AB8" s="1383" t="e">
        <f t="shared" ref="AB8:AB34" si="4">D8/H8</f>
        <v>#DIV/0!</v>
      </c>
      <c r="AC8" s="1383" t="e">
        <f t="shared" ref="AC8:AC34" si="5">D8/J8</f>
        <v>#DIV/0!</v>
      </c>
    </row>
    <row r="9" spans="1:29" s="1117"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1" t="s">
        <v>484</v>
      </c>
      <c r="Q9" s="1049" t="str">
        <f t="shared" ref="Q9:Q14" si="6">B9</f>
        <v>用途</v>
      </c>
      <c r="R9" s="1380" t="s">
        <v>5</v>
      </c>
      <c r="S9" s="1381">
        <f t="shared" si="0"/>
        <v>100</v>
      </c>
      <c r="T9" s="1380" t="s">
        <v>5</v>
      </c>
      <c r="U9" s="1381">
        <f t="shared" si="1"/>
        <v>100</v>
      </c>
      <c r="V9" s="1380" t="s">
        <v>5</v>
      </c>
      <c r="W9" s="1381">
        <f t="shared" si="2"/>
        <v>100</v>
      </c>
      <c r="X9" s="1382"/>
      <c r="Y9" s="3809"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61"/>
      <c r="Q10" s="1049" t="str">
        <f t="shared" si="6"/>
        <v>土地使用年限（年）</v>
      </c>
      <c r="R10" s="1380" t="s">
        <v>5</v>
      </c>
      <c r="S10" s="1381">
        <f t="shared" si="0"/>
        <v>100</v>
      </c>
      <c r="T10" s="1380" t="s">
        <v>5</v>
      </c>
      <c r="U10" s="1381">
        <f t="shared" si="1"/>
        <v>100</v>
      </c>
      <c r="V10" s="1380" t="s">
        <v>5</v>
      </c>
      <c r="W10" s="1381">
        <f t="shared" si="2"/>
        <v>100</v>
      </c>
      <c r="X10" s="1382"/>
      <c r="Y10" s="3809"/>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61"/>
      <c r="Q11" s="1049">
        <f t="shared" si="6"/>
        <v>111</v>
      </c>
      <c r="R11" s="1380" t="s">
        <v>5</v>
      </c>
      <c r="S11" s="1381">
        <f t="shared" si="0"/>
        <v>100</v>
      </c>
      <c r="T11" s="1380" t="s">
        <v>5</v>
      </c>
      <c r="U11" s="1381">
        <f t="shared" si="1"/>
        <v>100</v>
      </c>
      <c r="V11" s="1380" t="s">
        <v>5</v>
      </c>
      <c r="W11" s="1381">
        <f t="shared" si="2"/>
        <v>100</v>
      </c>
      <c r="X11" s="1382"/>
      <c r="Y11" s="3809"/>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61"/>
      <c r="Q12" s="1049">
        <f t="shared" si="6"/>
        <v>111</v>
      </c>
      <c r="R12" s="1380" t="s">
        <v>5</v>
      </c>
      <c r="S12" s="1381">
        <f t="shared" si="0"/>
        <v>100</v>
      </c>
      <c r="T12" s="1380" t="s">
        <v>5</v>
      </c>
      <c r="U12" s="1381">
        <f t="shared" si="1"/>
        <v>100</v>
      </c>
      <c r="V12" s="1380" t="s">
        <v>5</v>
      </c>
      <c r="W12" s="1381">
        <f t="shared" si="2"/>
        <v>100</v>
      </c>
      <c r="X12" s="1382"/>
      <c r="Y12" s="3809"/>
      <c r="Z12" s="1048">
        <f t="shared" si="7"/>
        <v>111</v>
      </c>
      <c r="AA12" s="1383">
        <f>D12/F12</f>
        <v>1</v>
      </c>
      <c r="AB12" s="1383">
        <f>D12/H12</f>
        <v>1</v>
      </c>
      <c r="AC12" s="1383">
        <f>D12/J12</f>
        <v>1</v>
      </c>
    </row>
    <row r="13" spans="1:29" ht="15.6"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61"/>
      <c r="Q13" s="1049">
        <f t="shared" si="6"/>
        <v>111</v>
      </c>
      <c r="R13" s="1380" t="s">
        <v>5</v>
      </c>
      <c r="S13" s="1381">
        <f t="shared" si="0"/>
        <v>100</v>
      </c>
      <c r="T13" s="1380" t="s">
        <v>5</v>
      </c>
      <c r="U13" s="1381">
        <f t="shared" si="1"/>
        <v>100</v>
      </c>
      <c r="V13" s="1380" t="s">
        <v>5</v>
      </c>
      <c r="W13" s="1381">
        <f t="shared" si="2"/>
        <v>100</v>
      </c>
      <c r="X13" s="1382"/>
      <c r="Y13" s="3809"/>
      <c r="Z13" s="1048">
        <f t="shared" si="7"/>
        <v>111</v>
      </c>
      <c r="AA13" s="1383">
        <f t="shared" si="3"/>
        <v>1</v>
      </c>
      <c r="AB13" s="1383">
        <f t="shared" si="4"/>
        <v>1</v>
      </c>
      <c r="AC13" s="1383">
        <f t="shared" si="5"/>
        <v>1</v>
      </c>
    </row>
    <row r="14" spans="1:29" ht="96.6">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94" t="s">
        <v>489</v>
      </c>
      <c r="Q14" s="1384" t="str">
        <f t="shared" si="6"/>
        <v>交通便捷度</v>
      </c>
      <c r="R14" s="1385" t="s">
        <v>5</v>
      </c>
      <c r="S14" s="1386">
        <f t="shared" si="0"/>
        <v>100</v>
      </c>
      <c r="T14" s="1385" t="s">
        <v>5</v>
      </c>
      <c r="U14" s="1386">
        <f t="shared" si="1"/>
        <v>100</v>
      </c>
      <c r="V14" s="1385" t="s">
        <v>5</v>
      </c>
      <c r="W14" s="1386">
        <f t="shared" si="2"/>
        <v>100</v>
      </c>
      <c r="X14" s="1379"/>
      <c r="Y14" s="3894"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95"/>
      <c r="Q15" s="1384"/>
      <c r="R15" s="1385"/>
      <c r="S15" s="1386"/>
      <c r="T15" s="1385"/>
      <c r="U15" s="1386"/>
      <c r="V15" s="1385"/>
      <c r="W15" s="1386"/>
      <c r="X15" s="1379"/>
      <c r="Y15" s="3895"/>
      <c r="Z15" s="1387"/>
      <c r="AA15" s="1388">
        <v>1</v>
      </c>
      <c r="AB15" s="1388">
        <v>1</v>
      </c>
      <c r="AC15" s="1388">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95"/>
      <c r="Q16" s="1384" t="str">
        <f>B16</f>
        <v>公共配套设施</v>
      </c>
      <c r="R16" s="1385" t="s">
        <v>5</v>
      </c>
      <c r="S16" s="1386">
        <f>F16</f>
        <v>100</v>
      </c>
      <c r="T16" s="1385" t="s">
        <v>5</v>
      </c>
      <c r="U16" s="1386">
        <f>H16</f>
        <v>100</v>
      </c>
      <c r="V16" s="1385" t="s">
        <v>5</v>
      </c>
      <c r="W16" s="1386">
        <f>J16</f>
        <v>100</v>
      </c>
      <c r="X16" s="1379"/>
      <c r="Y16" s="3895"/>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95"/>
      <c r="Q17" s="1384"/>
      <c r="R17" s="1385"/>
      <c r="S17" s="1386"/>
      <c r="T17" s="1385"/>
      <c r="U17" s="1386"/>
      <c r="V17" s="1385"/>
      <c r="W17" s="1386"/>
      <c r="X17" s="1379"/>
      <c r="Y17" s="3895"/>
      <c r="Z17" s="1387"/>
      <c r="AA17" s="1388">
        <v>1</v>
      </c>
      <c r="AB17" s="1388">
        <v>1</v>
      </c>
      <c r="AC17" s="1388">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95"/>
      <c r="Q18" s="2192" t="str">
        <f>B18</f>
        <v>基础设施水平</v>
      </c>
      <c r="R18" s="1385" t="s">
        <v>5</v>
      </c>
      <c r="S18" s="1386">
        <f>F18</f>
        <v>100</v>
      </c>
      <c r="T18" s="1385" t="s">
        <v>5</v>
      </c>
      <c r="U18" s="1386">
        <f>H18</f>
        <v>100</v>
      </c>
      <c r="V18" s="1385" t="s">
        <v>5</v>
      </c>
      <c r="W18" s="1386">
        <f>J18</f>
        <v>100</v>
      </c>
      <c r="X18" s="2194"/>
      <c r="Y18" s="3895"/>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95"/>
      <c r="Q19" s="2192"/>
      <c r="R19" s="1385"/>
      <c r="S19" s="1386"/>
      <c r="T19" s="1385"/>
      <c r="U19" s="1386"/>
      <c r="V19" s="1385"/>
      <c r="W19" s="1386"/>
      <c r="X19" s="2194"/>
      <c r="Y19" s="3895"/>
      <c r="Z19" s="2193"/>
      <c r="AA19" s="1388">
        <v>1</v>
      </c>
      <c r="AB19" s="1388">
        <v>1</v>
      </c>
      <c r="AC19" s="1388">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95"/>
      <c r="Q20" s="1384" t="str">
        <f>B20</f>
        <v>自然及人文环境</v>
      </c>
      <c r="R20" s="1385" t="s">
        <v>5</v>
      </c>
      <c r="S20" s="1386">
        <f>F20</f>
        <v>100</v>
      </c>
      <c r="T20" s="1385" t="s">
        <v>5</v>
      </c>
      <c r="U20" s="1386">
        <f>H20</f>
        <v>100</v>
      </c>
      <c r="V20" s="1385" t="s">
        <v>5</v>
      </c>
      <c r="W20" s="1386">
        <f>J20</f>
        <v>100</v>
      </c>
      <c r="X20" s="1379"/>
      <c r="Y20" s="3895"/>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95"/>
      <c r="Q21" s="1384"/>
      <c r="R21" s="1385"/>
      <c r="S21" s="1386"/>
      <c r="T21" s="1385"/>
      <c r="U21" s="1386"/>
      <c r="V21" s="1385"/>
      <c r="W21" s="1386"/>
      <c r="X21" s="1379"/>
      <c r="Y21" s="3895"/>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95"/>
      <c r="Q22" s="1384" t="str">
        <f>B22</f>
        <v>楼层</v>
      </c>
      <c r="R22" s="1385" t="s">
        <v>5</v>
      </c>
      <c r="S22" s="1386">
        <f>F22</f>
        <v>100</v>
      </c>
      <c r="T22" s="1385" t="s">
        <v>5</v>
      </c>
      <c r="U22" s="1386">
        <f>H22</f>
        <v>100</v>
      </c>
      <c r="V22" s="1385" t="s">
        <v>5</v>
      </c>
      <c r="W22" s="1386">
        <f>J22</f>
        <v>100</v>
      </c>
      <c r="X22" s="1379"/>
      <c r="Y22" s="3895"/>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95"/>
      <c r="Q23" s="1384">
        <f>B23</f>
        <v>111</v>
      </c>
      <c r="R23" s="1385" t="s">
        <v>5</v>
      </c>
      <c r="S23" s="1386">
        <f>F23</f>
        <v>100</v>
      </c>
      <c r="T23" s="1385" t="s">
        <v>5</v>
      </c>
      <c r="U23" s="1386">
        <f>H23</f>
        <v>100</v>
      </c>
      <c r="V23" s="1385" t="s">
        <v>5</v>
      </c>
      <c r="W23" s="1386">
        <f>J23</f>
        <v>100</v>
      </c>
      <c r="X23" s="1379"/>
      <c r="Y23" s="3895"/>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95"/>
      <c r="Q24" s="1384">
        <f t="shared" ref="Q24:Q34" si="8">B24</f>
        <v>111</v>
      </c>
      <c r="R24" s="1385" t="s">
        <v>5</v>
      </c>
      <c r="S24" s="1386">
        <f>F24</f>
        <v>100</v>
      </c>
      <c r="T24" s="1385" t="s">
        <v>5</v>
      </c>
      <c r="U24" s="1386">
        <f>H24</f>
        <v>100</v>
      </c>
      <c r="V24" s="1385" t="s">
        <v>5</v>
      </c>
      <c r="W24" s="1386">
        <f>J24</f>
        <v>100</v>
      </c>
      <c r="X24" s="1379"/>
      <c r="Y24" s="3895"/>
      <c r="Z24" s="1387">
        <f>Q24</f>
        <v>111</v>
      </c>
      <c r="AA24" s="1388">
        <f t="shared" si="3"/>
        <v>1</v>
      </c>
      <c r="AB24" s="1388">
        <f t="shared" si="4"/>
        <v>1</v>
      </c>
      <c r="AC24" s="1388">
        <f t="shared" si="5"/>
        <v>1</v>
      </c>
    </row>
    <row r="25" spans="1:29" s="1117" customFormat="1" ht="15.6"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95"/>
      <c r="Q25" s="1049">
        <f t="shared" si="8"/>
        <v>111</v>
      </c>
      <c r="R25" s="1380" t="s">
        <v>5</v>
      </c>
      <c r="S25" s="1381">
        <f>F25</f>
        <v>100</v>
      </c>
      <c r="T25" s="1380" t="s">
        <v>5</v>
      </c>
      <c r="U25" s="1381">
        <f>H25</f>
        <v>100</v>
      </c>
      <c r="V25" s="1380" t="s">
        <v>5</v>
      </c>
      <c r="W25" s="1381">
        <f>J25</f>
        <v>100</v>
      </c>
      <c r="X25" s="1382"/>
      <c r="Y25" s="3895"/>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96"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97"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97"/>
      <c r="Q27" s="1413" t="str">
        <f t="shared" si="8"/>
        <v>成新率</v>
      </c>
      <c r="R27" s="1389" t="s">
        <v>5</v>
      </c>
      <c r="S27" s="1390" t="e">
        <f t="shared" si="9"/>
        <v>#N/A</v>
      </c>
      <c r="T27" s="1389" t="s">
        <v>5</v>
      </c>
      <c r="U27" s="1390" t="e">
        <f t="shared" si="10"/>
        <v>#N/A</v>
      </c>
      <c r="V27" s="1389" t="s">
        <v>5</v>
      </c>
      <c r="W27" s="1390" t="e">
        <f t="shared" si="11"/>
        <v>#N/A</v>
      </c>
      <c r="X27" s="1391"/>
      <c r="Y27" s="3897"/>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97"/>
      <c r="Q28" s="1384" t="str">
        <f t="shared" si="8"/>
        <v>物业等级</v>
      </c>
      <c r="R28" s="1385" t="s">
        <v>5</v>
      </c>
      <c r="S28" s="1386">
        <f t="shared" si="9"/>
        <v>100</v>
      </c>
      <c r="T28" s="1385" t="s">
        <v>5</v>
      </c>
      <c r="U28" s="1386">
        <f t="shared" si="10"/>
        <v>100</v>
      </c>
      <c r="V28" s="1385" t="s">
        <v>5</v>
      </c>
      <c r="W28" s="1386">
        <f t="shared" si="11"/>
        <v>100</v>
      </c>
      <c r="X28" s="1379"/>
      <c r="Y28" s="3897"/>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97"/>
      <c r="Q29" s="1384" t="str">
        <f t="shared" si="8"/>
        <v>有无电梯</v>
      </c>
      <c r="R29" s="1385" t="s">
        <v>5</v>
      </c>
      <c r="S29" s="1386">
        <f t="shared" si="9"/>
        <v>100</v>
      </c>
      <c r="T29" s="1385" t="s">
        <v>5</v>
      </c>
      <c r="U29" s="1386">
        <f t="shared" si="10"/>
        <v>100</v>
      </c>
      <c r="V29" s="1385" t="s">
        <v>5</v>
      </c>
      <c r="W29" s="1386">
        <f t="shared" si="11"/>
        <v>100</v>
      </c>
      <c r="X29" s="1379"/>
      <c r="Y29" s="3897"/>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97"/>
      <c r="Q30" s="1384" t="str">
        <f t="shared" si="8"/>
        <v>建筑面积</v>
      </c>
      <c r="R30" s="1385" t="s">
        <v>5</v>
      </c>
      <c r="S30" s="1386" t="e">
        <f t="shared" si="9"/>
        <v>#N/A</v>
      </c>
      <c r="T30" s="1385" t="s">
        <v>5</v>
      </c>
      <c r="U30" s="1386" t="e">
        <f t="shared" si="10"/>
        <v>#N/A</v>
      </c>
      <c r="V30" s="1385" t="s">
        <v>5</v>
      </c>
      <c r="W30" s="1386" t="e">
        <f t="shared" si="11"/>
        <v>#N/A</v>
      </c>
      <c r="X30" s="1379"/>
      <c r="Y30" s="3897"/>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97"/>
      <c r="Q31" s="1049" t="str">
        <f t="shared" si="8"/>
        <v>是否封闭</v>
      </c>
      <c r="R31" s="1380" t="s">
        <v>5</v>
      </c>
      <c r="S31" s="1381">
        <f t="shared" si="9"/>
        <v>100</v>
      </c>
      <c r="T31" s="1380" t="s">
        <v>5</v>
      </c>
      <c r="U31" s="1381">
        <f t="shared" si="10"/>
        <v>100</v>
      </c>
      <c r="V31" s="1380" t="s">
        <v>5</v>
      </c>
      <c r="W31" s="1381">
        <f t="shared" si="11"/>
        <v>100</v>
      </c>
      <c r="X31" s="1382"/>
      <c r="Y31" s="3897"/>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97" t="s">
        <v>499</v>
      </c>
      <c r="Q32" s="1384">
        <f t="shared" si="8"/>
        <v>111</v>
      </c>
      <c r="R32" s="1385" t="s">
        <v>5</v>
      </c>
      <c r="S32" s="1386">
        <f t="shared" si="9"/>
        <v>100</v>
      </c>
      <c r="T32" s="1385" t="s">
        <v>5</v>
      </c>
      <c r="U32" s="1386">
        <f t="shared" si="10"/>
        <v>100</v>
      </c>
      <c r="V32" s="1385" t="s">
        <v>5</v>
      </c>
      <c r="W32" s="1386">
        <f t="shared" si="11"/>
        <v>100</v>
      </c>
      <c r="X32" s="1379"/>
      <c r="Y32" s="3897"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97"/>
      <c r="Q33" s="1384">
        <f t="shared" si="8"/>
        <v>111</v>
      </c>
      <c r="R33" s="1385" t="s">
        <v>5</v>
      </c>
      <c r="S33" s="1386">
        <f t="shared" si="9"/>
        <v>100</v>
      </c>
      <c r="T33" s="1385" t="s">
        <v>5</v>
      </c>
      <c r="U33" s="1386">
        <f t="shared" si="10"/>
        <v>100</v>
      </c>
      <c r="V33" s="1385" t="s">
        <v>5</v>
      </c>
      <c r="W33" s="1386">
        <f t="shared" si="11"/>
        <v>100</v>
      </c>
      <c r="X33" s="1379"/>
      <c r="Y33" s="3897"/>
      <c r="Z33" s="1387">
        <f t="shared" si="12"/>
        <v>111</v>
      </c>
      <c r="AA33" s="1388">
        <f t="shared" si="3"/>
        <v>1</v>
      </c>
      <c r="AB33" s="1388">
        <f t="shared" si="4"/>
        <v>1</v>
      </c>
      <c r="AC33" s="1388">
        <f t="shared" si="5"/>
        <v>1</v>
      </c>
    </row>
    <row r="34" spans="1:29" ht="15.6"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97"/>
      <c r="Q34" s="1384">
        <f t="shared" si="8"/>
        <v>111</v>
      </c>
      <c r="R34" s="1385" t="s">
        <v>5</v>
      </c>
      <c r="S34" s="1386">
        <f t="shared" si="9"/>
        <v>100</v>
      </c>
      <c r="T34" s="1385" t="s">
        <v>5</v>
      </c>
      <c r="U34" s="1386">
        <f t="shared" si="10"/>
        <v>100</v>
      </c>
      <c r="V34" s="1385" t="s">
        <v>5</v>
      </c>
      <c r="W34" s="1386">
        <f t="shared" si="11"/>
        <v>100</v>
      </c>
      <c r="X34" s="1379"/>
      <c r="Y34" s="3897"/>
      <c r="Z34" s="1387">
        <f t="shared" si="12"/>
        <v>111</v>
      </c>
      <c r="AA34" s="1388">
        <f t="shared" si="3"/>
        <v>1</v>
      </c>
      <c r="AB34" s="1388">
        <f t="shared" si="4"/>
        <v>1</v>
      </c>
      <c r="AC34" s="1388">
        <f t="shared" si="5"/>
        <v>1</v>
      </c>
    </row>
    <row r="35" spans="1:29" ht="14.4">
      <c r="A35" s="577" t="s">
        <v>683</v>
      </c>
      <c r="B35" s="849"/>
      <c r="C35" s="2233" t="s">
        <v>0</v>
      </c>
      <c r="D35" s="2234"/>
      <c r="E35" s="2235"/>
      <c r="F35" s="2236"/>
      <c r="G35" s="2237"/>
      <c r="H35" s="2238"/>
      <c r="I35" s="2235"/>
      <c r="J35" s="2238"/>
      <c r="K35" s="1418"/>
      <c r="L35" s="1866"/>
      <c r="M35" s="1867"/>
      <c r="N35" s="1856"/>
      <c r="O35" s="1867"/>
      <c r="P35" s="3861" t="str">
        <f>A35</f>
        <v>成交单价（元/平方米）</v>
      </c>
      <c r="Q35" s="3861"/>
      <c r="R35" s="3970">
        <f>E35</f>
        <v>0</v>
      </c>
      <c r="S35" s="3970"/>
      <c r="T35" s="3970">
        <f>G35</f>
        <v>0</v>
      </c>
      <c r="U35" s="3970"/>
      <c r="V35" s="3970">
        <f>I35</f>
        <v>0</v>
      </c>
      <c r="W35" s="3970"/>
      <c r="X35" s="1374"/>
      <c r="Y35" s="1393"/>
      <c r="Z35" s="1374"/>
      <c r="AA35" s="1374"/>
      <c r="AB35" s="1374"/>
      <c r="AC35" s="1374"/>
    </row>
    <row r="36" spans="1:29" ht="15" thickBot="1">
      <c r="A36" s="585" t="s">
        <v>2042</v>
      </c>
      <c r="B36" s="850"/>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61" t="str">
        <f>A36</f>
        <v>比较价格（元/平方米）</v>
      </c>
      <c r="Q36" s="3861"/>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1374"/>
      <c r="Y36" s="1374"/>
      <c r="Z36" s="1374"/>
      <c r="AA36" s="1374"/>
      <c r="AB36" s="1374"/>
      <c r="AC36" s="1374"/>
    </row>
    <row r="37" spans="1:29" ht="15" thickBot="1">
      <c r="A37" s="589" t="s">
        <v>2198</v>
      </c>
      <c r="B37" s="590"/>
      <c r="C37" s="2241" t="e">
        <f>R37</f>
        <v>#DIV/0!</v>
      </c>
      <c r="D37" s="2241"/>
      <c r="E37" s="2241"/>
      <c r="F37" s="2241"/>
      <c r="G37" s="2241"/>
      <c r="H37" s="2241"/>
      <c r="I37" s="2241"/>
      <c r="J37" s="2241"/>
      <c r="K37" s="1419"/>
      <c r="L37" s="1866"/>
      <c r="M37" s="1867"/>
      <c r="N37" s="1867"/>
      <c r="O37" s="1867"/>
      <c r="P37" s="3898" t="str">
        <f>A37</f>
        <v>估价对象XX用房的比较价格（楼面单价，元/平方米）</v>
      </c>
      <c r="Q37" s="3899"/>
      <c r="R37" s="3969" t="e">
        <f>IF(F1="售价",ROUND(IF(D36="简单平均",AVERAGE(R36:W36),R36*F36+T36*H36+V36*J36),0),ROUND(IF(D36="简单平均",AVERAGE(R36:V36),R36*F36+T36*H36+V36*J36),1))</f>
        <v>#DIV/0!</v>
      </c>
      <c r="S37" s="3969"/>
      <c r="T37" s="3969"/>
      <c r="U37" s="3969"/>
      <c r="V37" s="3969"/>
      <c r="W37" s="3969"/>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4.4">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4.4"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ht="14.4">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4.4"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9.4"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4.4"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4.4"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4.4"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4.4"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4.4"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4.4"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4.4"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4.4"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4.4"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4.4"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4.4"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4.4"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4.4"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4.4"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4.4"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4.4"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4.4"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4.4"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4.4"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2" t="s">
        <v>1661</v>
      </c>
      <c r="D1" s="4003"/>
      <c r="E1" s="4003"/>
      <c r="F1" s="4003"/>
      <c r="G1" s="4003"/>
      <c r="H1" s="4003"/>
      <c r="I1" s="4003"/>
      <c r="J1" s="4003"/>
      <c r="K1" s="4003"/>
      <c r="L1" s="4003"/>
      <c r="M1" s="4003"/>
      <c r="N1" s="4003"/>
      <c r="O1" s="4003"/>
      <c r="P1" s="4003"/>
      <c r="Q1" s="4003"/>
      <c r="R1" s="4003"/>
      <c r="S1" s="400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6">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6">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44929</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90" t="s">
        <v>1556</v>
      </c>
      <c r="B1" s="3690"/>
      <c r="C1" s="3690"/>
      <c r="D1" s="3690"/>
      <c r="E1" s="3690"/>
      <c r="F1" s="3690"/>
      <c r="G1" s="3690"/>
      <c r="H1" s="3690"/>
      <c r="I1" s="3690"/>
      <c r="J1" s="3690"/>
      <c r="K1" s="3690"/>
      <c r="L1" s="3690"/>
      <c r="M1" s="3690"/>
      <c r="N1" s="3690"/>
      <c r="O1" s="3690"/>
      <c r="P1" s="3690"/>
      <c r="Q1" s="3690"/>
      <c r="R1" s="3690"/>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1" t="s">
        <v>1547</v>
      </c>
      <c r="B3" s="3691" t="s">
        <v>2013</v>
      </c>
      <c r="C3" s="3692" t="s">
        <v>1548</v>
      </c>
      <c r="D3" s="3691" t="s">
        <v>2017</v>
      </c>
      <c r="E3" s="3694" t="s">
        <v>1549</v>
      </c>
      <c r="F3" s="3694"/>
      <c r="G3" s="3694"/>
      <c r="H3" s="3694" t="s">
        <v>1550</v>
      </c>
      <c r="I3" s="3694"/>
      <c r="J3" s="3694"/>
      <c r="K3" s="3692" t="s">
        <v>1551</v>
      </c>
      <c r="L3" s="3692" t="s">
        <v>1552</v>
      </c>
      <c r="M3" s="3691" t="s">
        <v>2014</v>
      </c>
      <c r="N3" s="3693" t="str">
        <f>"（分摊）"&amp;项目基本情况!A17&amp;"国有建设用地使用权面积/㎡"</f>
        <v>（分摊）出让国有建设用地使用权面积/㎡</v>
      </c>
      <c r="O3" s="3691" t="s">
        <v>1581</v>
      </c>
      <c r="P3" s="3692" t="s">
        <v>1561</v>
      </c>
      <c r="Q3" s="3692" t="s">
        <v>1582</v>
      </c>
      <c r="R3" s="3692" t="s">
        <v>1553</v>
      </c>
    </row>
    <row r="4" spans="1:18" ht="36.75" customHeight="1">
      <c r="A4" s="3691"/>
      <c r="B4" s="3691"/>
      <c r="C4" s="3692"/>
      <c r="D4" s="3691"/>
      <c r="E4" s="2253" t="s">
        <v>1560</v>
      </c>
      <c r="F4" s="2253" t="s">
        <v>2026</v>
      </c>
      <c r="G4" s="2253" t="s">
        <v>1554</v>
      </c>
      <c r="H4" s="2253" t="s">
        <v>1555</v>
      </c>
      <c r="I4" s="2253" t="s">
        <v>2027</v>
      </c>
      <c r="J4" s="2253" t="s">
        <v>1554</v>
      </c>
      <c r="K4" s="3692"/>
      <c r="L4" s="3692"/>
      <c r="M4" s="3691"/>
      <c r="N4" s="3693"/>
      <c r="O4" s="3691"/>
      <c r="P4" s="3692"/>
      <c r="Q4" s="3692"/>
      <c r="R4" s="3692"/>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69193.56</v>
      </c>
      <c r="O5" s="1597">
        <f>项目基本情况!C21</f>
        <v>146577.54999999999</v>
      </c>
      <c r="P5" s="1597">
        <f ca="1">结果表!E42</f>
        <v>37068</v>
      </c>
      <c r="Q5" s="1597">
        <f ca="1">结果表!D42</f>
        <v>17498</v>
      </c>
      <c r="R5" s="1598">
        <f ca="1">结果表!C42</f>
        <v>256484</v>
      </c>
    </row>
    <row r="6" spans="1:18">
      <c r="A6" s="3695" t="str">
        <f>IF(项目基本情况!B9="市场价格","——","抵押价格")</f>
        <v>抵押价格</v>
      </c>
      <c r="B6" s="3696"/>
      <c r="C6" s="3696"/>
      <c r="D6" s="3696"/>
      <c r="E6" s="3696"/>
      <c r="F6" s="3696"/>
      <c r="G6" s="3696"/>
      <c r="H6" s="3696"/>
      <c r="I6" s="3696"/>
      <c r="J6" s="3696"/>
      <c r="K6" s="3696"/>
      <c r="L6" s="3696"/>
      <c r="M6" s="3696"/>
      <c r="N6" s="3696"/>
      <c r="O6" s="3696"/>
      <c r="P6" s="3696"/>
      <c r="Q6" s="3697"/>
      <c r="R6" s="1599">
        <f ca="1">结果表!O39</f>
        <v>256484</v>
      </c>
    </row>
    <row r="7" spans="1:18">
      <c r="A7" s="3695" t="str">
        <f>IF(项目基本情况!B9="市场价格","——",IF(项目基本情况!E8="已注销及未注销","抵押担保权已注销时的抵押价格","——"))</f>
        <v>——</v>
      </c>
      <c r="B7" s="3696"/>
      <c r="C7" s="3696"/>
      <c r="D7" s="3696"/>
      <c r="E7" s="3696"/>
      <c r="F7" s="3696"/>
      <c r="G7" s="3696"/>
      <c r="H7" s="3696"/>
      <c r="I7" s="3696"/>
      <c r="J7" s="3696"/>
      <c r="K7" s="3696"/>
      <c r="L7" s="3696"/>
      <c r="M7" s="3696"/>
      <c r="N7" s="3696"/>
      <c r="O7" s="3696"/>
      <c r="P7" s="3696"/>
      <c r="Q7" s="3697"/>
      <c r="R7" s="1599" t="str">
        <f>结果表!O40</f>
        <v>——</v>
      </c>
    </row>
    <row r="8" spans="1:18">
      <c r="A8" s="3695">
        <f>IF(项目基本情况!B9="市场价格","——",项目基本情况!E9)</f>
        <v>0</v>
      </c>
      <c r="B8" s="3696"/>
      <c r="C8" s="3696"/>
      <c r="D8" s="3696"/>
      <c r="E8" s="3696"/>
      <c r="F8" s="3696"/>
      <c r="G8" s="3696"/>
      <c r="H8" s="3696"/>
      <c r="I8" s="3696"/>
      <c r="J8" s="3696"/>
      <c r="K8" s="3696"/>
      <c r="L8" s="3696"/>
      <c r="M8" s="3696"/>
      <c r="N8" s="3696"/>
      <c r="O8" s="3696"/>
      <c r="P8" s="3696"/>
      <c r="Q8" s="3697"/>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699" t="s">
        <v>1583</v>
      </c>
      <c r="B1" s="3699"/>
      <c r="C1" s="3699"/>
      <c r="D1" s="3699"/>
    </row>
    <row r="2" spans="1:4" ht="47.25" customHeight="1">
      <c r="A2" s="3700" t="str">
        <f>"1.权利限制："&amp;项目基本情况!L24&amp;"未设定租赁等其他他项权利。"</f>
        <v>1.权利限制：根据估价对象《不动产权证书》原件、《国有土地使用权》复印件，截至估价期日，估价对象抵押权未见登记。未设定租赁等其他他项权利。</v>
      </c>
      <c r="B2" s="3700"/>
      <c r="C2" s="3700"/>
      <c r="D2" s="3700"/>
    </row>
    <row r="3" spans="1:4" ht="48" customHeight="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698" t="s">
        <v>1584</v>
      </c>
      <c r="B5" s="3698"/>
      <c r="C5" s="3698"/>
      <c r="D5" s="3698"/>
    </row>
    <row r="6" spans="1:4">
      <c r="A6" s="3699" t="s">
        <v>1562</v>
      </c>
      <c r="B6" s="3699"/>
      <c r="C6" s="3699"/>
      <c r="D6" s="3699"/>
    </row>
    <row r="7" spans="1:4" ht="33" customHeight="1">
      <c r="A7" s="3699" t="s">
        <v>1857</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9"/>
      <c r="C8" s="3699"/>
      <c r="D8" s="3699"/>
    </row>
    <row r="9" spans="1:4" ht="33.75" customHeight="1">
      <c r="A9" s="36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9"/>
      <c r="C9" s="3699"/>
      <c r="D9" s="3699"/>
    </row>
    <row r="10" spans="1:4">
      <c r="A10" s="3699" t="str">
        <f>IF(项目基本情况!B8="抵押","4.估价师所知悉的法定优先受偿款情况为：","——")</f>
        <v>4.估价师所知悉的法定优先受偿款情况为：</v>
      </c>
      <c r="B10" s="3699"/>
      <c r="C10" s="3699"/>
      <c r="D10" s="3699"/>
    </row>
    <row r="11" spans="1:4" ht="37.5" customHeight="1">
      <c r="A11" s="37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1"/>
      <c r="C11" s="3701"/>
      <c r="D11" s="3701"/>
    </row>
    <row r="12" spans="1:4" ht="168" customHeight="1">
      <c r="A12" s="3698" t="s">
        <v>1586</v>
      </c>
      <c r="B12" s="3698"/>
      <c r="C12" s="3698"/>
      <c r="D12" s="3698"/>
    </row>
    <row r="13" spans="1:4">
      <c r="A13" s="3702" t="s">
        <v>2028</v>
      </c>
      <c r="B13" s="3702"/>
      <c r="C13" s="3702"/>
      <c r="D13" s="3702"/>
    </row>
    <row r="14" spans="1:4">
      <c r="A14" s="3701" t="str">
        <f>IF(项目基本情况!B8="抵押","综上，"&amp;结果表!K47,"——")</f>
        <v>综上，本次评估不存在估价师知悉的法定优先受偿款</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1984</v>
      </c>
      <c r="B17" s="3699"/>
      <c r="C17" s="3699"/>
      <c r="D17" s="3699"/>
    </row>
    <row r="18" spans="1:4">
      <c r="A18" s="3699" t="s">
        <v>1976</v>
      </c>
      <c r="B18" s="3699"/>
      <c r="C18" s="3699"/>
      <c r="D18" s="3699"/>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99" t="s">
        <v>1981</v>
      </c>
      <c r="B23" s="3699"/>
      <c r="C23" s="3699"/>
      <c r="D23" s="3699"/>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10" t="s">
        <v>27</v>
      </c>
      <c r="B15" s="3711" t="s">
        <v>784</v>
      </c>
      <c r="C15" s="3707"/>
    </row>
    <row r="16" spans="1:7" ht="14.4">
      <c r="A16" s="3710"/>
      <c r="B16" s="3708" t="s">
        <v>28</v>
      </c>
      <c r="C16" s="1069" t="s">
        <v>27</v>
      </c>
    </row>
    <row r="17" spans="1:3" ht="14.4">
      <c r="A17" s="3710"/>
      <c r="B17" s="3708"/>
      <c r="C17" s="1069" t="s">
        <v>29</v>
      </c>
    </row>
    <row r="18" spans="1:3" ht="14.4">
      <c r="A18" s="3710"/>
      <c r="B18" s="3708"/>
      <c r="C18" s="1069" t="s">
        <v>30</v>
      </c>
    </row>
    <row r="19" spans="1:3" ht="14.4">
      <c r="A19" s="3710"/>
      <c r="B19" s="3706" t="s">
        <v>31</v>
      </c>
      <c r="C19" s="3707"/>
    </row>
    <row r="20" spans="1:3" ht="14.4">
      <c r="A20" s="1070" t="s">
        <v>32</v>
      </c>
      <c r="B20" s="1071"/>
      <c r="C20" s="1072"/>
    </row>
    <row r="21" spans="1:3" ht="14.4">
      <c r="A21" s="3709" t="s">
        <v>33</v>
      </c>
      <c r="B21" s="3706" t="s">
        <v>34</v>
      </c>
      <c r="C21" s="3707"/>
    </row>
    <row r="22" spans="1:3" ht="14.4">
      <c r="A22" s="3709"/>
      <c r="B22" s="3706" t="s">
        <v>35</v>
      </c>
      <c r="C22" s="3707"/>
    </row>
    <row r="23" spans="1:3" ht="14.4">
      <c r="A23" s="3709"/>
      <c r="B23" s="3706" t="s">
        <v>36</v>
      </c>
      <c r="C23" s="3707"/>
    </row>
    <row r="24" spans="1:3" ht="14.4">
      <c r="A24" s="3709"/>
      <c r="B24" s="3712" t="s">
        <v>37</v>
      </c>
      <c r="C24" s="1073" t="s">
        <v>775</v>
      </c>
    </row>
    <row r="25" spans="1:3" ht="14.4">
      <c r="A25" s="3709"/>
      <c r="B25" s="3713"/>
      <c r="C25" s="1073" t="s">
        <v>776</v>
      </c>
    </row>
    <row r="26" spans="1:3" ht="14.4">
      <c r="A26" s="3709"/>
      <c r="B26" s="3713"/>
      <c r="C26" s="1073" t="s">
        <v>777</v>
      </c>
    </row>
    <row r="27" spans="1:3" ht="14.4">
      <c r="A27" s="3709"/>
      <c r="B27" s="3713"/>
      <c r="C27" s="1073" t="s">
        <v>778</v>
      </c>
    </row>
    <row r="28" spans="1:3" ht="14.4">
      <c r="A28" s="3709"/>
      <c r="B28" s="3713"/>
      <c r="C28" s="1073" t="s">
        <v>779</v>
      </c>
    </row>
    <row r="29" spans="1:3" ht="14.4">
      <c r="A29" s="3709"/>
      <c r="B29" s="3713"/>
      <c r="C29" s="1073" t="s">
        <v>780</v>
      </c>
    </row>
    <row r="30" spans="1:3" ht="14.4">
      <c r="A30" s="3709"/>
      <c r="B30" s="3713"/>
      <c r="C30" s="1073" t="s">
        <v>781</v>
      </c>
    </row>
    <row r="31" spans="1:3" ht="14.4">
      <c r="A31" s="3709"/>
      <c r="B31" s="3713"/>
      <c r="C31" s="1073" t="s">
        <v>782</v>
      </c>
    </row>
    <row r="32" spans="1:3" ht="14.4">
      <c r="A32" s="3709"/>
      <c r="B32" s="3713"/>
      <c r="C32" s="1073" t="s">
        <v>1181</v>
      </c>
    </row>
    <row r="33" spans="1:3" ht="14.4">
      <c r="A33" s="3709"/>
      <c r="B33" s="3703" t="s">
        <v>1187</v>
      </c>
      <c r="C33" s="1073" t="s">
        <v>1182</v>
      </c>
    </row>
    <row r="34" spans="1:3" ht="14.4">
      <c r="A34" s="3709"/>
      <c r="B34" s="3704"/>
      <c r="C34" s="1078" t="s">
        <v>1183</v>
      </c>
    </row>
    <row r="35" spans="1:3" ht="14.4">
      <c r="A35" s="3709"/>
      <c r="B35" s="3704"/>
      <c r="C35" s="1079" t="s">
        <v>1184</v>
      </c>
    </row>
    <row r="36" spans="1:3" ht="14.4">
      <c r="A36" s="3709"/>
      <c r="B36" s="3704"/>
      <c r="C36" s="1079" t="s">
        <v>1185</v>
      </c>
    </row>
    <row r="37" spans="1:3" ht="14.4">
      <c r="A37" s="3709"/>
      <c r="B37" s="3705"/>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583" customWidth="1"/>
    <col min="2" max="2" width="22.77734375" style="2583" bestFit="1" customWidth="1"/>
    <col min="3" max="3" width="25.77734375" style="2583" bestFit="1" customWidth="1"/>
    <col min="4" max="4" width="22.6640625" style="2583"/>
    <col min="5" max="5" width="22.77734375" style="2583" bestFit="1" customWidth="1"/>
    <col min="6" max="6" width="25.6640625" style="2583" customWidth="1"/>
    <col min="7" max="16384" width="22.6640625" style="2583"/>
  </cols>
  <sheetData>
    <row r="1" spans="1:7" ht="20.25" customHeight="1">
      <c r="A1" s="2766"/>
      <c r="B1" s="2766"/>
      <c r="C1" s="2766"/>
      <c r="D1" s="2766"/>
      <c r="E1" s="2766"/>
      <c r="F1" s="2766"/>
      <c r="G1" s="2766"/>
    </row>
    <row r="2" spans="1:7" ht="20.25" customHeight="1">
      <c r="A2" s="2767" t="s">
        <v>1431</v>
      </c>
      <c r="B2" s="2768">
        <f ca="1">TODAY()</f>
        <v>44931</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17" t="s">
        <v>1448</v>
      </c>
      <c r="B18" s="3718"/>
      <c r="C18" s="3718"/>
      <c r="D18" s="3718"/>
      <c r="E18" s="3718"/>
      <c r="F18" s="3718"/>
      <c r="G18" s="2775"/>
    </row>
    <row r="19" spans="1:7" ht="20.25" customHeight="1">
      <c r="A19" s="3714" t="s">
        <v>1449</v>
      </c>
      <c r="B19" s="3714"/>
      <c r="C19" s="3715"/>
      <c r="D19" s="3716" t="s">
        <v>1450</v>
      </c>
      <c r="E19" s="3714"/>
      <c r="F19" s="3714"/>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9" sqref="G29"/>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ht="14.4">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ht="14.4">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ht="14.4">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ht="14.4">
      <c r="A7" s="6" t="s">
        <v>72</v>
      </c>
      <c r="B7" s="6" t="s">
        <v>73</v>
      </c>
      <c r="C7" s="1367" t="s">
        <v>1243</v>
      </c>
      <c r="F7" s="7" t="s">
        <v>120</v>
      </c>
      <c r="H7" s="7" t="s">
        <v>74</v>
      </c>
      <c r="I7" s="7" t="s">
        <v>2754</v>
      </c>
    </row>
    <row r="8" spans="1:23" ht="14.4">
      <c r="A8" s="6" t="s">
        <v>75</v>
      </c>
      <c r="B8" s="6" t="s">
        <v>76</v>
      </c>
      <c r="C8" s="1367" t="s">
        <v>1244</v>
      </c>
      <c r="F8" s="7" t="s">
        <v>121</v>
      </c>
      <c r="H8" s="3335" t="s">
        <v>2748</v>
      </c>
      <c r="I8" s="7" t="s">
        <v>2755</v>
      </c>
    </row>
    <row r="9" spans="1:23" ht="14.4">
      <c r="A9" s="6" t="s">
        <v>77</v>
      </c>
      <c r="B9" s="6" t="s">
        <v>122</v>
      </c>
      <c r="C9" s="1367" t="s">
        <v>1245</v>
      </c>
      <c r="F9" s="7" t="s">
        <v>78</v>
      </c>
      <c r="H9" s="7"/>
      <c r="I9" s="7" t="s">
        <v>2756</v>
      </c>
    </row>
    <row r="10" spans="1:23" ht="14.4">
      <c r="A10" s="6" t="s">
        <v>79</v>
      </c>
      <c r="B10" s="6" t="s">
        <v>123</v>
      </c>
      <c r="C10" s="1367" t="s">
        <v>1246</v>
      </c>
      <c r="F10" s="3335" t="s">
        <v>2747</v>
      </c>
      <c r="I10" s="7" t="s">
        <v>2757</v>
      </c>
    </row>
    <row r="11" spans="1:23" ht="14.4">
      <c r="A11" s="6" t="s">
        <v>80</v>
      </c>
      <c r="B11" s="6" t="s">
        <v>124</v>
      </c>
      <c r="C11" s="1367" t="s">
        <v>1247</v>
      </c>
      <c r="I11" s="7" t="s">
        <v>2758</v>
      </c>
    </row>
    <row r="12" spans="1:23" ht="14.4">
      <c r="A12" s="6" t="s">
        <v>81</v>
      </c>
      <c r="B12" s="6" t="s">
        <v>125</v>
      </c>
      <c r="C12" s="1367" t="s">
        <v>1248</v>
      </c>
      <c r="I12" s="7" t="s">
        <v>2759</v>
      </c>
    </row>
    <row r="13" spans="1:23" ht="14.4">
      <c r="A13" s="6" t="s">
        <v>82</v>
      </c>
      <c r="B13" s="6" t="s">
        <v>126</v>
      </c>
      <c r="C13" s="1367" t="s">
        <v>1249</v>
      </c>
      <c r="I13" s="7" t="s">
        <v>2760</v>
      </c>
    </row>
    <row r="14" spans="1:23" ht="14.4">
      <c r="A14" s="6" t="s">
        <v>83</v>
      </c>
      <c r="B14" s="6" t="s">
        <v>127</v>
      </c>
      <c r="C14" s="1370" t="s">
        <v>1421</v>
      </c>
      <c r="I14" s="7" t="s">
        <v>2761</v>
      </c>
    </row>
    <row r="15" spans="1:23" ht="14.4">
      <c r="A15" s="6" t="s">
        <v>84</v>
      </c>
      <c r="B15" s="6" t="s">
        <v>1214</v>
      </c>
      <c r="C15" s="1370"/>
      <c r="I15" s="7" t="s">
        <v>2762</v>
      </c>
    </row>
    <row r="16" spans="1:23" ht="14.4">
      <c r="A16" s="6" t="s">
        <v>85</v>
      </c>
      <c r="B16" s="6" t="s">
        <v>1215</v>
      </c>
      <c r="C16" s="1370"/>
    </row>
    <row r="17" spans="1:3" ht="14.4">
      <c r="A17" s="6" t="s">
        <v>86</v>
      </c>
      <c r="B17" s="6" t="s">
        <v>1216</v>
      </c>
      <c r="C17" s="1370"/>
    </row>
    <row r="18" spans="1:3" ht="14.4">
      <c r="A18" s="6" t="s">
        <v>87</v>
      </c>
      <c r="B18" s="2545" t="s">
        <v>2216</v>
      </c>
      <c r="C18" s="1370"/>
    </row>
    <row r="19" spans="1:3" ht="14.4">
      <c r="A19" s="6" t="s">
        <v>88</v>
      </c>
      <c r="B19" s="2545" t="s">
        <v>2223</v>
      </c>
      <c r="C19" s="1370"/>
    </row>
    <row r="20" spans="1:3" ht="14.4">
      <c r="A20" s="6" t="s">
        <v>89</v>
      </c>
      <c r="B20" s="2545" t="s">
        <v>2263</v>
      </c>
      <c r="C20" s="1370"/>
    </row>
    <row r="21" spans="1:3" ht="14.4">
      <c r="A21" s="6" t="s">
        <v>90</v>
      </c>
      <c r="B21" s="6" t="s">
        <v>2442</v>
      </c>
      <c r="C21" s="1370"/>
    </row>
    <row r="22" spans="1:3" ht="14.4">
      <c r="A22" s="6" t="s">
        <v>91</v>
      </c>
      <c r="B22" s="2545" t="s">
        <v>3324</v>
      </c>
      <c r="C22" s="1370"/>
    </row>
    <row r="23" spans="1:3" ht="14.4">
      <c r="A23" s="6" t="s">
        <v>92</v>
      </c>
      <c r="B23" s="2545" t="s">
        <v>3326</v>
      </c>
      <c r="C23" s="1370"/>
    </row>
    <row r="24" spans="1:3">
      <c r="A24" s="6" t="s">
        <v>9</v>
      </c>
      <c r="B24" s="6" t="s">
        <v>1177</v>
      </c>
      <c r="C24" s="1370"/>
    </row>
    <row r="25" spans="1:3" ht="14.4">
      <c r="A25" s="6" t="s">
        <v>93</v>
      </c>
      <c r="B25" s="6" t="s">
        <v>1177</v>
      </c>
      <c r="C25" s="1370"/>
    </row>
    <row r="26" spans="1:3" ht="14.4">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19"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19"/>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9"/>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9"/>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9"/>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602</vt:i4>
      </vt:variant>
    </vt:vector>
  </HeadingPairs>
  <TitlesOfParts>
    <vt:vector size="6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车位案例!办公层高</vt:lpstr>
      <vt:lpstr>面积表、补缴!办公层高</vt:lpstr>
      <vt:lpstr>土地案例!办公层高</vt:lpstr>
      <vt:lpstr>住宅案例!办公层高</vt:lpstr>
      <vt:lpstr>办公层高</vt:lpstr>
      <vt:lpstr>车位案例!办公朝向</vt:lpstr>
      <vt:lpstr>面积表、补缴!办公朝向</vt:lpstr>
      <vt:lpstr>土地案例!办公朝向</vt:lpstr>
      <vt:lpstr>住宅案例!办公朝向</vt:lpstr>
      <vt:lpstr>办公朝向</vt:lpstr>
      <vt:lpstr>车位案例!办公道路级别</vt:lpstr>
      <vt:lpstr>面积表、补缴!办公道路级别</vt:lpstr>
      <vt:lpstr>土地案例!办公道路级别</vt:lpstr>
      <vt:lpstr>住宅案例!办公道路级别</vt:lpstr>
      <vt:lpstr>办公道路级别</vt:lpstr>
      <vt:lpstr>车位案例!办公公共部分装修</vt:lpstr>
      <vt:lpstr>面积表、补缴!办公公共部分装修</vt:lpstr>
      <vt:lpstr>土地案例!办公公共部分装修</vt:lpstr>
      <vt:lpstr>住宅案例!办公公共部分装修</vt:lpstr>
      <vt:lpstr>办公公共部分装修</vt:lpstr>
      <vt:lpstr>车位案例!办公基础设施水平</vt:lpstr>
      <vt:lpstr>面积表、补缴!办公基础设施水平</vt:lpstr>
      <vt:lpstr>土地案例!办公基础设施水平</vt:lpstr>
      <vt:lpstr>住宅案例!办公基础设施水平</vt:lpstr>
      <vt:lpstr>办公基础设施水平</vt:lpstr>
      <vt:lpstr>车位案例!办公集聚程度</vt:lpstr>
      <vt:lpstr>面积表、补缴!办公集聚程度</vt:lpstr>
      <vt:lpstr>土地案例!办公集聚程度</vt:lpstr>
      <vt:lpstr>住宅案例!办公集聚程度</vt:lpstr>
      <vt:lpstr>办公集聚程度</vt:lpstr>
      <vt:lpstr>车位案例!办公建筑结构</vt:lpstr>
      <vt:lpstr>面积表、补缴!办公建筑结构</vt:lpstr>
      <vt:lpstr>土地案例!办公建筑结构</vt:lpstr>
      <vt:lpstr>住宅案例!办公建筑结构</vt:lpstr>
      <vt:lpstr>办公建筑结构</vt:lpstr>
      <vt:lpstr>车位案例!办公建筑类型</vt:lpstr>
      <vt:lpstr>面积表、补缴!办公建筑类型</vt:lpstr>
      <vt:lpstr>土地案例!办公建筑类型</vt:lpstr>
      <vt:lpstr>住宅案例!办公建筑类型</vt:lpstr>
      <vt:lpstr>办公建筑类型</vt:lpstr>
      <vt:lpstr>车位案例!办公交易情况</vt:lpstr>
      <vt:lpstr>面积表、补缴!办公交易情况</vt:lpstr>
      <vt:lpstr>土地案例!办公交易情况</vt:lpstr>
      <vt:lpstr>住宅案例!办公交易情况</vt:lpstr>
      <vt:lpstr>办公交易情况</vt:lpstr>
      <vt:lpstr>车位案例!办公楼层</vt:lpstr>
      <vt:lpstr>面积表、补缴!办公楼层</vt:lpstr>
      <vt:lpstr>土地案例!办公楼层</vt:lpstr>
      <vt:lpstr>住宅案例!办公楼层</vt:lpstr>
      <vt:lpstr>办公楼层</vt:lpstr>
      <vt:lpstr>车位案例!办公内部装修</vt:lpstr>
      <vt:lpstr>面积表、补缴!办公内部装修</vt:lpstr>
      <vt:lpstr>土地案例!办公内部装修</vt:lpstr>
      <vt:lpstr>住宅案例!办公内部装修</vt:lpstr>
      <vt:lpstr>办公内部装修</vt:lpstr>
      <vt:lpstr>车位案例!办公物业管理</vt:lpstr>
      <vt:lpstr>面积表、补缴!办公物业管理</vt:lpstr>
      <vt:lpstr>土地案例!办公物业管理</vt:lpstr>
      <vt:lpstr>住宅案例!办公物业管理</vt:lpstr>
      <vt:lpstr>办公物业管理</vt:lpstr>
      <vt:lpstr>车位案例!办公用途</vt:lpstr>
      <vt:lpstr>面积表、补缴!办公用途</vt:lpstr>
      <vt:lpstr>土地案例!办公用途</vt:lpstr>
      <vt:lpstr>住宅案例!办公用途</vt:lpstr>
      <vt:lpstr>办公用途</vt:lpstr>
      <vt:lpstr>车位案例!仓储公共部分装修</vt:lpstr>
      <vt:lpstr>面积表、补缴!仓储公共部分装修</vt:lpstr>
      <vt:lpstr>土地案例!仓储公共部分装修</vt:lpstr>
      <vt:lpstr>住宅案例!仓储公共部分装修</vt:lpstr>
      <vt:lpstr>仓储公共部分装修</vt:lpstr>
      <vt:lpstr>车位案例!仓储交易情况</vt:lpstr>
      <vt:lpstr>面积表、补缴!仓储交易情况</vt:lpstr>
      <vt:lpstr>土地案例!仓储交易情况</vt:lpstr>
      <vt:lpstr>住宅案例!仓储交易情况</vt:lpstr>
      <vt:lpstr>仓储交易情况</vt:lpstr>
      <vt:lpstr>车位案例!仓储楼层</vt:lpstr>
      <vt:lpstr>面积表、补缴!仓储楼层</vt:lpstr>
      <vt:lpstr>土地案例!仓储楼层</vt:lpstr>
      <vt:lpstr>住宅案例!仓储楼层</vt:lpstr>
      <vt:lpstr>仓储楼层</vt:lpstr>
      <vt:lpstr>车位案例!仓储物业等级</vt:lpstr>
      <vt:lpstr>面积表、补缴!仓储物业等级</vt:lpstr>
      <vt:lpstr>土地案例!仓储物业等级</vt:lpstr>
      <vt:lpstr>住宅案例!仓储物业等级</vt:lpstr>
      <vt:lpstr>仓储物业等级</vt:lpstr>
      <vt:lpstr>车位案例!仓储用途</vt:lpstr>
      <vt:lpstr>面积表、补缴!仓储用途</vt:lpstr>
      <vt:lpstr>土地案例!仓储用途</vt:lpstr>
      <vt:lpstr>住宅案例!仓储用途</vt:lpstr>
      <vt:lpstr>仓储用途</vt:lpstr>
      <vt:lpstr>车位案例!产业集聚程度</vt:lpstr>
      <vt:lpstr>面积表、补缴!产业集聚程度</vt:lpstr>
      <vt:lpstr>土地案例!产业集聚程度</vt:lpstr>
      <vt:lpstr>住宅案例!产业集聚程度</vt:lpstr>
      <vt:lpstr>产业集聚程度</vt:lpstr>
      <vt:lpstr>车位案例!车位公共部分装修</vt:lpstr>
      <vt:lpstr>面积表、补缴!车位公共部分装修</vt:lpstr>
      <vt:lpstr>土地案例!车位公共部分装修</vt:lpstr>
      <vt:lpstr>住宅案例!车位公共部分装修</vt:lpstr>
      <vt:lpstr>车位公共部分装修</vt:lpstr>
      <vt:lpstr>车位案例!车位交易情况</vt:lpstr>
      <vt:lpstr>面积表、补缴!车位交易情况</vt:lpstr>
      <vt:lpstr>土地案例!车位交易情况</vt:lpstr>
      <vt:lpstr>住宅案例!车位交易情况</vt:lpstr>
      <vt:lpstr>车位交易情况</vt:lpstr>
      <vt:lpstr>车位案例!车位类型</vt:lpstr>
      <vt:lpstr>面积表、补缴!车位类型</vt:lpstr>
      <vt:lpstr>土地案例!车位类型</vt:lpstr>
      <vt:lpstr>住宅案例!车位类型</vt:lpstr>
      <vt:lpstr>车位类型</vt:lpstr>
      <vt:lpstr>车位案例!车位楼层</vt:lpstr>
      <vt:lpstr>面积表、补缴!车位楼层</vt:lpstr>
      <vt:lpstr>土地案例!车位楼层</vt:lpstr>
      <vt:lpstr>住宅案例!车位楼层</vt:lpstr>
      <vt:lpstr>车位楼层</vt:lpstr>
      <vt:lpstr>车位案例!车位配套类型</vt:lpstr>
      <vt:lpstr>面积表、补缴!车位配套类型</vt:lpstr>
      <vt:lpstr>土地案例!车位配套类型</vt:lpstr>
      <vt:lpstr>住宅案例!车位配套类型</vt:lpstr>
      <vt:lpstr>车位配套类型</vt:lpstr>
      <vt:lpstr>车位案例!车位物业等级</vt:lpstr>
      <vt:lpstr>面积表、补缴!车位物业等级</vt:lpstr>
      <vt:lpstr>土地案例!车位物业等级</vt:lpstr>
      <vt:lpstr>住宅案例!车位物业等级</vt:lpstr>
      <vt:lpstr>车位物业等级</vt:lpstr>
      <vt:lpstr>车位案例!车位用途</vt:lpstr>
      <vt:lpstr>面积表、补缴!车位用途</vt:lpstr>
      <vt:lpstr>土地案例!车位用途</vt:lpstr>
      <vt:lpstr>住宅案例!车位用途</vt:lpstr>
      <vt:lpstr>车位用途</vt:lpstr>
      <vt:lpstr>车位案例!城镇土地纳税等级分级范围</vt:lpstr>
      <vt:lpstr>面积表、补缴!城镇土地纳税等级分级范围</vt:lpstr>
      <vt:lpstr>土地案例!城镇土地纳税等级分级范围</vt:lpstr>
      <vt:lpstr>住宅案例!城镇土地纳税等级分级范围</vt:lpstr>
      <vt:lpstr>城镇土地纳税等级分级范围</vt:lpstr>
      <vt:lpstr>车位案例!单价内涵</vt:lpstr>
      <vt:lpstr>面积表、补缴!单价内涵</vt:lpstr>
      <vt:lpstr>土地案例!单价内涵</vt:lpstr>
      <vt:lpstr>住宅案例!单价内涵</vt:lpstr>
      <vt:lpstr>单价内涵</vt:lpstr>
      <vt:lpstr>车位案例!地类判定</vt:lpstr>
      <vt:lpstr>面积表、补缴!地类判定</vt:lpstr>
      <vt:lpstr>土地案例!地类判定</vt:lpstr>
      <vt:lpstr>住宅案例!地类判定</vt:lpstr>
      <vt:lpstr>地类判定</vt:lpstr>
      <vt:lpstr>二级</vt:lpstr>
      <vt:lpstr>车位案例!二级分类</vt:lpstr>
      <vt:lpstr>面积表、补缴!二级分类</vt:lpstr>
      <vt:lpstr>土地案例!二级分类</vt:lpstr>
      <vt:lpstr>住宅案例!二级分类</vt:lpstr>
      <vt:lpstr>二级分类</vt:lpstr>
      <vt:lpstr>车位案例!法定最高年限</vt:lpstr>
      <vt:lpstr>面积表、补缴!法定最高年限</vt:lpstr>
      <vt:lpstr>土地案例!法定最高年限</vt:lpstr>
      <vt:lpstr>住宅案例!法定最高年限</vt:lpstr>
      <vt:lpstr>法定最高年限</vt:lpstr>
      <vt:lpstr>车位案例!工业公共部分装修</vt:lpstr>
      <vt:lpstr>面积表、补缴!工业公共部分装修</vt:lpstr>
      <vt:lpstr>土地案例!工业公共部分装修</vt:lpstr>
      <vt:lpstr>住宅案例!工业公共部分装修</vt:lpstr>
      <vt:lpstr>工业公共部分装修</vt:lpstr>
      <vt:lpstr>车位案例!工业基础设施水平</vt:lpstr>
      <vt:lpstr>面积表、补缴!工业基础设施水平</vt:lpstr>
      <vt:lpstr>土地案例!工业基础设施水平</vt:lpstr>
      <vt:lpstr>住宅案例!工业基础设施水平</vt:lpstr>
      <vt:lpstr>工业基础设施水平</vt:lpstr>
      <vt:lpstr>车位案例!工业建筑结构</vt:lpstr>
      <vt:lpstr>面积表、补缴!工业建筑结构</vt:lpstr>
      <vt:lpstr>土地案例!工业建筑结构</vt:lpstr>
      <vt:lpstr>住宅案例!工业建筑结构</vt:lpstr>
      <vt:lpstr>工业建筑结构</vt:lpstr>
      <vt:lpstr>车位案例!工业建筑类型</vt:lpstr>
      <vt:lpstr>面积表、补缴!工业建筑类型</vt:lpstr>
      <vt:lpstr>土地案例!工业建筑类型</vt:lpstr>
      <vt:lpstr>住宅案例!工业建筑类型</vt:lpstr>
      <vt:lpstr>工业建筑类型</vt:lpstr>
      <vt:lpstr>车位案例!工业交易情况</vt:lpstr>
      <vt:lpstr>面积表、补缴!工业交易情况</vt:lpstr>
      <vt:lpstr>土地案例!工业交易情况</vt:lpstr>
      <vt:lpstr>住宅案例!工业交易情况</vt:lpstr>
      <vt:lpstr>工业交易情况</vt:lpstr>
      <vt:lpstr>车位案例!工业内部装修</vt:lpstr>
      <vt:lpstr>面积表、补缴!工业内部装修</vt:lpstr>
      <vt:lpstr>土地案例!工业内部装修</vt:lpstr>
      <vt:lpstr>住宅案例!工业内部装修</vt:lpstr>
      <vt:lpstr>工业内部装修</vt:lpstr>
      <vt:lpstr>车位案例!工业物业管理</vt:lpstr>
      <vt:lpstr>面积表、补缴!工业物业管理</vt:lpstr>
      <vt:lpstr>土地案例!工业物业管理</vt:lpstr>
      <vt:lpstr>住宅案例!工业物业管理</vt:lpstr>
      <vt:lpstr>工业物业管理</vt:lpstr>
      <vt:lpstr>车位案例!工业用途</vt:lpstr>
      <vt:lpstr>面积表、补缴!工业用途</vt:lpstr>
      <vt:lpstr>土地案例!工业用途</vt:lpstr>
      <vt:lpstr>住宅案例!工业用途</vt:lpstr>
      <vt:lpstr>工业用途</vt:lpstr>
      <vt:lpstr>车位案例!公共配套设施</vt:lpstr>
      <vt:lpstr>面积表、补缴!公共配套设施</vt:lpstr>
      <vt:lpstr>土地案例!公共配套设施</vt:lpstr>
      <vt:lpstr>住宅案例!公共配套设施</vt:lpstr>
      <vt:lpstr>公共配套设施</vt:lpstr>
      <vt:lpstr>估价范围判定</vt:lpstr>
      <vt:lpstr>车位案例!估价方法</vt:lpstr>
      <vt:lpstr>面积表、补缴!估价方法</vt:lpstr>
      <vt:lpstr>土地案例!估价方法</vt:lpstr>
      <vt:lpstr>住宅案例!估价方法</vt:lpstr>
      <vt:lpstr>估价方法</vt:lpstr>
      <vt:lpstr>车位案例!环境</vt:lpstr>
      <vt:lpstr>面积表、补缴!环境</vt:lpstr>
      <vt:lpstr>土地案例!环境</vt:lpstr>
      <vt:lpstr>住宅案例!环境</vt:lpstr>
      <vt:lpstr>环境</vt:lpstr>
      <vt:lpstr>车位案例!基础设施水平</vt:lpstr>
      <vt:lpstr>面积表、补缴!基础设施水平</vt:lpstr>
      <vt:lpstr>土地案例!基础设施水平</vt:lpstr>
      <vt:lpstr>住宅案例!基础设施水平</vt:lpstr>
      <vt:lpstr>基础设施水平</vt:lpstr>
      <vt:lpstr>季度</vt:lpstr>
      <vt:lpstr>季度2014</vt:lpstr>
      <vt:lpstr>车位案例!价值类型2</vt:lpstr>
      <vt:lpstr>面积表、补缴!价值类型2</vt:lpstr>
      <vt:lpstr>土地案例!价值类型2</vt:lpstr>
      <vt:lpstr>住宅案例!价值类型2</vt:lpstr>
      <vt:lpstr>价值类型2</vt:lpstr>
      <vt:lpstr>车位案例!交通便捷度</vt:lpstr>
      <vt:lpstr>面积表、补缴!交通便捷度</vt:lpstr>
      <vt:lpstr>土地案例!交通便捷度</vt:lpstr>
      <vt:lpstr>住宅案例!交通便捷度</vt:lpstr>
      <vt:lpstr>交通便捷度</vt:lpstr>
      <vt:lpstr>九级</vt:lpstr>
      <vt:lpstr>车位案例!居住社区成熟度</vt:lpstr>
      <vt:lpstr>面积表、补缴!居住社区成熟度</vt:lpstr>
      <vt:lpstr>土地案例!居住社区成熟度</vt:lpstr>
      <vt:lpstr>住宅案例!居住社区成熟度</vt:lpstr>
      <vt:lpstr>居住社区成熟度</vt:lpstr>
      <vt:lpstr>车位案例!类别</vt:lpstr>
      <vt:lpstr>面积表、补缴!类别</vt:lpstr>
      <vt:lpstr>土地案例!类别</vt:lpstr>
      <vt:lpstr>住宅案例!类别</vt:lpstr>
      <vt:lpstr>类别</vt:lpstr>
      <vt:lpstr>车位案例!临街状况</vt:lpstr>
      <vt:lpstr>面积表、补缴!临街状况</vt:lpstr>
      <vt:lpstr>土地案例!临街状况</vt:lpstr>
      <vt:lpstr>住宅案例!临街状况</vt:lpstr>
      <vt:lpstr>临街状况</vt:lpstr>
      <vt:lpstr>六级</vt:lpstr>
      <vt:lpstr>车位案例!内部装修维护情况</vt:lpstr>
      <vt:lpstr>面积表、补缴!内部装修维护情况</vt:lpstr>
      <vt:lpstr>土地案例!内部装修维护情况</vt:lpstr>
      <vt:lpstr>住宅案例!内部装修维护情况</vt:lpstr>
      <vt:lpstr>内部装修维护情况</vt:lpstr>
      <vt:lpstr>判定</vt:lpstr>
      <vt:lpstr>七级</vt:lpstr>
      <vt:lpstr>车位案例!七通一平</vt:lpstr>
      <vt:lpstr>面积表、补缴!七通一平</vt:lpstr>
      <vt:lpstr>土地案例!七通一平</vt:lpstr>
      <vt:lpstr>住宅案例!七通一平</vt:lpstr>
      <vt:lpstr>七通一平</vt:lpstr>
      <vt:lpstr>车位案例!区域土地利用方向</vt:lpstr>
      <vt:lpstr>面积表、补缴!区域土地利用方向</vt:lpstr>
      <vt:lpstr>土地案例!区域土地利用方向</vt:lpstr>
      <vt:lpstr>住宅案例!区域土地利用方向</vt:lpstr>
      <vt:lpstr>区域土地利用方向</vt:lpstr>
      <vt:lpstr>三级</vt:lpstr>
      <vt:lpstr>车位案例!商业层高</vt:lpstr>
      <vt:lpstr>面积表、补缴!商业层高</vt:lpstr>
      <vt:lpstr>土地案例!商业层高</vt:lpstr>
      <vt:lpstr>住宅案例!商业层高</vt:lpstr>
      <vt:lpstr>商业层高</vt:lpstr>
      <vt:lpstr>商业成新度</vt:lpstr>
      <vt:lpstr>车位案例!商业繁华度</vt:lpstr>
      <vt:lpstr>面积表、补缴!商业繁华度</vt:lpstr>
      <vt:lpstr>土地案例!商业繁华度</vt:lpstr>
      <vt:lpstr>住宅案例!商业繁华度</vt:lpstr>
      <vt:lpstr>商业繁华度</vt:lpstr>
      <vt:lpstr>车位案例!商业公共部分装修</vt:lpstr>
      <vt:lpstr>面积表、补缴!商业公共部分装修</vt:lpstr>
      <vt:lpstr>土地案例!商业公共部分装修</vt:lpstr>
      <vt:lpstr>住宅案例!商业公共部分装修</vt:lpstr>
      <vt:lpstr>商业公共部分装修</vt:lpstr>
      <vt:lpstr>车位案例!商业基础设施水平</vt:lpstr>
      <vt:lpstr>面积表、补缴!商业基础设施水平</vt:lpstr>
      <vt:lpstr>土地案例!商业基础设施水平</vt:lpstr>
      <vt:lpstr>住宅案例!商业基础设施水平</vt:lpstr>
      <vt:lpstr>商业基础设施水平</vt:lpstr>
      <vt:lpstr>车位案例!商业建筑结构</vt:lpstr>
      <vt:lpstr>面积表、补缴!商业建筑结构</vt:lpstr>
      <vt:lpstr>土地案例!商业建筑结构</vt:lpstr>
      <vt:lpstr>住宅案例!商业建筑结构</vt:lpstr>
      <vt:lpstr>商业建筑结构</vt:lpstr>
      <vt:lpstr>车位案例!商业交易情况</vt:lpstr>
      <vt:lpstr>面积表、补缴!商业交易情况</vt:lpstr>
      <vt:lpstr>土地案例!商业交易情况</vt:lpstr>
      <vt:lpstr>住宅案例!商业交易情况</vt:lpstr>
      <vt:lpstr>商业交易情况</vt:lpstr>
      <vt:lpstr>车位案例!商业街名称</vt:lpstr>
      <vt:lpstr>面积表、补缴!商业街名称</vt:lpstr>
      <vt:lpstr>土地案例!商业街名称</vt:lpstr>
      <vt:lpstr>住宅案例!商业街名称</vt:lpstr>
      <vt:lpstr>商业街名称</vt:lpstr>
      <vt:lpstr>车位案例!商业进深比</vt:lpstr>
      <vt:lpstr>面积表、补缴!商业进深比</vt:lpstr>
      <vt:lpstr>土地案例!商业进深比</vt:lpstr>
      <vt:lpstr>住宅案例!商业进深比</vt:lpstr>
      <vt:lpstr>商业进深比</vt:lpstr>
      <vt:lpstr>车位案例!商业类型</vt:lpstr>
      <vt:lpstr>面积表、补缴!商业类型</vt:lpstr>
      <vt:lpstr>土地案例!商业类型</vt:lpstr>
      <vt:lpstr>住宅案例!商业类型</vt:lpstr>
      <vt:lpstr>商业类型</vt:lpstr>
      <vt:lpstr>车位案例!商业临街状况</vt:lpstr>
      <vt:lpstr>面积表、补缴!商业临街状况</vt:lpstr>
      <vt:lpstr>土地案例!商业临街状况</vt:lpstr>
      <vt:lpstr>住宅案例!商业临街状况</vt:lpstr>
      <vt:lpstr>商业临街状况</vt:lpstr>
      <vt:lpstr>车位案例!商业楼层</vt:lpstr>
      <vt:lpstr>面积表、补缴!商业楼层</vt:lpstr>
      <vt:lpstr>土地案例!商业楼层</vt:lpstr>
      <vt:lpstr>住宅案例!商业楼层</vt:lpstr>
      <vt:lpstr>商业楼层</vt:lpstr>
      <vt:lpstr>车位案例!商业内部装修</vt:lpstr>
      <vt:lpstr>面积表、补缴!商业内部装修</vt:lpstr>
      <vt:lpstr>土地案例!商业内部装修</vt:lpstr>
      <vt:lpstr>住宅案例!商业内部装修</vt:lpstr>
      <vt:lpstr>商业内部装修</vt:lpstr>
      <vt:lpstr>车位案例!商业人流量</vt:lpstr>
      <vt:lpstr>面积表、补缴!商业人流量</vt:lpstr>
      <vt:lpstr>土地案例!商业人流量</vt:lpstr>
      <vt:lpstr>住宅案例!商业人流量</vt:lpstr>
      <vt:lpstr>商业人流量</vt:lpstr>
      <vt:lpstr>车位案例!商业业态</vt:lpstr>
      <vt:lpstr>面积表、补缴!商业业态</vt:lpstr>
      <vt:lpstr>土地案例!商业业态</vt:lpstr>
      <vt:lpstr>住宅案例!商业业态</vt:lpstr>
      <vt:lpstr>商业业态</vt:lpstr>
      <vt:lpstr>车位案例!商业用途</vt:lpstr>
      <vt:lpstr>面积表、补缴!商业用途</vt:lpstr>
      <vt:lpstr>土地案例!商业用途</vt:lpstr>
      <vt:lpstr>住宅案例!商业用途</vt:lpstr>
      <vt:lpstr>商业用途</vt:lpstr>
      <vt:lpstr>十二级</vt:lpstr>
      <vt:lpstr>十级</vt:lpstr>
      <vt:lpstr>十一级</vt:lpstr>
      <vt:lpstr>车位案例!是否封闭</vt:lpstr>
      <vt:lpstr>面积表、补缴!是否封闭</vt:lpstr>
      <vt:lpstr>土地案例!是否封闭</vt:lpstr>
      <vt:lpstr>住宅案例!是否封闭</vt:lpstr>
      <vt:lpstr>是否封闭</vt:lpstr>
      <vt:lpstr>车位案例!是否直接入户</vt:lpstr>
      <vt:lpstr>面积表、补缴!是否直接入户</vt:lpstr>
      <vt:lpstr>土地案例!是否直接入户</vt:lpstr>
      <vt:lpstr>住宅案例!是否直接入户</vt:lpstr>
      <vt:lpstr>是否直接入户</vt:lpstr>
      <vt:lpstr>四级</vt:lpstr>
      <vt:lpstr>车位案例!套工工程地质条件</vt:lpstr>
      <vt:lpstr>面积表、补缴!套工工程地质条件</vt:lpstr>
      <vt:lpstr>土地案例!套工工程地质条件</vt:lpstr>
      <vt:lpstr>住宅案例!套工工程地质条件</vt:lpstr>
      <vt:lpstr>套工工程地质条件</vt:lpstr>
      <vt:lpstr>车位案例!套工交易情况</vt:lpstr>
      <vt:lpstr>面积表、补缴!套工交易情况</vt:lpstr>
      <vt:lpstr>土地案例!套工交易情况</vt:lpstr>
      <vt:lpstr>住宅案例!套工交易情况</vt:lpstr>
      <vt:lpstr>套工交易情况</vt:lpstr>
      <vt:lpstr>车位案例!套工开发程度</vt:lpstr>
      <vt:lpstr>面积表、补缴!套工开发程度</vt:lpstr>
      <vt:lpstr>土地案例!套工开发程度</vt:lpstr>
      <vt:lpstr>住宅案例!套工开发程度</vt:lpstr>
      <vt:lpstr>套工开发程度</vt:lpstr>
      <vt:lpstr>车位案例!套工临街等级</vt:lpstr>
      <vt:lpstr>面积表、补缴!套工临街等级</vt:lpstr>
      <vt:lpstr>土地案例!套工临街等级</vt:lpstr>
      <vt:lpstr>住宅案例!套工临街等级</vt:lpstr>
      <vt:lpstr>套工临街等级</vt:lpstr>
      <vt:lpstr>车位案例!套工土地级别</vt:lpstr>
      <vt:lpstr>面积表、补缴!套工土地级别</vt:lpstr>
      <vt:lpstr>土地案例!套工土地级别</vt:lpstr>
      <vt:lpstr>住宅案例!套工土地级别</vt:lpstr>
      <vt:lpstr>套工土地级别</vt:lpstr>
      <vt:lpstr>车位案例!套工用途</vt:lpstr>
      <vt:lpstr>面积表、补缴!套工用途</vt:lpstr>
      <vt:lpstr>土地案例!套工用途</vt:lpstr>
      <vt:lpstr>住宅案例!套工用途</vt:lpstr>
      <vt:lpstr>套工用途</vt:lpstr>
      <vt:lpstr>车位案例!套工宗地形状</vt:lpstr>
      <vt:lpstr>面积表、补缴!套工宗地形状</vt:lpstr>
      <vt:lpstr>土地案例!套工宗地形状</vt:lpstr>
      <vt:lpstr>住宅案例!套工宗地形状</vt:lpstr>
      <vt:lpstr>套工宗地形状</vt:lpstr>
      <vt:lpstr>车位案例!套综道路等级</vt:lpstr>
      <vt:lpstr>面积表、补缴!套综道路等级</vt:lpstr>
      <vt:lpstr>土地案例!套综道路等级</vt:lpstr>
      <vt:lpstr>住宅案例!套综道路等级</vt:lpstr>
      <vt:lpstr>套综道路等级</vt:lpstr>
      <vt:lpstr>车位案例!套综工程地质条件</vt:lpstr>
      <vt:lpstr>面积表、补缴!套综工程地质条件</vt:lpstr>
      <vt:lpstr>土地案例!套综工程地质条件</vt:lpstr>
      <vt:lpstr>住宅案例!套综工程地质条件</vt:lpstr>
      <vt:lpstr>套综工程地质条件</vt:lpstr>
      <vt:lpstr>车位案例!套综交易情况</vt:lpstr>
      <vt:lpstr>面积表、补缴!套综交易情况</vt:lpstr>
      <vt:lpstr>土地案例!套综交易情况</vt:lpstr>
      <vt:lpstr>住宅案例!套综交易情况</vt:lpstr>
      <vt:lpstr>套综交易情况</vt:lpstr>
      <vt:lpstr>车位案例!套综临街宽度及深度</vt:lpstr>
      <vt:lpstr>面积表、补缴!套综临街宽度及深度</vt:lpstr>
      <vt:lpstr>土地案例!套综临街宽度及深度</vt:lpstr>
      <vt:lpstr>住宅案例!套综临街宽度及深度</vt:lpstr>
      <vt:lpstr>套综临街宽度及深度</vt:lpstr>
      <vt:lpstr>车位案例!套综土地级别</vt:lpstr>
      <vt:lpstr>面积表、补缴!套综土地级别</vt:lpstr>
      <vt:lpstr>土地案例!套综土地级别</vt:lpstr>
      <vt:lpstr>住宅案例!套综土地级别</vt:lpstr>
      <vt:lpstr>套综土地级别</vt:lpstr>
      <vt:lpstr>车位案例!套综用途</vt:lpstr>
      <vt:lpstr>面积表、补缴!套综用途</vt:lpstr>
      <vt:lpstr>土地案例!套综用途</vt:lpstr>
      <vt:lpstr>住宅案例!套综用途</vt:lpstr>
      <vt:lpstr>套综用途</vt:lpstr>
      <vt:lpstr>车位案例!套综宗地内开发程度</vt:lpstr>
      <vt:lpstr>面积表、补缴!套综宗地内开发程度</vt:lpstr>
      <vt:lpstr>土地案例!套综宗地内开发程度</vt:lpstr>
      <vt:lpstr>住宅案例!套综宗地内开发程度</vt:lpstr>
      <vt:lpstr>套综宗地内开发程度</vt:lpstr>
      <vt:lpstr>车位案例!套综宗地形状</vt:lpstr>
      <vt:lpstr>面积表、补缴!套综宗地形状</vt:lpstr>
      <vt:lpstr>土地案例!套综宗地形状</vt:lpstr>
      <vt:lpstr>住宅案例!套综宗地形状</vt:lpstr>
      <vt:lpstr>套综宗地形状</vt:lpstr>
      <vt:lpstr>车位案例!土地估价师</vt:lpstr>
      <vt:lpstr>面积表、补缴!土地估价师</vt:lpstr>
      <vt:lpstr>土地案例!土地估价师</vt:lpstr>
      <vt:lpstr>住宅案例!土地估价师</vt:lpstr>
      <vt:lpstr>土地估价师</vt:lpstr>
      <vt:lpstr>车位案例!土地级别</vt:lpstr>
      <vt:lpstr>面积表、补缴!土地级别</vt:lpstr>
      <vt:lpstr>土地案例!土地级别</vt:lpstr>
      <vt:lpstr>住宅案例!土地级别</vt:lpstr>
      <vt:lpstr>土地级别</vt:lpstr>
      <vt:lpstr>土地利用方向</vt:lpstr>
      <vt:lpstr>车位案例!土地年限区间</vt:lpstr>
      <vt:lpstr>面积表、补缴!土地年限区间</vt:lpstr>
      <vt:lpstr>土地案例!土地年限区间</vt:lpstr>
      <vt:lpstr>住宅案例!土地年限区间</vt:lpstr>
      <vt:lpstr>土地年限区间</vt:lpstr>
      <vt:lpstr>车位案例!位置</vt:lpstr>
      <vt:lpstr>面积表、补缴!位置</vt:lpstr>
      <vt:lpstr>土地案例!位置</vt:lpstr>
      <vt:lpstr>住宅案例!位置</vt:lpstr>
      <vt:lpstr>位置</vt:lpstr>
      <vt:lpstr>车位案例!五等判定</vt:lpstr>
      <vt:lpstr>面积表、补缴!五等判定</vt:lpstr>
      <vt:lpstr>土地案例!五等判定</vt:lpstr>
      <vt:lpstr>住宅案例!五等判定</vt:lpstr>
      <vt:lpstr>五等判定</vt:lpstr>
      <vt:lpstr>五级</vt:lpstr>
      <vt:lpstr>车位案例!项目类型</vt:lpstr>
      <vt:lpstr>面积表、补缴!项目类型</vt:lpstr>
      <vt:lpstr>土地案例!项目类型</vt:lpstr>
      <vt:lpstr>住宅案例!项目类型</vt:lpstr>
      <vt:lpstr>项目类型</vt:lpstr>
      <vt:lpstr>车位案例!写字楼等级</vt:lpstr>
      <vt:lpstr>面积表、补缴!写字楼等级</vt:lpstr>
      <vt:lpstr>土地案例!写字楼等级</vt:lpstr>
      <vt:lpstr>住宅案例!写字楼等级</vt:lpstr>
      <vt:lpstr>写字楼等级</vt:lpstr>
      <vt:lpstr>一级</vt:lpstr>
      <vt:lpstr>车位案例!一修多修正项2</vt:lpstr>
      <vt:lpstr>面积表、补缴!一修多修正项2</vt:lpstr>
      <vt:lpstr>土地案例!一修多修正项2</vt:lpstr>
      <vt:lpstr>住宅案例!一修多修正项2</vt:lpstr>
      <vt:lpstr>一修多修正项2</vt:lpstr>
      <vt:lpstr>车位案例!一修多修正项3</vt:lpstr>
      <vt:lpstr>面积表、补缴!一修多修正项3</vt:lpstr>
      <vt:lpstr>土地案例!一修多修正项3</vt:lpstr>
      <vt:lpstr>住宅案例!一修多修正项3</vt:lpstr>
      <vt:lpstr>一修多修正项3</vt:lpstr>
      <vt:lpstr>车位案例!一修多修正项4</vt:lpstr>
      <vt:lpstr>面积表、补缴!一修多修正项4</vt:lpstr>
      <vt:lpstr>土地案例!一修多修正项4</vt:lpstr>
      <vt:lpstr>住宅案例!一修多修正项4</vt:lpstr>
      <vt:lpstr>一修多修正项4</vt:lpstr>
      <vt:lpstr>车位案例!一修多修正项5</vt:lpstr>
      <vt:lpstr>面积表、补缴!一修多修正项5</vt:lpstr>
      <vt:lpstr>土地案例!一修多修正项5</vt:lpstr>
      <vt:lpstr>住宅案例!一修多修正项5</vt:lpstr>
      <vt:lpstr>一修多修正项5</vt:lpstr>
      <vt:lpstr>车位案例!一修多修正项6</vt:lpstr>
      <vt:lpstr>面积表、补缴!一修多修正项6</vt:lpstr>
      <vt:lpstr>土地案例!一修多修正项6</vt:lpstr>
      <vt:lpstr>住宅案例!一修多修正项6</vt:lpstr>
      <vt:lpstr>一修多修正项6</vt:lpstr>
      <vt:lpstr>车位案例!一修多修正项7</vt:lpstr>
      <vt:lpstr>面积表、补缴!一修多修正项7</vt:lpstr>
      <vt:lpstr>土地案例!一修多修正项7</vt:lpstr>
      <vt:lpstr>住宅案例!一修多修正项7</vt:lpstr>
      <vt:lpstr>一修多修正项7</vt:lpstr>
      <vt:lpstr>车位案例!一修多修正项8</vt:lpstr>
      <vt:lpstr>面积表、补缴!一修多修正项8</vt:lpstr>
      <vt:lpstr>土地案例!一修多修正项8</vt:lpstr>
      <vt:lpstr>住宅案例!一修多修正项8</vt:lpstr>
      <vt:lpstr>一修多修正项8</vt:lpstr>
      <vt:lpstr>车位案例!用途类型</vt:lpstr>
      <vt:lpstr>面积表、补缴!用途类型</vt:lpstr>
      <vt:lpstr>土地案例!用途类型</vt:lpstr>
      <vt:lpstr>住宅案例!用途类型</vt:lpstr>
      <vt:lpstr>用途类型</vt:lpstr>
      <vt:lpstr>车位案例!有无电梯</vt:lpstr>
      <vt:lpstr>面积表、补缴!有无电梯</vt:lpstr>
      <vt:lpstr>土地案例!有无电梯</vt:lpstr>
      <vt:lpstr>住宅案例!有无电梯</vt:lpstr>
      <vt:lpstr>有无电梯</vt:lpstr>
      <vt:lpstr>车位案例!主用途</vt:lpstr>
      <vt:lpstr>面积表、补缴!主用途</vt:lpstr>
      <vt:lpstr>土地案例!主用途</vt:lpstr>
      <vt:lpstr>住宅案例!主用途</vt:lpstr>
      <vt:lpstr>主用途</vt:lpstr>
      <vt:lpstr>车位案例!住宅朝向</vt:lpstr>
      <vt:lpstr>面积表、补缴!住宅朝向</vt:lpstr>
      <vt:lpstr>土地案例!住宅朝向</vt:lpstr>
      <vt:lpstr>住宅案例!住宅朝向</vt:lpstr>
      <vt:lpstr>住宅朝向</vt:lpstr>
      <vt:lpstr>车位案例!住宅房型</vt:lpstr>
      <vt:lpstr>面积表、补缴!住宅房型</vt:lpstr>
      <vt:lpstr>土地案例!住宅房型</vt:lpstr>
      <vt:lpstr>住宅案例!住宅房型</vt:lpstr>
      <vt:lpstr>住宅房型</vt:lpstr>
      <vt:lpstr>车位案例!住宅公共部分装修</vt:lpstr>
      <vt:lpstr>面积表、补缴!住宅公共部分装修</vt:lpstr>
      <vt:lpstr>土地案例!住宅公共部分装修</vt:lpstr>
      <vt:lpstr>住宅案例!住宅公共部分装修</vt:lpstr>
      <vt:lpstr>住宅公共部分装修</vt:lpstr>
      <vt:lpstr>车位案例!住宅基础设施水平</vt:lpstr>
      <vt:lpstr>面积表、补缴!住宅基础设施水平</vt:lpstr>
      <vt:lpstr>土地案例!住宅基础设施水平</vt:lpstr>
      <vt:lpstr>住宅案例!住宅基础设施水平</vt:lpstr>
      <vt:lpstr>住宅基础设施水平</vt:lpstr>
      <vt:lpstr>车位案例!住宅建筑结构</vt:lpstr>
      <vt:lpstr>面积表、补缴!住宅建筑结构</vt:lpstr>
      <vt:lpstr>土地案例!住宅建筑结构</vt:lpstr>
      <vt:lpstr>住宅案例!住宅建筑结构</vt:lpstr>
      <vt:lpstr>住宅建筑结构</vt:lpstr>
      <vt:lpstr>车位案例!住宅建筑类型</vt:lpstr>
      <vt:lpstr>面积表、补缴!住宅建筑类型</vt:lpstr>
      <vt:lpstr>土地案例!住宅建筑类型</vt:lpstr>
      <vt:lpstr>住宅案例!住宅建筑类型</vt:lpstr>
      <vt:lpstr>住宅建筑类型</vt:lpstr>
      <vt:lpstr>车位案例!住宅建筑品质</vt:lpstr>
      <vt:lpstr>面积表、补缴!住宅建筑品质</vt:lpstr>
      <vt:lpstr>土地案例!住宅建筑品质</vt:lpstr>
      <vt:lpstr>住宅案例!住宅建筑品质</vt:lpstr>
      <vt:lpstr>住宅建筑品质</vt:lpstr>
      <vt:lpstr>车位案例!住宅交易情况</vt:lpstr>
      <vt:lpstr>面积表、补缴!住宅交易情况</vt:lpstr>
      <vt:lpstr>土地案例!住宅交易情况</vt:lpstr>
      <vt:lpstr>住宅案例!住宅交易情况</vt:lpstr>
      <vt:lpstr>住宅交易情况</vt:lpstr>
      <vt:lpstr>车位案例!住宅楼层</vt:lpstr>
      <vt:lpstr>面积表、补缴!住宅楼层</vt:lpstr>
      <vt:lpstr>土地案例!住宅楼层</vt:lpstr>
      <vt:lpstr>住宅案例!住宅楼层</vt:lpstr>
      <vt:lpstr>住宅楼层</vt:lpstr>
      <vt:lpstr>车位案例!住宅内部装修</vt:lpstr>
      <vt:lpstr>面积表、补缴!住宅内部装修</vt:lpstr>
      <vt:lpstr>土地案例!住宅内部装修</vt:lpstr>
      <vt:lpstr>住宅案例!住宅内部装修</vt:lpstr>
      <vt:lpstr>住宅内部装修</vt:lpstr>
      <vt:lpstr>车位案例!住宅物业管理</vt:lpstr>
      <vt:lpstr>面积表、补缴!住宅物业管理</vt:lpstr>
      <vt:lpstr>土地案例!住宅物业管理</vt:lpstr>
      <vt:lpstr>住宅案例!住宅物业管理</vt:lpstr>
      <vt:lpstr>住宅物业管理</vt:lpstr>
      <vt:lpstr>车位案例!住宅用途</vt:lpstr>
      <vt:lpstr>面积表、补缴!住宅用途</vt:lpstr>
      <vt:lpstr>土地案例!住宅用途</vt:lpstr>
      <vt:lpstr>住宅案例!住宅用途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2023-01-05T01:29:36Z</dcterms:modified>
</cp:coreProperties>
</file>