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法院\2023-1-0817北京市朝阳区天达路1号院6号楼23层1单元2303\"/>
    </mc:Choice>
  </mc:AlternateContent>
  <xr:revisionPtr revIDLastSave="0" documentId="13_ncr:1_{CBD361C4-8F21-4E5C-85DF-3D1459AFE5FA}" xr6:coauthVersionLast="45" xr6:coauthVersionMax="45" xr10:uidLastSave="{00000000-0000-0000-0000-000000000000}"/>
  <bookViews>
    <workbookView xWindow="-15" yWindow="1485" windowWidth="11535" windowHeight="7590" tabRatio="899" firstSheet="16"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Sheet1" sheetId="81"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59" i="21" l="1"/>
  <c r="K59" i="21"/>
  <c r="B14" i="74" l="1"/>
  <c r="D5" i="9"/>
  <c r="I37" i="21"/>
  <c r="G37" i="21"/>
  <c r="I27" i="21"/>
  <c r="G27" i="21"/>
  <c r="E27" i="21"/>
  <c r="C27" i="21"/>
  <c r="I44" i="21"/>
  <c r="G44" i="21"/>
  <c r="E44" i="21"/>
  <c r="F59" i="21"/>
  <c r="E59" i="21"/>
  <c r="I59" i="21"/>
  <c r="G11" i="21"/>
  <c r="E11" i="21"/>
  <c r="G5" i="21"/>
  <c r="Y6" i="1"/>
  <c r="F19" i="6" l="1"/>
  <c r="AH6" i="1" l="1"/>
  <c r="C33" i="21"/>
  <c r="D33" i="43" s="1"/>
  <c r="B3" i="4"/>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M34" i="79"/>
  <c r="L34" i="79"/>
  <c r="I34" i="79"/>
  <c r="AB33" i="79"/>
  <c r="AA33" i="79"/>
  <c r="AA25" i="79" s="1"/>
  <c r="AD25" i="79" s="1"/>
  <c r="Z33" i="79"/>
  <c r="N33" i="79"/>
  <c r="M33" i="79"/>
  <c r="L33" i="79"/>
  <c r="L25" i="79" s="1"/>
  <c r="I33" i="79"/>
  <c r="AB27" i="79"/>
  <c r="AA27" i="79"/>
  <c r="Z27" i="79"/>
  <c r="N27" i="79"/>
  <c r="M27" i="79"/>
  <c r="L27" i="79"/>
  <c r="I27" i="79"/>
  <c r="AD27" i="79" s="1"/>
  <c r="N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V3" i="79" s="1"/>
  <c r="N11" i="79"/>
  <c r="M11" i="79"/>
  <c r="L11" i="79"/>
  <c r="K11" i="79"/>
  <c r="I11" i="79"/>
  <c r="AC5" i="79"/>
  <c r="AB5" i="79"/>
  <c r="AA5" i="79"/>
  <c r="AD5" i="79" s="1"/>
  <c r="Z5" i="79"/>
  <c r="Y5" i="79"/>
  <c r="O5" i="79"/>
  <c r="N5" i="79"/>
  <c r="M5" i="79"/>
  <c r="P5" i="79" s="1"/>
  <c r="L5" i="79"/>
  <c r="K5" i="79"/>
  <c r="I5"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K3" i="79" l="1"/>
  <c r="O3" i="79"/>
  <c r="Z3" i="79"/>
  <c r="AB3" i="79"/>
  <c r="S3" i="79"/>
  <c r="U3" i="79"/>
  <c r="R12" i="79"/>
  <c r="T12" i="79"/>
  <c r="W12" i="79" s="1"/>
  <c r="V12" i="79"/>
  <c r="S13" i="79"/>
  <c r="U13" i="79"/>
  <c r="R14" i="79"/>
  <c r="T14" i="79"/>
  <c r="W14" i="79" s="1"/>
  <c r="V14" i="79"/>
  <c r="S15" i="79"/>
  <c r="U15" i="79"/>
  <c r="R16" i="79"/>
  <c r="T16" i="79"/>
  <c r="W16" i="79" s="1"/>
  <c r="V16" i="79"/>
  <c r="U25" i="79"/>
  <c r="T28" i="79"/>
  <c r="W28" i="79" s="1"/>
  <c r="U34" i="79"/>
  <c r="AD35" i="79"/>
  <c r="S36" i="79"/>
  <c r="U36" i="79"/>
  <c r="AD37" i="79"/>
  <c r="S38" i="79"/>
  <c r="U38" i="79"/>
  <c r="AD39" i="79"/>
  <c r="N3" i="79"/>
  <c r="S12" i="79"/>
  <c r="U12" i="79"/>
  <c r="R13" i="79"/>
  <c r="V13" i="79"/>
  <c r="S14" i="79"/>
  <c r="U14" i="79"/>
  <c r="R15" i="79"/>
  <c r="V15" i="79"/>
  <c r="S16" i="79"/>
  <c r="U16" i="79"/>
  <c r="M25" i="79"/>
  <c r="P25" i="79" s="1"/>
  <c r="T25" i="79"/>
  <c r="W25" i="79" s="1"/>
  <c r="Y3" i="79"/>
  <c r="AC3" i="79"/>
  <c r="T27" i="79"/>
  <c r="W27" i="79" s="1"/>
  <c r="S28" i="79"/>
  <c r="U28" i="79"/>
  <c r="AD34" i="79"/>
  <c r="T34" i="79"/>
  <c r="S35" i="79"/>
  <c r="U35" i="79"/>
  <c r="AD36" i="79"/>
  <c r="S37" i="79"/>
  <c r="U37" i="79"/>
  <c r="AD38" i="79"/>
  <c r="S27" i="79"/>
  <c r="M3" i="79"/>
  <c r="P3" i="79" s="1"/>
  <c r="T3" i="79"/>
  <c r="W3" i="79" s="1"/>
  <c r="U27" i="79"/>
  <c r="AD33" i="79"/>
  <c r="T32" i="79"/>
  <c r="W32" i="79" s="1"/>
  <c r="T30" i="79"/>
  <c r="T33" i="79"/>
  <c r="W33" i="79" s="1"/>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1"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C68" i="71"/>
  <c r="B68" i="71"/>
  <c r="F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N50" i="71"/>
  <c r="Q49" i="71"/>
  <c r="F50" i="71" s="1"/>
  <c r="P49" i="71"/>
  <c r="E50" i="71" s="1"/>
  <c r="E51" i="71" s="1"/>
  <c r="E52" i="71" s="1"/>
  <c r="U52" i="71" s="1"/>
  <c r="O49" i="71"/>
  <c r="C50" i="71" s="1"/>
  <c r="D50" i="71" s="1"/>
  <c r="N49" i="71"/>
  <c r="B50" i="71" s="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s="1"/>
  <c r="Q38" i="71"/>
  <c r="P38" i="71"/>
  <c r="AA38" i="71" s="1"/>
  <c r="O38" i="71"/>
  <c r="Y38" i="71" s="1"/>
  <c r="Z38" i="71" s="1"/>
  <c r="N38" i="71"/>
  <c r="X38" i="71" s="1"/>
  <c r="Q37" i="71"/>
  <c r="F38" i="71" s="1"/>
  <c r="P37" i="71"/>
  <c r="O37" i="71"/>
  <c r="C38" i="71" s="1"/>
  <c r="C39" i="71" s="1"/>
  <c r="N37" i="71"/>
  <c r="D37" i="71"/>
  <c r="Q36" i="71"/>
  <c r="AB36" i="71" s="1"/>
  <c r="P36" i="71"/>
  <c r="O36" i="71"/>
  <c r="Y36" i="71" s="1"/>
  <c r="Z36" i="71" s="1"/>
  <c r="N36" i="71"/>
  <c r="Q35" i="71"/>
  <c r="P35" i="71"/>
  <c r="O35" i="71"/>
  <c r="Y35" i="71" s="1"/>
  <c r="Z35" i="71" s="1"/>
  <c r="N35" i="71"/>
  <c r="Q34" i="71"/>
  <c r="P34" i="71"/>
  <c r="O34" i="71"/>
  <c r="N34" i="71"/>
  <c r="Q33" i="71"/>
  <c r="F34" i="71" s="1"/>
  <c r="P33" i="71"/>
  <c r="E34" i="71" s="1"/>
  <c r="O33" i="71"/>
  <c r="N33" i="71"/>
  <c r="B34" i="71" s="1"/>
  <c r="B35" i="71" s="1"/>
  <c r="B36" i="71" s="1"/>
  <c r="S36" i="71" s="1"/>
  <c r="D33" i="71"/>
  <c r="Q32" i="71"/>
  <c r="AB32" i="71" s="1"/>
  <c r="P32" i="71"/>
  <c r="O32" i="71"/>
  <c r="N32" i="71"/>
  <c r="Q31" i="71"/>
  <c r="P31" i="71"/>
  <c r="O31" i="71"/>
  <c r="Y31" i="71" s="1"/>
  <c r="Z31" i="71" s="1"/>
  <c r="N31" i="71"/>
  <c r="Q30" i="71"/>
  <c r="P30" i="71"/>
  <c r="O30" i="71"/>
  <c r="N30" i="71"/>
  <c r="X30" i="71" s="1"/>
  <c r="Q29" i="71"/>
  <c r="P29" i="71"/>
  <c r="O29" i="71"/>
  <c r="N29" i="71"/>
  <c r="X25" i="71" s="1"/>
  <c r="D29" i="71"/>
  <c r="O28" i="71"/>
  <c r="C28" i="71" s="1"/>
  <c r="N28" i="71"/>
  <c r="B30" i="71"/>
  <c r="B31" i="71" s="1"/>
  <c r="B32" i="71" s="1"/>
  <c r="S32" i="71" s="1"/>
  <c r="E38" i="71"/>
  <c r="E39" i="71" s="1"/>
  <c r="E40" i="71" s="1"/>
  <c r="U40" i="71" s="1"/>
  <c r="N68" i="71"/>
  <c r="E35" i="71"/>
  <c r="E36" i="71" s="1"/>
  <c r="U36" i="71" s="1"/>
  <c r="C30" i="71"/>
  <c r="D30" i="71" s="1"/>
  <c r="C34" i="71"/>
  <c r="C35" i="71" s="1"/>
  <c r="Y33" i="71"/>
  <c r="Z33" i="71" s="1"/>
  <c r="AA34" i="71"/>
  <c r="Y37" i="71"/>
  <c r="Z37" i="71" s="1"/>
  <c r="F51" i="71"/>
  <c r="F52" i="71" s="1"/>
  <c r="V52" i="71" s="1"/>
  <c r="X27" i="71"/>
  <c r="C31" i="71"/>
  <c r="D34" i="71"/>
  <c r="D38" i="71"/>
  <c r="C43" i="71"/>
  <c r="C44" i="71" s="1"/>
  <c r="D42" i="71"/>
  <c r="C47" i="71"/>
  <c r="D47" i="71" s="1"/>
  <c r="D46" i="71"/>
  <c r="C51" i="71"/>
  <c r="C52" i="71" s="1"/>
  <c r="P28" i="71"/>
  <c r="U68" i="71"/>
  <c r="Q28" i="71"/>
  <c r="D54" i="71"/>
  <c r="C63" i="71"/>
  <c r="D62" i="71"/>
  <c r="T68" i="71"/>
  <c r="Q68" i="71"/>
  <c r="C71" i="71"/>
  <c r="E71" i="71"/>
  <c r="E70" i="71" s="1"/>
  <c r="D72" i="71"/>
  <c r="E75" i="71"/>
  <c r="E74" i="71" s="1"/>
  <c r="C79" i="71"/>
  <c r="D80" i="71"/>
  <c r="C83" i="71"/>
  <c r="C87" i="71"/>
  <c r="D87" i="71" s="1"/>
  <c r="AB28" i="71"/>
  <c r="AA26" i="71"/>
  <c r="C64" i="71"/>
  <c r="T64" i="71" s="1"/>
  <c r="D63" i="71"/>
  <c r="D83" i="71"/>
  <c r="C82" i="71"/>
  <c r="D82" i="71"/>
  <c r="C86" i="71"/>
  <c r="D86" i="71" s="1"/>
  <c r="D79" i="71"/>
  <c r="C78" i="71"/>
  <c r="D78" i="71" s="1"/>
  <c r="D71" i="71"/>
  <c r="C70" i="71"/>
  <c r="D70" i="71" s="1"/>
  <c r="D55" i="71"/>
  <c r="D51" i="71"/>
  <c r="D43" i="71"/>
  <c r="C40" i="71"/>
  <c r="D39" i="71"/>
  <c r="C36" i="71"/>
  <c r="D36" i="71" s="1"/>
  <c r="D35" i="71"/>
  <c r="C32" i="71"/>
  <c r="D32" i="71" s="1"/>
  <c r="D31" i="71"/>
  <c r="T32" i="71"/>
  <c r="T36" i="71"/>
  <c r="T40" i="71"/>
  <c r="D40" i="71"/>
  <c r="T56" i="71"/>
  <c r="D56" i="71"/>
  <c r="D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C25" i="40"/>
  <c r="S25" i="40"/>
  <c r="S21" i="34"/>
  <c r="H25" i="40"/>
  <c r="AB25" i="40" s="1"/>
  <c r="J25" i="40"/>
  <c r="AC25" i="40" s="1"/>
  <c r="H29" i="39"/>
  <c r="AB29" i="39" s="1"/>
  <c r="J29" i="39"/>
  <c r="AC29" i="39" s="1"/>
  <c r="J18" i="36"/>
  <c r="AC18" i="36" s="1"/>
  <c r="H18" i="35"/>
  <c r="AB18" i="35" s="1"/>
  <c r="S18" i="35"/>
  <c r="J18" i="35"/>
  <c r="W18" i="35" s="1"/>
  <c r="H21" i="37"/>
  <c r="F21" i="37"/>
  <c r="AA21" i="37" s="1"/>
  <c r="H21" i="34"/>
  <c r="AB21" i="34" s="1"/>
  <c r="H21" i="33"/>
  <c r="U21" i="33" s="1"/>
  <c r="F21" i="33"/>
  <c r="AA21" i="33" s="1"/>
  <c r="E83" i="21"/>
  <c r="F83" i="21" s="1"/>
  <c r="G83" i="21" s="1"/>
  <c r="H1" i="69"/>
  <c r="U25" i="40"/>
  <c r="U29" i="39"/>
  <c r="W29" i="39"/>
  <c r="W18" i="36"/>
  <c r="AB21" i="37"/>
  <c r="U21" i="37"/>
  <c r="S21" i="37"/>
  <c r="AB21" i="33"/>
  <c r="AC18" i="35"/>
  <c r="J21" i="37"/>
  <c r="W21" i="37" s="1"/>
  <c r="J21" i="34"/>
  <c r="W21" i="34" s="1"/>
  <c r="J21" i="33"/>
  <c r="W21" i="33" s="1"/>
  <c r="H21" i="21"/>
  <c r="U21" i="21" s="1"/>
  <c r="F38" i="69"/>
  <c r="E37" i="69"/>
  <c r="F36" i="69"/>
  <c r="F35" i="69"/>
  <c r="F21" i="69"/>
  <c r="F40" i="69" s="1"/>
  <c r="F20" i="69"/>
  <c r="F39" i="69" s="1"/>
  <c r="E10" i="69"/>
  <c r="E9" i="69"/>
  <c r="AC21" i="37"/>
  <c r="J21" i="21"/>
  <c r="AC21" i="21" s="1"/>
  <c r="F38" i="68"/>
  <c r="E37" i="68"/>
  <c r="F36" i="68"/>
  <c r="F35" i="68"/>
  <c r="F21" i="68"/>
  <c r="F40" i="68" s="1"/>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U30" i="36" s="1"/>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c r="F42" i="34"/>
  <c r="J38" i="34"/>
  <c r="D114" i="34"/>
  <c r="F38" i="34"/>
  <c r="S38" i="34" s="1"/>
  <c r="D112" i="34"/>
  <c r="E112" i="34" s="1"/>
  <c r="F112" i="34" s="1"/>
  <c r="G112" i="34"/>
  <c r="H112" i="34" s="1"/>
  <c r="I112" i="34" s="1"/>
  <c r="J112" i="34" s="1"/>
  <c r="K112" i="34" s="1"/>
  <c r="L112" i="34" s="1"/>
  <c r="M112" i="34" s="1"/>
  <c r="F40" i="33"/>
  <c r="J41" i="33"/>
  <c r="W41" i="33" s="1"/>
  <c r="D113" i="33"/>
  <c r="F37" i="33"/>
  <c r="D111" i="33"/>
  <c r="E111" i="33" s="1"/>
  <c r="F111" i="33" s="1"/>
  <c r="G111" i="33" s="1"/>
  <c r="H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s="1"/>
  <c r="W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M107" i="40"/>
  <c r="L107" i="40"/>
  <c r="K107" i="40"/>
  <c r="J107" i="40"/>
  <c r="H107" i="40"/>
  <c r="G107" i="40"/>
  <c r="F107" i="40"/>
  <c r="E107" i="40"/>
  <c r="D107" i="40"/>
  <c r="C107" i="40"/>
  <c r="B105" i="40"/>
  <c r="J33" i="40" s="1"/>
  <c r="W33" i="40"/>
  <c r="B103" i="40"/>
  <c r="J32" i="40"/>
  <c r="B101" i="40"/>
  <c r="J31" i="40" s="1"/>
  <c r="AC31" i="40"/>
  <c r="D100" i="40"/>
  <c r="E100" i="40"/>
  <c r="F100" i="40" s="1"/>
  <c r="G100" i="40" s="1"/>
  <c r="H100" i="40" s="1"/>
  <c r="I100" i="40" s="1"/>
  <c r="J100" i="40" s="1"/>
  <c r="K100" i="40" s="1"/>
  <c r="L100" i="40" s="1"/>
  <c r="M100" i="40" s="1"/>
  <c r="D98" i="40"/>
  <c r="E98" i="40" s="1"/>
  <c r="F98" i="40" s="1"/>
  <c r="J28" i="40"/>
  <c r="AC28" i="40" s="1"/>
  <c r="D96" i="40"/>
  <c r="E96" i="40" s="1"/>
  <c r="F96" i="40" s="1"/>
  <c r="G96" i="40" s="1"/>
  <c r="H96" i="40" s="1"/>
  <c r="I96" i="40" s="1"/>
  <c r="J96" i="40"/>
  <c r="K96" i="40" s="1"/>
  <c r="L96" i="40" s="1"/>
  <c r="M96" i="40" s="1"/>
  <c r="B95" i="40"/>
  <c r="D92" i="40"/>
  <c r="E92" i="40" s="1"/>
  <c r="F92" i="40" s="1"/>
  <c r="G92" i="40" s="1"/>
  <c r="D90" i="40"/>
  <c r="E90" i="40" s="1"/>
  <c r="F90" i="40" s="1"/>
  <c r="G90" i="40"/>
  <c r="D88" i="40"/>
  <c r="E88" i="40"/>
  <c r="F88" i="40" s="1"/>
  <c r="G88" i="40" s="1"/>
  <c r="D86" i="40"/>
  <c r="E86" i="40"/>
  <c r="F86" i="40" s="1"/>
  <c r="G86" i="40" s="1"/>
  <c r="D84" i="40"/>
  <c r="E84" i="40"/>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F40" i="40"/>
  <c r="Q39" i="40"/>
  <c r="Z39" i="40" s="1"/>
  <c r="Q38" i="40"/>
  <c r="Z38" i="40" s="1"/>
  <c r="H38" i="40"/>
  <c r="AB38" i="40" s="1"/>
  <c r="Q37" i="40"/>
  <c r="Z37" i="40" s="1"/>
  <c r="Q36" i="40"/>
  <c r="Z36" i="40" s="1"/>
  <c r="Q35" i="40"/>
  <c r="Z35" i="40" s="1"/>
  <c r="Q34" i="40"/>
  <c r="Z34" i="40" s="1"/>
  <c r="J34" i="40"/>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D75" i="37"/>
  <c r="E75" i="37" s="1"/>
  <c r="D73" i="37"/>
  <c r="E73" i="37" s="1"/>
  <c r="F73" i="37" s="1"/>
  <c r="D71" i="37"/>
  <c r="E71" i="37" s="1"/>
  <c r="F71" i="37" s="1"/>
  <c r="G71" i="37" s="1"/>
  <c r="H15" i="37"/>
  <c r="AB15" i="37" s="1"/>
  <c r="B68" i="37"/>
  <c r="H14" i="37" s="1"/>
  <c r="AB14" i="37" s="1"/>
  <c r="B66" i="37"/>
  <c r="B64" i="37"/>
  <c r="D63" i="37"/>
  <c r="E63" i="37" s="1"/>
  <c r="F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J26" i="37"/>
  <c r="F26" i="37"/>
  <c r="AA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D68" i="36"/>
  <c r="E68" i="36" s="1"/>
  <c r="F68" i="36" s="1"/>
  <c r="G68" i="36" s="1"/>
  <c r="D64" i="36"/>
  <c r="E64" i="36" s="1"/>
  <c r="F64" i="36" s="1"/>
  <c r="G64" i="36" s="1"/>
  <c r="J16" i="36"/>
  <c r="W16" i="36" s="1"/>
  <c r="D62" i="36"/>
  <c r="E62" i="36" s="1"/>
  <c r="F62" i="36" s="1"/>
  <c r="G62" i="36" s="1"/>
  <c r="B59" i="36"/>
  <c r="B57" i="36"/>
  <c r="B55" i="36"/>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F36" i="35" s="1"/>
  <c r="AA36" i="35" s="1"/>
  <c r="B99" i="35"/>
  <c r="B97" i="35"/>
  <c r="B77" i="35"/>
  <c r="B75" i="35"/>
  <c r="B73" i="35"/>
  <c r="H23" i="35"/>
  <c r="B57" i="35"/>
  <c r="H11" i="35" s="1"/>
  <c r="AB11" i="35" s="1"/>
  <c r="B61" i="35"/>
  <c r="B59" i="35"/>
  <c r="B131" i="34"/>
  <c r="B129" i="34"/>
  <c r="B127" i="34"/>
  <c r="B99" i="34"/>
  <c r="B97" i="34"/>
  <c r="B95" i="34"/>
  <c r="B93" i="34"/>
  <c r="B75" i="34"/>
  <c r="B73" i="34"/>
  <c r="B71" i="34"/>
  <c r="B130" i="33"/>
  <c r="B128" i="33"/>
  <c r="B126" i="33"/>
  <c r="B98" i="33"/>
  <c r="B96" i="33"/>
  <c r="B94" i="33"/>
  <c r="B74" i="33"/>
  <c r="H14" i="33" s="1"/>
  <c r="B72" i="33"/>
  <c r="B70"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c r="C53" i="35"/>
  <c r="J9" i="35"/>
  <c r="W9" i="35" s="1"/>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H28" i="35"/>
  <c r="AB28" i="35" s="1"/>
  <c r="F28" i="35"/>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c r="K90" i="34" s="1"/>
  <c r="L90" i="34" s="1"/>
  <c r="M90" i="34" s="1"/>
  <c r="C15" i="34"/>
  <c r="D126" i="34"/>
  <c r="E126" i="34" s="1"/>
  <c r="F126" i="34" s="1"/>
  <c r="G126" i="34" s="1"/>
  <c r="D124" i="34"/>
  <c r="E124" i="34" s="1"/>
  <c r="F124" i="34" s="1"/>
  <c r="G124" i="34"/>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c r="AC27" i="34" s="1"/>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F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S8" i="34" s="1"/>
  <c r="D121" i="33"/>
  <c r="E121" i="33"/>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J26" i="33"/>
  <c r="C23" i="33"/>
  <c r="C19" i="33"/>
  <c r="C17" i="33"/>
  <c r="C15" i="33"/>
  <c r="C15" i="21"/>
  <c r="D125" i="33"/>
  <c r="E125" i="33" s="1"/>
  <c r="F125" i="33" s="1"/>
  <c r="G125" i="33" s="1"/>
  <c r="D123" i="33"/>
  <c r="D117" i="33"/>
  <c r="E117" i="33" s="1"/>
  <c r="F117" i="33" s="1"/>
  <c r="G117" i="33" s="1"/>
  <c r="D115" i="33"/>
  <c r="E115" i="33" s="1"/>
  <c r="F115" i="33" s="1"/>
  <c r="G115" i="33" s="1"/>
  <c r="H115" i="33"/>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F101" i="33" s="1"/>
  <c r="B92" i="33"/>
  <c r="B90" i="33"/>
  <c r="F27" i="33" s="1"/>
  <c r="S27" i="33" s="1"/>
  <c r="D87" i="33"/>
  <c r="E87" i="33" s="1"/>
  <c r="D85" i="33"/>
  <c r="E85" i="33" s="1"/>
  <c r="F85" i="33" s="1"/>
  <c r="G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Q39" i="33"/>
  <c r="Z39" i="33" s="1"/>
  <c r="J39" i="33"/>
  <c r="Q38" i="33"/>
  <c r="Z38" i="33" s="1"/>
  <c r="J38" i="33"/>
  <c r="AC38" i="33" s="1"/>
  <c r="H38" i="33"/>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G15" i="20"/>
  <c r="B83" i="43" s="1"/>
  <c r="C24" i="20"/>
  <c r="B54" i="43" s="1"/>
  <c r="C21" i="20"/>
  <c r="C20" i="20"/>
  <c r="B69" i="43" s="1"/>
  <c r="C18" i="20"/>
  <c r="C21" i="39" s="1"/>
  <c r="C17" i="20"/>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D111" i="21"/>
  <c r="E111" i="21"/>
  <c r="F111" i="21"/>
  <c r="C111" i="21"/>
  <c r="D79" i="21"/>
  <c r="E79" i="21" s="1"/>
  <c r="F79" i="21" s="1"/>
  <c r="G79" i="21" s="1"/>
  <c r="D85" i="21"/>
  <c r="E85" i="21" s="1"/>
  <c r="F85" i="21" s="1"/>
  <c r="G85" i="21" s="1"/>
  <c r="F19" i="21"/>
  <c r="AA19" i="21" s="1"/>
  <c r="E81" i="21"/>
  <c r="F81" i="21" s="1"/>
  <c r="G81" i="21" s="1"/>
  <c r="D77" i="21"/>
  <c r="E77" i="21" s="1"/>
  <c r="B130" i="21"/>
  <c r="B128" i="21"/>
  <c r="J45" i="21" s="1"/>
  <c r="B126" i="21"/>
  <c r="B98" i="21"/>
  <c r="H31" i="21" s="1"/>
  <c r="B96" i="21"/>
  <c r="F30" i="21" s="1"/>
  <c r="S30" i="21" s="1"/>
  <c r="B94" i="21"/>
  <c r="J29" i="21" s="1"/>
  <c r="AC29" i="21" s="1"/>
  <c r="B92" i="21"/>
  <c r="B90" i="21"/>
  <c r="B74" i="21"/>
  <c r="F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Q40" i="21"/>
  <c r="Z40" i="21" s="1"/>
  <c r="Q41" i="21"/>
  <c r="Z41" i="21" s="1"/>
  <c r="Q42" i="21"/>
  <c r="Z42"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H43" i="21"/>
  <c r="AB43" i="21" s="1"/>
  <c r="F38" i="21"/>
  <c r="S38" i="21" s="1"/>
  <c r="F36" i="21"/>
  <c r="S36" i="21" s="1"/>
  <c r="F39" i="21"/>
  <c r="J40" i="21"/>
  <c r="W40" i="21" s="1"/>
  <c r="H35" i="21"/>
  <c r="J8" i="21"/>
  <c r="AC8" i="21" s="1"/>
  <c r="H8" i="21"/>
  <c r="U8" i="21" s="1"/>
  <c r="H10" i="21"/>
  <c r="AB10" i="21" s="1"/>
  <c r="H39" i="21"/>
  <c r="U39" i="21" s="1"/>
  <c r="J34" i="21"/>
  <c r="W34" i="21" s="1"/>
  <c r="H36" i="21"/>
  <c r="U36" i="21" s="1"/>
  <c r="F35" i="21"/>
  <c r="J10" i="21"/>
  <c r="AC10" i="21" s="1"/>
  <c r="AB19" i="21"/>
  <c r="J19" i="21"/>
  <c r="J26" i="21"/>
  <c r="W26" i="21" s="1"/>
  <c r="F26" i="21"/>
  <c r="S26" i="21" s="1"/>
  <c r="AB41" i="21"/>
  <c r="F45" i="39"/>
  <c r="J45" i="39"/>
  <c r="W45" i="39" s="1"/>
  <c r="J44" i="39"/>
  <c r="H36" i="39"/>
  <c r="J35" i="39"/>
  <c r="AC35" i="39" s="1"/>
  <c r="F35" i="39"/>
  <c r="W40" i="39"/>
  <c r="W31" i="37"/>
  <c r="E103" i="37"/>
  <c r="F103" i="37"/>
  <c r="G103" i="37" s="1"/>
  <c r="H103" i="37" s="1"/>
  <c r="I103" i="37" s="1"/>
  <c r="J103" i="37" s="1"/>
  <c r="K103" i="37" s="1"/>
  <c r="L103" i="37" s="1"/>
  <c r="M103" i="37" s="1"/>
  <c r="F39" i="37"/>
  <c r="S39" i="37" s="1"/>
  <c r="F29" i="36"/>
  <c r="AA29" i="36" s="1"/>
  <c r="F16" i="36"/>
  <c r="AA16" i="36" s="1"/>
  <c r="H22" i="35"/>
  <c r="U31" i="35"/>
  <c r="S31" i="35"/>
  <c r="F36" i="34"/>
  <c r="S36" i="34" s="1"/>
  <c r="J35" i="34"/>
  <c r="H39" i="33"/>
  <c r="AB39" i="33" s="1"/>
  <c r="F26" i="33"/>
  <c r="H39" i="37"/>
  <c r="AB39" i="37" s="1"/>
  <c r="F11" i="40"/>
  <c r="AA11" i="40" s="1"/>
  <c r="H11" i="40"/>
  <c r="AB11" i="40" s="1"/>
  <c r="AA9" i="40"/>
  <c r="U9" i="40"/>
  <c r="U38" i="40"/>
  <c r="W31" i="40"/>
  <c r="F42" i="39"/>
  <c r="F41" i="39"/>
  <c r="S41" i="39" s="1"/>
  <c r="H40" i="39"/>
  <c r="AB40" i="39" s="1"/>
  <c r="H39" i="39"/>
  <c r="U39" i="39" s="1"/>
  <c r="S38" i="39"/>
  <c r="H34" i="39"/>
  <c r="E108" i="39"/>
  <c r="F108" i="39" s="1"/>
  <c r="G108" i="39" s="1"/>
  <c r="H108" i="39" s="1"/>
  <c r="I108" i="39" s="1"/>
  <c r="J108" i="39" s="1"/>
  <c r="K108" i="39" s="1"/>
  <c r="L108" i="39" s="1"/>
  <c r="M108" i="39" s="1"/>
  <c r="H31" i="39"/>
  <c r="AB31" i="39" s="1"/>
  <c r="E100" i="39"/>
  <c r="F100" i="39" s="1"/>
  <c r="G100" i="39" s="1"/>
  <c r="H19" i="39"/>
  <c r="AB19" i="39" s="1"/>
  <c r="F19" i="39"/>
  <c r="H17" i="39"/>
  <c r="AB17" i="39" s="1"/>
  <c r="F17" i="39"/>
  <c r="J23" i="40"/>
  <c r="AC23" i="40"/>
  <c r="F21" i="40"/>
  <c r="AA21" i="40"/>
  <c r="J21" i="40"/>
  <c r="W21" i="40"/>
  <c r="H42" i="39"/>
  <c r="AB42" i="39" s="1"/>
  <c r="J34" i="39"/>
  <c r="AC34" i="39" s="1"/>
  <c r="H27" i="39"/>
  <c r="U27" i="39" s="1"/>
  <c r="J19" i="39"/>
  <c r="J17" i="39"/>
  <c r="AC17" i="39" s="1"/>
  <c r="J27" i="39"/>
  <c r="AC27" i="39" s="1"/>
  <c r="F27" i="39"/>
  <c r="AA27" i="39" s="1"/>
  <c r="S40" i="21"/>
  <c r="H11" i="39"/>
  <c r="AB11" i="39" s="1"/>
  <c r="S40" i="39"/>
  <c r="H32" i="33"/>
  <c r="AB32" i="33" s="1"/>
  <c r="J11" i="21"/>
  <c r="W11" i="21" s="1"/>
  <c r="H37" i="40"/>
  <c r="U37" i="40" s="1"/>
  <c r="H36" i="40"/>
  <c r="AB36" i="40" s="1"/>
  <c r="F35" i="40"/>
  <c r="H23" i="40"/>
  <c r="H17" i="40"/>
  <c r="U17" i="40" s="1"/>
  <c r="J15" i="40"/>
  <c r="J11" i="40"/>
  <c r="W11" i="40" s="1"/>
  <c r="AB8" i="39"/>
  <c r="AB12" i="36"/>
  <c r="J30" i="35"/>
  <c r="H30" i="35"/>
  <c r="AB30" i="35" s="1"/>
  <c r="F22" i="35"/>
  <c r="AA22" i="35" s="1"/>
  <c r="H10" i="35"/>
  <c r="U10" i="35" s="1"/>
  <c r="AC16" i="36"/>
  <c r="W30" i="36"/>
  <c r="H16" i="36"/>
  <c r="AB16" i="36" s="1"/>
  <c r="E85" i="36"/>
  <c r="F85" i="36" s="1"/>
  <c r="G85" i="36" s="1"/>
  <c r="H85" i="36" s="1"/>
  <c r="I85" i="36" s="1"/>
  <c r="J85" i="36" s="1"/>
  <c r="K85" i="36" s="1"/>
  <c r="L85" i="36" s="1"/>
  <c r="M85" i="36" s="1"/>
  <c r="J29" i="36"/>
  <c r="F14" i="35"/>
  <c r="F23" i="35"/>
  <c r="AA23" i="35" s="1"/>
  <c r="J32" i="35"/>
  <c r="AC32" i="35" s="1"/>
  <c r="J16" i="35"/>
  <c r="AC16" i="35" s="1"/>
  <c r="H16" i="35"/>
  <c r="U16" i="35" s="1"/>
  <c r="F16" i="35"/>
  <c r="H14" i="35"/>
  <c r="J29" i="35"/>
  <c r="W29" i="35" s="1"/>
  <c r="H33" i="35"/>
  <c r="J20" i="35"/>
  <c r="F35" i="37"/>
  <c r="S35" i="37" s="1"/>
  <c r="E101" i="37"/>
  <c r="F101" i="37" s="1"/>
  <c r="G101" i="37" s="1"/>
  <c r="H101" i="37" s="1"/>
  <c r="I101" i="37" s="1"/>
  <c r="J101" i="37" s="1"/>
  <c r="K101" i="37" s="1"/>
  <c r="L101" i="37" s="1"/>
  <c r="M101" i="37" s="1"/>
  <c r="J34" i="37"/>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7" i="34"/>
  <c r="AA27" i="34"/>
  <c r="F25" i="34"/>
  <c r="S25" i="34"/>
  <c r="H23" i="34"/>
  <c r="U23" i="34"/>
  <c r="J23" i="34"/>
  <c r="F19" i="34"/>
  <c r="H17" i="34"/>
  <c r="U17" i="34"/>
  <c r="F15" i="34"/>
  <c r="J15" i="34"/>
  <c r="AC15" i="34" s="1"/>
  <c r="H15" i="34"/>
  <c r="AB15" i="34"/>
  <c r="F41" i="33"/>
  <c r="E113" i="33"/>
  <c r="F113" i="33" s="1"/>
  <c r="G113" i="33" s="1"/>
  <c r="H113" i="33" s="1"/>
  <c r="I113" i="33" s="1"/>
  <c r="J113" i="33" s="1"/>
  <c r="K113" i="33" s="1"/>
  <c r="L113" i="33" s="1"/>
  <c r="M113" i="33" s="1"/>
  <c r="F32" i="33"/>
  <c r="J19" i="33"/>
  <c r="AC19" i="33" s="1"/>
  <c r="J15" i="33"/>
  <c r="AC15" i="33" s="1"/>
  <c r="F11" i="33"/>
  <c r="W40" i="33"/>
  <c r="F37" i="40"/>
  <c r="F36" i="40"/>
  <c r="H28" i="40"/>
  <c r="F23" i="40"/>
  <c r="F17" i="40"/>
  <c r="J17" i="40"/>
  <c r="W17" i="40" s="1"/>
  <c r="F15" i="40"/>
  <c r="H15" i="40"/>
  <c r="AB15" i="40" s="1"/>
  <c r="AC11" i="40"/>
  <c r="AB30" i="36"/>
  <c r="F29" i="35"/>
  <c r="S29" i="35" s="1"/>
  <c r="H29" i="35"/>
  <c r="AB29" i="35" s="1"/>
  <c r="H33" i="37"/>
  <c r="F33" i="37"/>
  <c r="AA33" i="37" s="1"/>
  <c r="U34" i="37"/>
  <c r="AA34" i="37"/>
  <c r="J43" i="34"/>
  <c r="W43" i="34" s="1"/>
  <c r="AB42" i="34"/>
  <c r="J40" i="34"/>
  <c r="W40" i="34" s="1"/>
  <c r="H38" i="34"/>
  <c r="AB38" i="34" s="1"/>
  <c r="J36" i="34"/>
  <c r="H37" i="34"/>
  <c r="U37" i="34" s="1"/>
  <c r="H25" i="34"/>
  <c r="J25" i="34"/>
  <c r="AC25" i="34" s="1"/>
  <c r="AB23" i="34"/>
  <c r="F23" i="34"/>
  <c r="J19" i="34"/>
  <c r="AC19" i="34" s="1"/>
  <c r="F17" i="34"/>
  <c r="AA17" i="34" s="1"/>
  <c r="J17" i="34"/>
  <c r="AB17" i="34"/>
  <c r="AA15" i="34"/>
  <c r="S15" i="34"/>
  <c r="H37" i="33"/>
  <c r="AB37" i="33" s="1"/>
  <c r="H15" i="33"/>
  <c r="AB15" i="33" s="1"/>
  <c r="H11" i="33"/>
  <c r="F28" i="40"/>
  <c r="AA29" i="35"/>
  <c r="AA42" i="34"/>
  <c r="S42" i="34"/>
  <c r="J37" i="34"/>
  <c r="AC37" i="34" s="1"/>
  <c r="J11" i="33"/>
  <c r="W11" i="33" s="1"/>
  <c r="J42" i="21"/>
  <c r="AC42" i="21" s="1"/>
  <c r="H42" i="21"/>
  <c r="J44" i="34"/>
  <c r="W44" i="34" s="1"/>
  <c r="F44" i="34"/>
  <c r="AA44" i="34" s="1"/>
  <c r="J10" i="35"/>
  <c r="AC10" i="35" s="1"/>
  <c r="J14" i="21"/>
  <c r="F28" i="21"/>
  <c r="J30" i="21"/>
  <c r="AC30" i="21" s="1"/>
  <c r="F119" i="21"/>
  <c r="G119" i="21" s="1"/>
  <c r="H119" i="21" s="1"/>
  <c r="I119" i="21" s="1"/>
  <c r="J119" i="21" s="1"/>
  <c r="K119" i="21" s="1"/>
  <c r="L119" i="21" s="1"/>
  <c r="M119" i="21" s="1"/>
  <c r="H26" i="33"/>
  <c r="H28" i="33"/>
  <c r="F28" i="33"/>
  <c r="J28" i="33"/>
  <c r="F33" i="35"/>
  <c r="J33" i="35"/>
  <c r="AC33" i="35" s="1"/>
  <c r="F30" i="35"/>
  <c r="S30" i="35" s="1"/>
  <c r="H10" i="36"/>
  <c r="AB10" i="36" s="1"/>
  <c r="J14" i="36"/>
  <c r="H14" i="36"/>
  <c r="U14" i="36" s="1"/>
  <c r="F28" i="36"/>
  <c r="AA28" i="36" s="1"/>
  <c r="J13" i="21"/>
  <c r="AC13" i="21"/>
  <c r="H29" i="21"/>
  <c r="U29" i="21" s="1"/>
  <c r="J31" i="21"/>
  <c r="F31" i="21"/>
  <c r="S31" i="21" s="1"/>
  <c r="F45" i="21"/>
  <c r="AA27" i="33"/>
  <c r="H13" i="33"/>
  <c r="U13" i="33" s="1"/>
  <c r="F31" i="33"/>
  <c r="H30" i="34"/>
  <c r="AB30" i="34" s="1"/>
  <c r="F32" i="34"/>
  <c r="AA32" i="34" s="1"/>
  <c r="J46" i="34"/>
  <c r="AC46" i="34" s="1"/>
  <c r="J11" i="35"/>
  <c r="F11" i="35"/>
  <c r="S11" i="35" s="1"/>
  <c r="J26" i="36"/>
  <c r="H28" i="36"/>
  <c r="U28" i="36" s="1"/>
  <c r="J32" i="36"/>
  <c r="W32" i="36" s="1"/>
  <c r="F13" i="36"/>
  <c r="J29" i="37"/>
  <c r="F29" i="37"/>
  <c r="S29" i="37" s="1"/>
  <c r="H36" i="37"/>
  <c r="J37" i="37"/>
  <c r="H37" i="37"/>
  <c r="U37" i="37" s="1"/>
  <c r="F14" i="33"/>
  <c r="S14" i="33" s="1"/>
  <c r="F30" i="33"/>
  <c r="S30" i="33" s="1"/>
  <c r="J25" i="35"/>
  <c r="W25" i="35" s="1"/>
  <c r="F25" i="35"/>
  <c r="S25" i="35" s="1"/>
  <c r="H25" i="35"/>
  <c r="AB25" i="35" s="1"/>
  <c r="J35" i="35"/>
  <c r="AC35" i="35" s="1"/>
  <c r="F35" i="35"/>
  <c r="AA35" i="35" s="1"/>
  <c r="H35" i="35"/>
  <c r="AB35" i="35" s="1"/>
  <c r="J25" i="36"/>
  <c r="W25" i="36" s="1"/>
  <c r="F25" i="36"/>
  <c r="S25" i="36" s="1"/>
  <c r="H25" i="36"/>
  <c r="AB25" i="36" s="1"/>
  <c r="F13" i="37"/>
  <c r="F28" i="37"/>
  <c r="J28" i="37"/>
  <c r="AC28" i="37" s="1"/>
  <c r="H28" i="37"/>
  <c r="U28" i="37" s="1"/>
  <c r="H38" i="37"/>
  <c r="J38" i="37"/>
  <c r="AC38" i="37" s="1"/>
  <c r="F38" i="37"/>
  <c r="F43" i="39"/>
  <c r="AA43" i="39" s="1"/>
  <c r="H43" i="39"/>
  <c r="U43" i="39" s="1"/>
  <c r="F14" i="39"/>
  <c r="S14" i="39" s="1"/>
  <c r="F12" i="40"/>
  <c r="S12" i="40" s="1"/>
  <c r="H30" i="40"/>
  <c r="AB30" i="40" s="1"/>
  <c r="F33" i="40"/>
  <c r="H33" i="40"/>
  <c r="J35" i="40"/>
  <c r="J37" i="40"/>
  <c r="AC37" i="40" s="1"/>
  <c r="H13" i="40"/>
  <c r="J13" i="40"/>
  <c r="W13" i="40" s="1"/>
  <c r="F13" i="40"/>
  <c r="AA13" i="40" s="1"/>
  <c r="F13" i="39"/>
  <c r="S13" i="39" s="1"/>
  <c r="J13" i="39"/>
  <c r="H13" i="39"/>
  <c r="AB13" i="39" s="1"/>
  <c r="H14" i="40"/>
  <c r="AB14" i="40" s="1"/>
  <c r="J14" i="40"/>
  <c r="F14" i="40"/>
  <c r="J14" i="37"/>
  <c r="J36" i="37"/>
  <c r="J10" i="36"/>
  <c r="AC10" i="36" s="1"/>
  <c r="S44" i="34"/>
  <c r="BA585" i="3"/>
  <c r="AZ585" i="3" s="1"/>
  <c r="F17" i="21"/>
  <c r="AA17" i="21" s="1"/>
  <c r="H17" i="21"/>
  <c r="AB17" i="21" s="1"/>
  <c r="F15" i="21"/>
  <c r="S15" i="21"/>
  <c r="J41" i="39"/>
  <c r="W41" i="39" s="1"/>
  <c r="AC45" i="39"/>
  <c r="W35" i="39"/>
  <c r="G544" i="3"/>
  <c r="G523" i="3"/>
  <c r="G584" i="3"/>
  <c r="G576" i="3"/>
  <c r="G560" i="3"/>
  <c r="G550" i="3"/>
  <c r="BL580" i="3"/>
  <c r="BL572" i="3"/>
  <c r="BL564" i="3"/>
  <c r="BL554" i="3"/>
  <c r="BL542" i="3"/>
  <c r="BL578" i="3"/>
  <c r="BL570" i="3"/>
  <c r="BL562" i="3"/>
  <c r="BL552" i="3"/>
  <c r="BL532" i="3"/>
  <c r="BA582" i="3"/>
  <c r="BA580" i="3"/>
  <c r="BA578" i="3"/>
  <c r="AZ578" i="3" s="1"/>
  <c r="BA576" i="3"/>
  <c r="BA574" i="3"/>
  <c r="BA572" i="3"/>
  <c r="AZ572" i="3" s="1"/>
  <c r="BA570" i="3"/>
  <c r="AZ570" i="3" s="1"/>
  <c r="BA566" i="3"/>
  <c r="BA562" i="3"/>
  <c r="AZ562" i="3" s="1"/>
  <c r="BA556" i="3"/>
  <c r="BA552" i="3"/>
  <c r="AZ552" i="3" s="1"/>
  <c r="BA546" i="3"/>
  <c r="BA542" i="3"/>
  <c r="BA536" i="3"/>
  <c r="BA502" i="3"/>
  <c r="BA583" i="3"/>
  <c r="BA579" i="3"/>
  <c r="BA575" i="3"/>
  <c r="BA571" i="3"/>
  <c r="BA563" i="3"/>
  <c r="BA553" i="3"/>
  <c r="BA547" i="3"/>
  <c r="BA543" i="3"/>
  <c r="BA533" i="3"/>
  <c r="BA515" i="3"/>
  <c r="G583" i="3"/>
  <c r="G579" i="3"/>
  <c r="G575" i="3"/>
  <c r="G571" i="3"/>
  <c r="G567" i="3"/>
  <c r="BL558" i="3"/>
  <c r="AC557" i="3"/>
  <c r="BQ557" i="3"/>
  <c r="BQ583" i="3"/>
  <c r="BQ581" i="3"/>
  <c r="BL581" i="3" s="1"/>
  <c r="BQ579" i="3"/>
  <c r="BQ577" i="3"/>
  <c r="BL577" i="3" s="1"/>
  <c r="BQ575" i="3"/>
  <c r="BQ573" i="3"/>
  <c r="BL573" i="3"/>
  <c r="BQ571" i="3"/>
  <c r="BQ569" i="3"/>
  <c r="BL569" i="3" s="1"/>
  <c r="BQ567" i="3"/>
  <c r="BQ565" i="3"/>
  <c r="BL565" i="3"/>
  <c r="BQ563" i="3"/>
  <c r="BQ561" i="3"/>
  <c r="BL561" i="3" s="1"/>
  <c r="BQ559" i="3"/>
  <c r="BL559" i="3"/>
  <c r="G555" i="3"/>
  <c r="G547" i="3"/>
  <c r="G543" i="3"/>
  <c r="BQ555" i="3"/>
  <c r="BL555" i="3" s="1"/>
  <c r="BQ553" i="3"/>
  <c r="BQ551" i="3"/>
  <c r="BL551" i="3" s="1"/>
  <c r="BQ549" i="3"/>
  <c r="BQ547" i="3"/>
  <c r="BQ545" i="3"/>
  <c r="BL545" i="3" s="1"/>
  <c r="BQ543" i="3"/>
  <c r="BQ541" i="3"/>
  <c r="BQ539" i="3"/>
  <c r="BL539" i="3" s="1"/>
  <c r="BQ537" i="3"/>
  <c r="BQ535" i="3"/>
  <c r="BQ533" i="3"/>
  <c r="BQ531" i="3"/>
  <c r="BL531" i="3"/>
  <c r="BQ529" i="3"/>
  <c r="BQ527" i="3"/>
  <c r="BQ525" i="3"/>
  <c r="BQ523" i="3"/>
  <c r="AC521" i="3"/>
  <c r="BQ521" i="3"/>
  <c r="G515" i="3"/>
  <c r="BQ519" i="3"/>
  <c r="BQ517" i="3"/>
  <c r="BQ515" i="3"/>
  <c r="BQ513" i="3"/>
  <c r="BQ511" i="3"/>
  <c r="BA509" i="3"/>
  <c r="AC509" i="3"/>
  <c r="BQ50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AB43" i="33" s="1"/>
  <c r="H17" i="37"/>
  <c r="U17" i="37" s="1"/>
  <c r="U32" i="33"/>
  <c r="F39" i="33"/>
  <c r="E123" i="33"/>
  <c r="F123" i="33" s="1"/>
  <c r="F42" i="33"/>
  <c r="F14" i="36"/>
  <c r="AA14" i="36" s="1"/>
  <c r="F22" i="36"/>
  <c r="S22" i="36" s="1"/>
  <c r="F26" i="36"/>
  <c r="S26" i="36" s="1"/>
  <c r="H27" i="34"/>
  <c r="AB27" i="34" s="1"/>
  <c r="H35" i="34"/>
  <c r="U35" i="34" s="1"/>
  <c r="F41" i="34"/>
  <c r="H41" i="34"/>
  <c r="J41" i="34"/>
  <c r="AC41" i="34" s="1"/>
  <c r="F10" i="35"/>
  <c r="S10" i="35" s="1"/>
  <c r="H23" i="37"/>
  <c r="J32" i="37"/>
  <c r="AC32" i="37" s="1"/>
  <c r="F36" i="37"/>
  <c r="AA36" i="37" s="1"/>
  <c r="F37" i="37"/>
  <c r="F31" i="40"/>
  <c r="AA31" i="40" s="1"/>
  <c r="H31" i="40"/>
  <c r="U31" i="40" s="1"/>
  <c r="F32" i="40"/>
  <c r="H32" i="40"/>
  <c r="J36" i="40"/>
  <c r="H19" i="37"/>
  <c r="G123" i="33"/>
  <c r="H123" i="33" s="1"/>
  <c r="I123" i="33" s="1"/>
  <c r="J123" i="33" s="1"/>
  <c r="K123" i="33" s="1"/>
  <c r="L123" i="33" s="1"/>
  <c r="M123" i="33" s="1"/>
  <c r="H42" i="33"/>
  <c r="AB42" i="33"/>
  <c r="J43" i="33"/>
  <c r="U43" i="33"/>
  <c r="S28" i="31"/>
  <c r="S27" i="31"/>
  <c r="S26" i="31"/>
  <c r="U14" i="40"/>
  <c r="U35" i="35"/>
  <c r="AA12" i="35"/>
  <c r="AB28" i="37"/>
  <c r="U39" i="37"/>
  <c r="U26" i="37"/>
  <c r="U19" i="21"/>
  <c r="F43" i="33"/>
  <c r="AA43" i="33" s="1"/>
  <c r="W15" i="34"/>
  <c r="W16" i="35"/>
  <c r="H37" i="21"/>
  <c r="U37" i="21" s="1"/>
  <c r="H19" i="34"/>
  <c r="AB19" i="34" s="1"/>
  <c r="J9" i="37"/>
  <c r="W9" i="37" s="1"/>
  <c r="H9" i="37"/>
  <c r="U9" i="37" s="1"/>
  <c r="F9" i="37"/>
  <c r="S9" i="37" s="1"/>
  <c r="J12" i="37"/>
  <c r="H12" i="37"/>
  <c r="AB12" i="37" s="1"/>
  <c r="F12" i="37"/>
  <c r="S12" i="37" s="1"/>
  <c r="F15" i="37"/>
  <c r="F31" i="37"/>
  <c r="S31" i="37"/>
  <c r="J42" i="39"/>
  <c r="AC42" i="39" s="1"/>
  <c r="H21" i="40"/>
  <c r="AB21" i="40" s="1"/>
  <c r="H31" i="37"/>
  <c r="U31" i="37" s="1"/>
  <c r="J15" i="37"/>
  <c r="W15" i="37" s="1"/>
  <c r="AT6" i="3"/>
  <c r="H19" i="40"/>
  <c r="U19" i="40"/>
  <c r="F19" i="40"/>
  <c r="S19" i="40"/>
  <c r="W23" i="39"/>
  <c r="AC43" i="39"/>
  <c r="W43" i="39"/>
  <c r="U45" i="39"/>
  <c r="AB45" i="39"/>
  <c r="H37" i="39"/>
  <c r="H25" i="39"/>
  <c r="J25" i="39"/>
  <c r="F25" i="39"/>
  <c r="AA25" i="39" s="1"/>
  <c r="F15" i="39"/>
  <c r="H15" i="39"/>
  <c r="U15" i="39" s="1"/>
  <c r="J15" i="39"/>
  <c r="W15" i="39" s="1"/>
  <c r="H41" i="39"/>
  <c r="AB41" i="39" s="1"/>
  <c r="W27" i="39"/>
  <c r="U40" i="39"/>
  <c r="AA41" i="39"/>
  <c r="W9" i="39"/>
  <c r="W8" i="39"/>
  <c r="J19" i="40"/>
  <c r="AC19" i="40"/>
  <c r="J50" i="40"/>
  <c r="H103" i="9"/>
  <c r="B16" i="53"/>
  <c r="B33" i="72" s="1"/>
  <c r="C7" i="37"/>
  <c r="C7" i="34"/>
  <c r="C7" i="36"/>
  <c r="C46" i="36" s="1"/>
  <c r="D46" i="36" s="1"/>
  <c r="E46" i="36" s="1"/>
  <c r="F46" i="36" s="1"/>
  <c r="G46" i="36" s="1"/>
  <c r="H46" i="36" s="1"/>
  <c r="I46" i="36" s="1"/>
  <c r="A118" i="9"/>
  <c r="A4" i="52"/>
  <c r="B41" i="72" s="1"/>
  <c r="J11" i="39"/>
  <c r="F11" i="39"/>
  <c r="AA11" i="39" s="1"/>
  <c r="G4" i="4"/>
  <c r="I4" i="4"/>
  <c r="A2" i="9"/>
  <c r="F61" i="43"/>
  <c r="H69" i="43" s="1"/>
  <c r="AZ20"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AZ393" i="3" s="1"/>
  <c r="BA394" i="3"/>
  <c r="BL394" i="3"/>
  <c r="G113" i="3"/>
  <c r="BA115" i="3"/>
  <c r="AZ115" i="3" s="1"/>
  <c r="BL116" i="3"/>
  <c r="AZ116" i="3" s="1"/>
  <c r="G117" i="3"/>
  <c r="BA119" i="3"/>
  <c r="BL120" i="3"/>
  <c r="G121" i="3"/>
  <c r="BA123" i="3"/>
  <c r="AZ123" i="3"/>
  <c r="BL124" i="3"/>
  <c r="AZ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G157" i="3"/>
  <c r="BA159" i="3"/>
  <c r="AZ159" i="3" s="1"/>
  <c r="BL160" i="3"/>
  <c r="G161" i="3"/>
  <c r="BA163" i="3"/>
  <c r="AZ163" i="3" s="1"/>
  <c r="BL164" i="3"/>
  <c r="AZ164" i="3" s="1"/>
  <c r="G165" i="3"/>
  <c r="BA167" i="3"/>
  <c r="BL168" i="3"/>
  <c r="AZ168" i="3" s="1"/>
  <c r="G169" i="3"/>
  <c r="BA171" i="3"/>
  <c r="BL172" i="3"/>
  <c r="AZ172" i="3" s="1"/>
  <c r="G173" i="3"/>
  <c r="BA175" i="3"/>
  <c r="BL176" i="3"/>
  <c r="G177" i="3"/>
  <c r="BA179" i="3"/>
  <c r="AZ179" i="3" s="1"/>
  <c r="BL180" i="3"/>
  <c r="G181" i="3"/>
  <c r="BA183" i="3"/>
  <c r="BL184" i="3"/>
  <c r="G185" i="3"/>
  <c r="BA187" i="3"/>
  <c r="BL188" i="3"/>
  <c r="G189" i="3"/>
  <c r="BA191" i="3"/>
  <c r="AZ191" i="3" s="1"/>
  <c r="BL192" i="3"/>
  <c r="G193" i="3"/>
  <c r="BA195" i="3"/>
  <c r="AZ195" i="3" s="1"/>
  <c r="BL196" i="3"/>
  <c r="AZ196" i="3" s="1"/>
  <c r="G197" i="3"/>
  <c r="BA199" i="3"/>
  <c r="BL200" i="3"/>
  <c r="G201" i="3"/>
  <c r="BA203" i="3"/>
  <c r="BL204" i="3"/>
  <c r="AZ204" i="3" s="1"/>
  <c r="AZ59" i="3"/>
  <c r="AZ63" i="3"/>
  <c r="AZ200" i="3"/>
  <c r="AZ120" i="3"/>
  <c r="AZ128" i="3"/>
  <c r="G516" i="3"/>
  <c r="G16" i="3"/>
  <c r="BA304" i="3"/>
  <c r="AZ304" i="3" s="1"/>
  <c r="BA305" i="3"/>
  <c r="BL305" i="3"/>
  <c r="G306" i="3"/>
  <c r="G309" i="3"/>
  <c r="BL310" i="3"/>
  <c r="BA312" i="3"/>
  <c r="BA313" i="3"/>
  <c r="BL313" i="3"/>
  <c r="G314" i="3"/>
  <c r="G317" i="3"/>
  <c r="BL318" i="3"/>
  <c r="BA320" i="3"/>
  <c r="AZ320" i="3" s="1"/>
  <c r="BA321" i="3"/>
  <c r="AZ321" i="3" s="1"/>
  <c r="BL321" i="3"/>
  <c r="G322" i="3"/>
  <c r="G325" i="3"/>
  <c r="BL326" i="3"/>
  <c r="BA328" i="3"/>
  <c r="AZ328" i="3" s="1"/>
  <c r="BA329" i="3"/>
  <c r="BL329" i="3"/>
  <c r="G330" i="3"/>
  <c r="G333" i="3"/>
  <c r="BL334" i="3"/>
  <c r="BA336" i="3"/>
  <c r="BA337" i="3"/>
  <c r="AZ337" i="3" s="1"/>
  <c r="BL337" i="3"/>
  <c r="G338" i="3"/>
  <c r="G341" i="3"/>
  <c r="BA342" i="3"/>
  <c r="BL342" i="3"/>
  <c r="BA344" i="3"/>
  <c r="BL344" i="3"/>
  <c r="BA346" i="3"/>
  <c r="BA347" i="3"/>
  <c r="BL347" i="3"/>
  <c r="G350" i="3"/>
  <c r="BA351" i="3"/>
  <c r="BL351" i="3"/>
  <c r="G352" i="3"/>
  <c r="G354" i="3"/>
  <c r="BA355" i="3"/>
  <c r="AZ355" i="3" s="1"/>
  <c r="BA356" i="3"/>
  <c r="BL356" i="3"/>
  <c r="G357" i="3"/>
  <c r="G360" i="3"/>
  <c r="BL361" i="3"/>
  <c r="BA363" i="3"/>
  <c r="AZ363" i="3" s="1"/>
  <c r="BA364" i="3"/>
  <c r="BL364" i="3"/>
  <c r="G365" i="3"/>
  <c r="G368" i="3"/>
  <c r="BL369" i="3"/>
  <c r="BA371" i="3"/>
  <c r="BA372" i="3"/>
  <c r="BL372" i="3"/>
  <c r="G373" i="3"/>
  <c r="G376" i="3"/>
  <c r="BL377" i="3"/>
  <c r="BL379" i="3"/>
  <c r="BA381" i="3"/>
  <c r="AZ381" i="3" s="1"/>
  <c r="BA382" i="3"/>
  <c r="AZ382" i="3" s="1"/>
  <c r="BL382" i="3"/>
  <c r="G383" i="3"/>
  <c r="G386" i="3"/>
  <c r="BL387" i="3"/>
  <c r="AZ387" i="3" s="1"/>
  <c r="BA389" i="3"/>
  <c r="AZ389" i="3"/>
  <c r="BA390" i="3"/>
  <c r="BL390" i="3"/>
  <c r="AZ390" i="3" s="1"/>
  <c r="G391" i="3"/>
  <c r="G394" i="3"/>
  <c r="AZ162" i="3"/>
  <c r="AZ194" i="3"/>
  <c r="BL303" i="3"/>
  <c r="AZ303" i="3" s="1"/>
  <c r="G304" i="3"/>
  <c r="BA306" i="3"/>
  <c r="AZ306" i="3" s="1"/>
  <c r="BL307" i="3"/>
  <c r="AZ307" i="3" s="1"/>
  <c r="G308" i="3"/>
  <c r="BA310" i="3"/>
  <c r="AZ310" i="3"/>
  <c r="BL311" i="3"/>
  <c r="AZ311" i="3"/>
  <c r="G312" i="3"/>
  <c r="BA314" i="3"/>
  <c r="AZ314" i="3" s="1"/>
  <c r="BL315" i="3"/>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BL339" i="3"/>
  <c r="AZ339" i="3" s="1"/>
  <c r="G340" i="3"/>
  <c r="BL343" i="3"/>
  <c r="AZ343" i="3" s="1"/>
  <c r="G344" i="3"/>
  <c r="G348" i="3"/>
  <c r="G355" i="3"/>
  <c r="AZ209" i="3"/>
  <c r="AZ218" i="3"/>
  <c r="AZ319" i="3"/>
  <c r="G342" i="3"/>
  <c r="BL345" i="3"/>
  <c r="AZ345" i="3" s="1"/>
  <c r="G346" i="3"/>
  <c r="BL349" i="3"/>
  <c r="BL352" i="3"/>
  <c r="G353" i="3"/>
  <c r="BA357" i="3"/>
  <c r="BL358" i="3"/>
  <c r="G359" i="3"/>
  <c r="BA361" i="3"/>
  <c r="BL362" i="3"/>
  <c r="AZ362" i="3" s="1"/>
  <c r="G363" i="3"/>
  <c r="BA365" i="3"/>
  <c r="BL366" i="3"/>
  <c r="G367" i="3"/>
  <c r="BA369" i="3"/>
  <c r="AZ369" i="3" s="1"/>
  <c r="BL370" i="3"/>
  <c r="G371" i="3"/>
  <c r="BA373" i="3"/>
  <c r="AZ373" i="3" s="1"/>
  <c r="BL374" i="3"/>
  <c r="AZ374" i="3" s="1"/>
  <c r="G375" i="3"/>
  <c r="BA377" i="3"/>
  <c r="AZ377" i="3" s="1"/>
  <c r="AZ233" i="3"/>
  <c r="AZ237" i="3"/>
  <c r="AZ370" i="3"/>
  <c r="BA379" i="3"/>
  <c r="BL380" i="3"/>
  <c r="G381" i="3"/>
  <c r="BA383" i="3"/>
  <c r="AZ383" i="3" s="1"/>
  <c r="BL384" i="3"/>
  <c r="G385" i="3"/>
  <c r="BA387" i="3"/>
  <c r="BL388" i="3"/>
  <c r="G389" i="3"/>
  <c r="BA391" i="3"/>
  <c r="BL392" i="3"/>
  <c r="G393" i="3"/>
  <c r="AZ287" i="3"/>
  <c r="BD5" i="3"/>
  <c r="G548" i="3"/>
  <c r="G17" i="3"/>
  <c r="AZ350" i="3"/>
  <c r="AZ360" i="3"/>
  <c r="BA15" i="3"/>
  <c r="BR5" i="3"/>
  <c r="G509" i="3"/>
  <c r="U36" i="40"/>
  <c r="F83" i="43"/>
  <c r="H85" i="43" s="1"/>
  <c r="F50" i="43"/>
  <c r="H54" i="43" s="1"/>
  <c r="F72" i="43"/>
  <c r="U17" i="39"/>
  <c r="U43" i="21"/>
  <c r="AC35" i="21"/>
  <c r="G8" i="1"/>
  <c r="G10" i="1"/>
  <c r="AC44" i="34"/>
  <c r="J37" i="33"/>
  <c r="W37" i="33" s="1"/>
  <c r="F106" i="33"/>
  <c r="G106" i="33" s="1"/>
  <c r="H106" i="33" s="1"/>
  <c r="I106" i="33" s="1"/>
  <c r="J106" i="33" s="1"/>
  <c r="K106" i="33" s="1"/>
  <c r="L106" i="33" s="1"/>
  <c r="M106" i="33" s="1"/>
  <c r="J34" i="33"/>
  <c r="F33" i="34"/>
  <c r="S33" i="34" s="1"/>
  <c r="H20" i="36"/>
  <c r="J20" i="36"/>
  <c r="W20" i="36" s="1"/>
  <c r="J27" i="36"/>
  <c r="W27" i="36" s="1"/>
  <c r="AC33" i="40"/>
  <c r="H111" i="40"/>
  <c r="I111" i="40" s="1"/>
  <c r="J111" i="40" s="1"/>
  <c r="K111" i="40" s="1"/>
  <c r="L111" i="40" s="1"/>
  <c r="M111" i="40" s="1"/>
  <c r="H35" i="40"/>
  <c r="AB35" i="40" s="1"/>
  <c r="AC29" i="35"/>
  <c r="H35" i="37"/>
  <c r="U35" i="37" s="1"/>
  <c r="AC14" i="35"/>
  <c r="H20" i="35"/>
  <c r="U20" i="35" s="1"/>
  <c r="F20" i="35"/>
  <c r="AA20" i="35" s="1"/>
  <c r="AB29" i="36"/>
  <c r="H32" i="37"/>
  <c r="AB32" i="37" s="1"/>
  <c r="F96" i="37"/>
  <c r="G96" i="37" s="1"/>
  <c r="H27" i="40"/>
  <c r="U27" i="40" s="1"/>
  <c r="J27" i="40"/>
  <c r="F27" i="40"/>
  <c r="J30" i="40"/>
  <c r="F30" i="40"/>
  <c r="AC21" i="40"/>
  <c r="S11" i="40"/>
  <c r="G98" i="40"/>
  <c r="H98" i="40" s="1"/>
  <c r="I98" i="40" s="1"/>
  <c r="J98" i="40" s="1"/>
  <c r="K98" i="40" s="1"/>
  <c r="L98" i="40" s="1"/>
  <c r="M98" i="40" s="1"/>
  <c r="F10" i="33"/>
  <c r="S10" i="33" s="1"/>
  <c r="F34" i="33"/>
  <c r="S34" i="33" s="1"/>
  <c r="H34" i="33"/>
  <c r="U34" i="33" s="1"/>
  <c r="F35" i="33"/>
  <c r="F39" i="34"/>
  <c r="J39" i="34"/>
  <c r="F40" i="34"/>
  <c r="F43" i="34"/>
  <c r="AA43" i="34" s="1"/>
  <c r="H44" i="34"/>
  <c r="AC38" i="39"/>
  <c r="F39" i="39"/>
  <c r="S39" i="39" s="1"/>
  <c r="J39" i="39"/>
  <c r="AC39" i="39" s="1"/>
  <c r="E96" i="39"/>
  <c r="F96" i="39" s="1"/>
  <c r="G96" i="39" s="1"/>
  <c r="AZ353" i="3"/>
  <c r="AZ386" i="3"/>
  <c r="AZ232" i="3"/>
  <c r="AZ235" i="3"/>
  <c r="AZ280" i="3"/>
  <c r="AZ114" i="3"/>
  <c r="AZ58" i="3"/>
  <c r="AZ61" i="3"/>
  <c r="F23" i="39"/>
  <c r="AA23" i="39" s="1"/>
  <c r="H27" i="36"/>
  <c r="U27" i="36" s="1"/>
  <c r="F27" i="36"/>
  <c r="AA27" i="36" s="1"/>
  <c r="H33" i="34"/>
  <c r="U33" i="34" s="1"/>
  <c r="F32" i="37"/>
  <c r="AA32" i="37" s="1"/>
  <c r="H96" i="37"/>
  <c r="I96" i="37" s="1"/>
  <c r="J96" i="37" s="1"/>
  <c r="K96" i="37" s="1"/>
  <c r="L96" i="37" s="1"/>
  <c r="M96" i="37" s="1"/>
  <c r="F20" i="36"/>
  <c r="AA20" i="36" s="1"/>
  <c r="J33" i="34"/>
  <c r="H23" i="39"/>
  <c r="U23" i="39" s="1"/>
  <c r="D48" i="9"/>
  <c r="M52" i="9" s="1"/>
  <c r="K9" i="1"/>
  <c r="M9" i="1" s="1"/>
  <c r="K6" i="1"/>
  <c r="AP6" i="1" s="1"/>
  <c r="AC39" i="40"/>
  <c r="BL14" i="3"/>
  <c r="W28" i="37"/>
  <c r="F39" i="40"/>
  <c r="BA14" i="3"/>
  <c r="AZ14" i="3" s="1"/>
  <c r="AZ234" i="3"/>
  <c r="AZ286" i="3"/>
  <c r="AZ157" i="3"/>
  <c r="AZ189" i="3"/>
  <c r="B12" i="1"/>
  <c r="E12" i="1" s="1"/>
  <c r="B10" i="1"/>
  <c r="E10" i="1" s="1"/>
  <c r="K12" i="1"/>
  <c r="M12" i="1" s="1"/>
  <c r="S13" i="1"/>
  <c r="AR13" i="1" s="1"/>
  <c r="R13" i="1"/>
  <c r="J51" i="67"/>
  <c r="C42" i="1"/>
  <c r="C24" i="12" s="1"/>
  <c r="AA34" i="33"/>
  <c r="B41" i="1"/>
  <c r="F48" i="9" s="1"/>
  <c r="O52" i="9" s="1"/>
  <c r="AB37" i="40"/>
  <c r="U35" i="40"/>
  <c r="AC17" i="40"/>
  <c r="AB27" i="40"/>
  <c r="AA19" i="40"/>
  <c r="U21" i="40"/>
  <c r="AB19" i="40"/>
  <c r="S43" i="39"/>
  <c r="U35" i="39"/>
  <c r="F32" i="39"/>
  <c r="F106" i="39"/>
  <c r="G106" i="39" s="1"/>
  <c r="H106" i="39" s="1"/>
  <c r="I106" i="39" s="1"/>
  <c r="J106" i="39" s="1"/>
  <c r="K106" i="39" s="1"/>
  <c r="L106" i="39" s="1"/>
  <c r="M106" i="39" s="1"/>
  <c r="AB27" i="39"/>
  <c r="J21" i="39"/>
  <c r="W21" i="39" s="1"/>
  <c r="F21" i="39"/>
  <c r="S21" i="39" s="1"/>
  <c r="G94" i="39"/>
  <c r="H21" i="39"/>
  <c r="U21" i="39" s="1"/>
  <c r="U19" i="39"/>
  <c r="S9" i="39"/>
  <c r="AA26" i="36"/>
  <c r="AA22" i="36"/>
  <c r="AB14" i="36"/>
  <c r="AA25" i="36"/>
  <c r="U16" i="36"/>
  <c r="S14" i="36"/>
  <c r="AA25" i="35"/>
  <c r="S23" i="35"/>
  <c r="U29" i="35"/>
  <c r="U28" i="35"/>
  <c r="AB27" i="35"/>
  <c r="U32" i="35"/>
  <c r="AB16" i="35"/>
  <c r="S20" i="35"/>
  <c r="S22" i="35"/>
  <c r="AA11" i="35"/>
  <c r="AC9" i="35"/>
  <c r="F9" i="35"/>
  <c r="S9" i="35" s="1"/>
  <c r="H9" i="35"/>
  <c r="U9" i="35" s="1"/>
  <c r="U29" i="37"/>
  <c r="S32" i="37"/>
  <c r="W30" i="37"/>
  <c r="W38" i="37"/>
  <c r="W39" i="37"/>
  <c r="AC15" i="37"/>
  <c r="J17" i="37"/>
  <c r="W17" i="37" s="1"/>
  <c r="G73" i="37"/>
  <c r="F17" i="37"/>
  <c r="AB17" i="37"/>
  <c r="F75" i="37"/>
  <c r="F19" i="37"/>
  <c r="F23" i="37"/>
  <c r="S23" i="37" s="1"/>
  <c r="U15" i="37"/>
  <c r="H10" i="37"/>
  <c r="AB10" i="37" s="1"/>
  <c r="F11" i="37"/>
  <c r="S11" i="37" s="1"/>
  <c r="S27" i="34"/>
  <c r="W25" i="34"/>
  <c r="AB8" i="34"/>
  <c r="AA33" i="34"/>
  <c r="U43" i="34"/>
  <c r="W41" i="34"/>
  <c r="AC42" i="34"/>
  <c r="AB35" i="34"/>
  <c r="U39" i="34"/>
  <c r="S43" i="34"/>
  <c r="AA25" i="34"/>
  <c r="U27" i="34"/>
  <c r="U15" i="34"/>
  <c r="H10" i="34"/>
  <c r="AB10" i="34" s="1"/>
  <c r="F11" i="34"/>
  <c r="S11" i="34" s="1"/>
  <c r="W42" i="33"/>
  <c r="H41" i="33"/>
  <c r="U42" i="33"/>
  <c r="F36" i="33"/>
  <c r="G108" i="33"/>
  <c r="H108" i="33" s="1"/>
  <c r="I108" i="33" s="1"/>
  <c r="J108" i="33" s="1"/>
  <c r="K108" i="33" s="1"/>
  <c r="L108" i="33" s="1"/>
  <c r="M108" i="33" s="1"/>
  <c r="J35" i="33"/>
  <c r="W35" i="33" s="1"/>
  <c r="S37" i="33"/>
  <c r="AA37" i="33"/>
  <c r="G101" i="33"/>
  <c r="H101" i="33" s="1"/>
  <c r="I101" i="33" s="1"/>
  <c r="J101" i="33" s="1"/>
  <c r="K101" i="33" s="1"/>
  <c r="L101" i="33" s="1"/>
  <c r="M101" i="33" s="1"/>
  <c r="J32" i="33"/>
  <c r="AC32" i="33" s="1"/>
  <c r="H27" i="33"/>
  <c r="AB27" i="33" s="1"/>
  <c r="F87" i="33"/>
  <c r="H25" i="33"/>
  <c r="AB25" i="33" s="1"/>
  <c r="F25" i="33"/>
  <c r="J23" i="33"/>
  <c r="W23" i="33" s="1"/>
  <c r="H23" i="33"/>
  <c r="U23" i="33" s="1"/>
  <c r="F81" i="33"/>
  <c r="G81" i="33" s="1"/>
  <c r="F19" i="33"/>
  <c r="S19" i="33" s="1"/>
  <c r="J17" i="33"/>
  <c r="F79" i="33"/>
  <c r="G79" i="33" s="1"/>
  <c r="S15" i="33"/>
  <c r="W15" i="33"/>
  <c r="U9" i="33"/>
  <c r="J10" i="33"/>
  <c r="W10" i="33" s="1"/>
  <c r="H10" i="33"/>
  <c r="U10" i="33" s="1"/>
  <c r="AC11" i="33"/>
  <c r="W41" i="21"/>
  <c r="AB39" i="21"/>
  <c r="AA43" i="21"/>
  <c r="J15" i="21"/>
  <c r="W15" i="21" s="1"/>
  <c r="F77" i="21"/>
  <c r="G77" i="21" s="1"/>
  <c r="F23" i="21"/>
  <c r="S23" i="21" s="1"/>
  <c r="C18" i="9"/>
  <c r="D18" i="9" s="1"/>
  <c r="M20" i="67"/>
  <c r="G13" i="3"/>
  <c r="BL17" i="3"/>
  <c r="BL13" i="3"/>
  <c r="J56" i="9"/>
  <c r="A24" i="51"/>
  <c r="B18" i="72" s="1"/>
  <c r="E32" i="6"/>
  <c r="G1" i="68"/>
  <c r="K1" i="12"/>
  <c r="E19" i="69"/>
  <c r="E19" i="68"/>
  <c r="E19" i="11"/>
  <c r="E1" i="73"/>
  <c r="G22" i="68"/>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E9" i="1" s="1"/>
  <c r="K7" i="1"/>
  <c r="M7" i="1" s="1"/>
  <c r="O7" i="1" s="1"/>
  <c r="P7" i="1" s="1"/>
  <c r="G1" i="15"/>
  <c r="G1" i="69"/>
  <c r="G1" i="67"/>
  <c r="W23" i="40"/>
  <c r="AB31" i="40"/>
  <c r="W28" i="40"/>
  <c r="W19" i="40"/>
  <c r="W37" i="40"/>
  <c r="S13" i="40"/>
  <c r="U11" i="40"/>
  <c r="U15" i="40"/>
  <c r="AB17" i="40"/>
  <c r="S8" i="40"/>
  <c r="AA39" i="39"/>
  <c r="AC41" i="39"/>
  <c r="U42" i="39"/>
  <c r="U41" i="39"/>
  <c r="AA13" i="39"/>
  <c r="AA14" i="39"/>
  <c r="U11" i="39"/>
  <c r="W17" i="39"/>
  <c r="S23" i="39"/>
  <c r="AB39" i="39"/>
  <c r="W34" i="39"/>
  <c r="U38" i="39"/>
  <c r="S20" i="36"/>
  <c r="AC25" i="36"/>
  <c r="AC20" i="36"/>
  <c r="U25" i="36"/>
  <c r="AB28" i="36"/>
  <c r="W22" i="36"/>
  <c r="AB20" i="35"/>
  <c r="AC25" i="35"/>
  <c r="U25" i="35"/>
  <c r="S35" i="35"/>
  <c r="W35" i="35"/>
  <c r="AA35" i="37"/>
  <c r="W32" i="37"/>
  <c r="AB37" i="37"/>
  <c r="AB35" i="37"/>
  <c r="AA31" i="37"/>
  <c r="U8" i="37"/>
  <c r="AB40" i="34"/>
  <c r="U19" i="34"/>
  <c r="W19" i="34"/>
  <c r="AB33" i="34"/>
  <c r="AB36" i="34"/>
  <c r="W46" i="34"/>
  <c r="U30" i="34"/>
  <c r="S37" i="34"/>
  <c r="AA36" i="34"/>
  <c r="AC43" i="34"/>
  <c r="W23" i="34"/>
  <c r="AC23" i="34"/>
  <c r="AC35" i="34"/>
  <c r="W35" i="34"/>
  <c r="AC37" i="33"/>
  <c r="U39" i="33"/>
  <c r="S33" i="33"/>
  <c r="AB34" i="33"/>
  <c r="AA30" i="33"/>
  <c r="U15" i="33"/>
  <c r="U37" i="33"/>
  <c r="W9" i="33"/>
  <c r="W8" i="33"/>
  <c r="F33" i="21"/>
  <c r="AA33" i="21" s="1"/>
  <c r="J33" i="21"/>
  <c r="AC33" i="21" s="1"/>
  <c r="H33" i="21"/>
  <c r="AB33" i="21" s="1"/>
  <c r="F37" i="21"/>
  <c r="AA37" i="21" s="1"/>
  <c r="AC15" i="21"/>
  <c r="U13" i="21"/>
  <c r="AB13" i="21"/>
  <c r="J37" i="21"/>
  <c r="W37" i="21" s="1"/>
  <c r="H15" i="21"/>
  <c r="U15" i="21" s="1"/>
  <c r="J17" i="21"/>
  <c r="AC17" i="21" s="1"/>
  <c r="W39" i="21"/>
  <c r="W30" i="21"/>
  <c r="H45" i="21"/>
  <c r="U45" i="21" s="1"/>
  <c r="F29" i="21"/>
  <c r="S29" i="21" s="1"/>
  <c r="F13" i="21"/>
  <c r="AC38" i="21"/>
  <c r="H32" i="21"/>
  <c r="U32" i="21" s="1"/>
  <c r="H9" i="21"/>
  <c r="AB9" i="21" s="1"/>
  <c r="J9" i="21"/>
  <c r="W9" i="21" s="1"/>
  <c r="J32" i="21"/>
  <c r="W32" i="21" s="1"/>
  <c r="F32" i="21"/>
  <c r="S32" i="21" s="1"/>
  <c r="AA31" i="21"/>
  <c r="U17" i="21"/>
  <c r="W29" i="21"/>
  <c r="S19" i="21"/>
  <c r="S9" i="21"/>
  <c r="AA9" i="21"/>
  <c r="K141" i="21"/>
  <c r="K144" i="21"/>
  <c r="K143" i="21"/>
  <c r="AB25" i="21"/>
  <c r="AA30" i="21"/>
  <c r="W13" i="21"/>
  <c r="W42" i="21"/>
  <c r="F10" i="21"/>
  <c r="AA10" i="21" s="1"/>
  <c r="K145" i="21"/>
  <c r="W17" i="21"/>
  <c r="W25" i="21"/>
  <c r="S17" i="21"/>
  <c r="AA15" i="21"/>
  <c r="AB29" i="21"/>
  <c r="AC34" i="21"/>
  <c r="C15" i="40"/>
  <c r="C23" i="40"/>
  <c r="B56" i="43"/>
  <c r="B67" i="43"/>
  <c r="B62" i="43"/>
  <c r="D23" i="15"/>
  <c r="E4" i="4"/>
  <c r="B5" i="62" s="1"/>
  <c r="B73" i="72" s="1"/>
  <c r="C4" i="4"/>
  <c r="AA39" i="40"/>
  <c r="S39" i="40"/>
  <c r="J32" i="39"/>
  <c r="W32" i="39" s="1"/>
  <c r="H32" i="39"/>
  <c r="AB32" i="39" s="1"/>
  <c r="AA32" i="39"/>
  <c r="S32" i="39"/>
  <c r="AB21" i="39"/>
  <c r="AA21" i="39"/>
  <c r="AC17" i="37"/>
  <c r="J19" i="37"/>
  <c r="G75" i="37"/>
  <c r="AA23" i="37"/>
  <c r="J23" i="37"/>
  <c r="AC23" i="37" s="1"/>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AC35" i="33"/>
  <c r="I111" i="33"/>
  <c r="J111" i="33" s="1"/>
  <c r="K111" i="33" s="1"/>
  <c r="L111" i="33" s="1"/>
  <c r="M111" i="33" s="1"/>
  <c r="J36" i="33"/>
  <c r="W36" i="33" s="1"/>
  <c r="H36" i="33"/>
  <c r="U36" i="33" s="1"/>
  <c r="W32" i="33"/>
  <c r="J27" i="33"/>
  <c r="W27" i="33" s="1"/>
  <c r="S25" i="33"/>
  <c r="AA25" i="33"/>
  <c r="G87" i="33"/>
  <c r="H87" i="33" s="1"/>
  <c r="I87" i="33" s="1"/>
  <c r="J87" i="33" s="1"/>
  <c r="K87" i="33" s="1"/>
  <c r="L87" i="33" s="1"/>
  <c r="M87" i="33" s="1"/>
  <c r="J25" i="33"/>
  <c r="W25" i="33" s="1"/>
  <c r="AB23" i="33"/>
  <c r="F23" i="33"/>
  <c r="AA19" i="33"/>
  <c r="H19" i="33"/>
  <c r="U19" i="33" s="1"/>
  <c r="H17" i="33"/>
  <c r="AB17" i="33" s="1"/>
  <c r="F17" i="33"/>
  <c r="W17" i="33"/>
  <c r="AC17" i="33"/>
  <c r="AA23" i="21"/>
  <c r="AB15" i="21"/>
  <c r="J23" i="21"/>
  <c r="AC23" i="21" s="1"/>
  <c r="H23" i="21"/>
  <c r="U23" i="21" s="1"/>
  <c r="AP7" i="1"/>
  <c r="U32" i="39"/>
  <c r="W19" i="37"/>
  <c r="AC19" i="37"/>
  <c r="W23" i="37"/>
  <c r="J11" i="37"/>
  <c r="AC11" i="37" s="1"/>
  <c r="J11" i="34"/>
  <c r="W11" i="34" s="1"/>
  <c r="AB36" i="33"/>
  <c r="AC27" i="33"/>
  <c r="AC25" i="33"/>
  <c r="AB19" i="33"/>
  <c r="AA17" i="33"/>
  <c r="S17" i="33"/>
  <c r="U17" i="33"/>
  <c r="AB23" i="21"/>
  <c r="H109" i="9"/>
  <c r="M49" i="9" s="1"/>
  <c r="H112" i="9"/>
  <c r="D21" i="53" s="1"/>
  <c r="B39" i="72" s="1"/>
  <c r="H111" i="9"/>
  <c r="D126" i="9" s="1"/>
  <c r="AD3" i="71"/>
  <c r="J1" i="7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E21" i="71"/>
  <c r="E20" i="71"/>
  <c r="E19" i="71" s="1"/>
  <c r="E18" i="71" s="1"/>
  <c r="E17" i="71" s="1"/>
  <c r="E16" i="71" s="1"/>
  <c r="M23" i="43" s="1"/>
  <c r="D5" i="73"/>
  <c r="F20" i="31"/>
  <c r="J15" i="15"/>
  <c r="M22" i="15"/>
  <c r="E11" i="76"/>
  <c r="AO13" i="1"/>
  <c r="F7" i="15"/>
  <c r="J15" i="67"/>
  <c r="F36" i="67"/>
  <c r="C76" i="15"/>
  <c r="B10" i="76"/>
  <c r="E2" i="69"/>
  <c r="B7" i="76"/>
  <c r="L48" i="15"/>
  <c r="F13" i="15"/>
  <c r="E9" i="76"/>
  <c r="E8" i="76"/>
  <c r="F37" i="15"/>
  <c r="M6" i="15"/>
  <c r="F9" i="15"/>
  <c r="C76" i="67"/>
  <c r="F7" i="73"/>
  <c r="F4" i="73"/>
  <c r="F8" i="15"/>
  <c r="B8" i="76"/>
  <c r="E10" i="76"/>
  <c r="F38" i="15"/>
  <c r="F37" i="67"/>
  <c r="F5" i="73"/>
  <c r="F38" i="67"/>
  <c r="E7" i="76"/>
  <c r="D35" i="9"/>
  <c r="F26" i="67"/>
  <c r="F40" i="15"/>
  <c r="F6" i="73"/>
  <c r="M24" i="15"/>
  <c r="M26" i="15"/>
  <c r="M8" i="67"/>
  <c r="F16" i="67"/>
  <c r="E12" i="76"/>
  <c r="E13" i="76"/>
  <c r="B9" i="76"/>
  <c r="M29" i="67"/>
  <c r="D34" i="9"/>
  <c r="B13" i="76"/>
  <c r="B11" i="76"/>
  <c r="F3" i="73"/>
  <c r="E2" i="68"/>
  <c r="M28" i="15"/>
  <c r="B12" i="76"/>
  <c r="D93" i="9" l="1"/>
  <c r="H75" i="43"/>
  <c r="G75" i="43" s="1"/>
  <c r="AZ357" i="3"/>
  <c r="AZ338" i="3"/>
  <c r="AZ364" i="3"/>
  <c r="AZ342" i="3"/>
  <c r="AZ336" i="3"/>
  <c r="AZ329" i="3"/>
  <c r="AZ394" i="3"/>
  <c r="AZ391" i="3"/>
  <c r="AZ376" i="3"/>
  <c r="U26" i="33"/>
  <c r="AB26" i="33"/>
  <c r="D19" i="53"/>
  <c r="B38" i="72" s="1"/>
  <c r="D16" i="53"/>
  <c r="B34" i="72" s="1"/>
  <c r="BA568" i="3"/>
  <c r="BA567" i="3"/>
  <c r="BA564" i="3"/>
  <c r="AZ564" i="3" s="1"/>
  <c r="W33" i="33"/>
  <c r="AC31" i="35"/>
  <c r="F25" i="37"/>
  <c r="J38" i="40"/>
  <c r="H39" i="40"/>
  <c r="G582" i="3"/>
  <c r="G581" i="3"/>
  <c r="G580" i="3"/>
  <c r="G577" i="3"/>
  <c r="G573" i="3"/>
  <c r="G572" i="3"/>
  <c r="G562" i="3"/>
  <c r="G561" i="3"/>
  <c r="BA560" i="3"/>
  <c r="BA559" i="3"/>
  <c r="G559" i="3"/>
  <c r="G557" i="3"/>
  <c r="G526" i="3"/>
  <c r="BL523" i="3"/>
  <c r="BA512" i="3"/>
  <c r="G508" i="3"/>
  <c r="G507" i="3"/>
  <c r="BL506" i="3"/>
  <c r="BL504" i="3"/>
  <c r="G502" i="3"/>
  <c r="G499" i="3"/>
  <c r="BA497" i="3"/>
  <c r="G494" i="3"/>
  <c r="G15" i="3"/>
  <c r="G14" i="3"/>
  <c r="BL399" i="3"/>
  <c r="G400" i="3"/>
  <c r="G402" i="3"/>
  <c r="BA404" i="3"/>
  <c r="BL404" i="3"/>
  <c r="G405" i="3"/>
  <c r="BA408" i="3"/>
  <c r="AZ408" i="3" s="1"/>
  <c r="BL408" i="3"/>
  <c r="G409" i="3"/>
  <c r="BL411" i="3"/>
  <c r="G412" i="3"/>
  <c r="BL414" i="3"/>
  <c r="G415" i="3"/>
  <c r="G416" i="3"/>
  <c r="BL417" i="3"/>
  <c r="G418" i="3"/>
  <c r="BA421" i="3"/>
  <c r="BL421" i="3"/>
  <c r="G422" i="3"/>
  <c r="BL423" i="3"/>
  <c r="G424" i="3"/>
  <c r="G425" i="3"/>
  <c r="BA426" i="3"/>
  <c r="AZ426" i="3" s="1"/>
  <c r="BL426" i="3"/>
  <c r="G427" i="3"/>
  <c r="BL428" i="3"/>
  <c r="G429" i="3"/>
  <c r="G432" i="3"/>
  <c r="BL433" i="3"/>
  <c r="G434" i="3"/>
  <c r="BA435" i="3"/>
  <c r="AZ435" i="3" s="1"/>
  <c r="BA437" i="3"/>
  <c r="BL437" i="3"/>
  <c r="BA439" i="3"/>
  <c r="BL439" i="3"/>
  <c r="BA440" i="3"/>
  <c r="AZ440" i="3" s="1"/>
  <c r="BA441" i="3"/>
  <c r="AZ441" i="3" s="1"/>
  <c r="BA442" i="3"/>
  <c r="BL442" i="3"/>
  <c r="BA444" i="3"/>
  <c r="BL444" i="3"/>
  <c r="BA445" i="3"/>
  <c r="AZ445" i="3" s="1"/>
  <c r="BA446" i="3"/>
  <c r="AZ446" i="3" s="1"/>
  <c r="BL446" i="3"/>
  <c r="BA447" i="3"/>
  <c r="AZ447" i="3" s="1"/>
  <c r="BL449" i="3"/>
  <c r="G450" i="3"/>
  <c r="BA451" i="3"/>
  <c r="AZ451" i="3" s="1"/>
  <c r="BL453" i="3"/>
  <c r="G454" i="3"/>
  <c r="BL455" i="3"/>
  <c r="G456" i="3"/>
  <c r="G458" i="3"/>
  <c r="G462" i="3"/>
  <c r="G464" i="3"/>
  <c r="BL465" i="3"/>
  <c r="G466" i="3"/>
  <c r="G469" i="3"/>
  <c r="G471" i="3"/>
  <c r="BA472" i="3"/>
  <c r="BL472" i="3"/>
  <c r="BL474" i="3"/>
  <c r="G475" i="3"/>
  <c r="G480" i="3"/>
  <c r="G482" i="3"/>
  <c r="G484" i="3"/>
  <c r="BA485" i="3"/>
  <c r="AZ485" i="3" s="1"/>
  <c r="BL485" i="3"/>
  <c r="BA486" i="3"/>
  <c r="AZ486" i="3" s="1"/>
  <c r="BA487" i="3"/>
  <c r="BL487" i="3"/>
  <c r="BA488" i="3"/>
  <c r="AZ488" i="3" s="1"/>
  <c r="BA490" i="3"/>
  <c r="AZ490" i="3" s="1"/>
  <c r="BL490" i="3"/>
  <c r="BL492" i="3"/>
  <c r="G307" i="3"/>
  <c r="BL308" i="3"/>
  <c r="AZ308" i="3" s="1"/>
  <c r="G311" i="3"/>
  <c r="BL312" i="3"/>
  <c r="AZ312" i="3" s="1"/>
  <c r="G313" i="3"/>
  <c r="BA315" i="3"/>
  <c r="AZ315" i="3" s="1"/>
  <c r="BL317" i="3"/>
  <c r="G318" i="3"/>
  <c r="BA332" i="3"/>
  <c r="BL332" i="3"/>
  <c r="G345" i="3"/>
  <c r="BL346" i="3"/>
  <c r="AZ346" i="3" s="1"/>
  <c r="BA352" i="3"/>
  <c r="AZ352" i="3" s="1"/>
  <c r="BL354" i="3"/>
  <c r="BA358" i="3"/>
  <c r="AZ358" i="3" s="1"/>
  <c r="BL365" i="3"/>
  <c r="AZ365" i="3" s="1"/>
  <c r="G366" i="3"/>
  <c r="BA367" i="3"/>
  <c r="AZ367" i="3" s="1"/>
  <c r="G378" i="3"/>
  <c r="G380" i="3"/>
  <c r="BA388" i="3"/>
  <c r="AZ388" i="3" s="1"/>
  <c r="BA392" i="3"/>
  <c r="AZ392" i="3" s="1"/>
  <c r="G395" i="3"/>
  <c r="BL396" i="3"/>
  <c r="G397" i="3"/>
  <c r="G209" i="3"/>
  <c r="G212" i="3"/>
  <c r="BL213" i="3"/>
  <c r="G214" i="3"/>
  <c r="BL215" i="3"/>
  <c r="G216" i="3"/>
  <c r="G220" i="3"/>
  <c r="BA221" i="3"/>
  <c r="BL221" i="3"/>
  <c r="BA223" i="3"/>
  <c r="BL223" i="3"/>
  <c r="BL225" i="3"/>
  <c r="G226" i="3"/>
  <c r="G228" i="3"/>
  <c r="BL229" i="3"/>
  <c r="G230" i="3"/>
  <c r="G237" i="3"/>
  <c r="G239" i="3"/>
  <c r="BL240" i="3"/>
  <c r="G241" i="3"/>
  <c r="BA242" i="3"/>
  <c r="AZ242" i="3" s="1"/>
  <c r="BL242" i="3"/>
  <c r="BL244" i="3"/>
  <c r="G245" i="3"/>
  <c r="BA246" i="3"/>
  <c r="AZ246" i="3" s="1"/>
  <c r="BL246" i="3"/>
  <c r="BA247" i="3"/>
  <c r="AZ247" i="3" s="1"/>
  <c r="BA248" i="3"/>
  <c r="AZ248" i="3" s="1"/>
  <c r="BA249" i="3"/>
  <c r="AZ249" i="3" s="1"/>
  <c r="BA250" i="3"/>
  <c r="AZ250" i="3" s="1"/>
  <c r="BA251" i="3"/>
  <c r="AZ251" i="3" s="1"/>
  <c r="BA253" i="3"/>
  <c r="BL253" i="3"/>
  <c r="BL255" i="3"/>
  <c r="G256" i="3"/>
  <c r="BL257" i="3"/>
  <c r="G258" i="3"/>
  <c r="G260" i="3"/>
  <c r="BL261" i="3"/>
  <c r="G262" i="3"/>
  <c r="G264" i="3"/>
  <c r="BL265" i="3"/>
  <c r="G266" i="3"/>
  <c r="BA267" i="3"/>
  <c r="BL267" i="3"/>
  <c r="BA269" i="3"/>
  <c r="BL269" i="3"/>
  <c r="BA270" i="3"/>
  <c r="AZ270" i="3" s="1"/>
  <c r="BA271" i="3"/>
  <c r="AZ271" i="3" s="1"/>
  <c r="BA273" i="3"/>
  <c r="BL273" i="3"/>
  <c r="BA274" i="3"/>
  <c r="AZ274" i="3" s="1"/>
  <c r="BA275" i="3"/>
  <c r="AZ275" i="3" s="1"/>
  <c r="BL277" i="3"/>
  <c r="G278" i="3"/>
  <c r="G280" i="3"/>
  <c r="G282" i="3"/>
  <c r="BL283" i="3"/>
  <c r="G284" i="3"/>
  <c r="G289" i="3"/>
  <c r="BA290" i="3"/>
  <c r="AZ290" i="3" s="1"/>
  <c r="BL290" i="3"/>
  <c r="BA292" i="3"/>
  <c r="AZ292" i="3" s="1"/>
  <c r="BA294" i="3"/>
  <c r="AZ294" i="3" s="1"/>
  <c r="BA295" i="3"/>
  <c r="AZ295" i="3" s="1"/>
  <c r="BA296" i="3"/>
  <c r="AZ296" i="3" s="1"/>
  <c r="BA297" i="3"/>
  <c r="AZ297" i="3" s="1"/>
  <c r="BA299" i="3"/>
  <c r="BL299" i="3"/>
  <c r="BL300" i="3"/>
  <c r="G301" i="3"/>
  <c r="G118" i="3"/>
  <c r="G120" i="3"/>
  <c r="BL121" i="3"/>
  <c r="G122" i="3"/>
  <c r="BA125" i="3"/>
  <c r="BL125" i="3"/>
  <c r="BA126" i="3"/>
  <c r="AZ126" i="3" s="1"/>
  <c r="BL127" i="3"/>
  <c r="AZ127" i="3" s="1"/>
  <c r="BA129" i="3"/>
  <c r="AZ129" i="3" s="1"/>
  <c r="BA130" i="3"/>
  <c r="AZ130" i="3" s="1"/>
  <c r="BL131" i="3"/>
  <c r="AZ131" i="3" s="1"/>
  <c r="BL134" i="3"/>
  <c r="G135" i="3"/>
  <c r="BA136" i="3"/>
  <c r="AZ136" i="3" s="1"/>
  <c r="BL138" i="3"/>
  <c r="G139" i="3"/>
  <c r="BA140" i="3"/>
  <c r="AZ140" i="3" s="1"/>
  <c r="BL142" i="3"/>
  <c r="G143" i="3"/>
  <c r="BA144" i="3"/>
  <c r="AZ144" i="3" s="1"/>
  <c r="BL146" i="3"/>
  <c r="G147" i="3"/>
  <c r="BA148" i="3"/>
  <c r="AZ148" i="3" s="1"/>
  <c r="BL150" i="3"/>
  <c r="G151" i="3"/>
  <c r="BA152" i="3"/>
  <c r="AZ152" i="3" s="1"/>
  <c r="BL154" i="3"/>
  <c r="G155" i="3"/>
  <c r="BA156" i="3"/>
  <c r="AZ156" i="3" s="1"/>
  <c r="G159" i="3"/>
  <c r="G162" i="3"/>
  <c r="BL165" i="3"/>
  <c r="G166" i="3"/>
  <c r="G168" i="3"/>
  <c r="BL169" i="3"/>
  <c r="G170" i="3"/>
  <c r="G172" i="3"/>
  <c r="BA173" i="3"/>
  <c r="AZ173" i="3" s="1"/>
  <c r="BL173" i="3"/>
  <c r="BL175" i="3"/>
  <c r="AZ175" i="3" s="1"/>
  <c r="G176" i="3"/>
  <c r="BA178" i="3"/>
  <c r="AZ178" i="3" s="1"/>
  <c r="BL178" i="3"/>
  <c r="BA180" i="3"/>
  <c r="AZ180" i="3" s="1"/>
  <c r="BL182" i="3"/>
  <c r="G183" i="3"/>
  <c r="BA184" i="3"/>
  <c r="AZ184" i="3" s="1"/>
  <c r="BL186" i="3"/>
  <c r="G187" i="3"/>
  <c r="BA188" i="3"/>
  <c r="AZ188" i="3" s="1"/>
  <c r="G191" i="3"/>
  <c r="G194" i="3"/>
  <c r="BL197" i="3"/>
  <c r="G198" i="3"/>
  <c r="G200" i="3"/>
  <c r="BL201" i="3"/>
  <c r="G202" i="3"/>
  <c r="G204" i="3"/>
  <c r="BA205" i="3"/>
  <c r="BL205" i="3"/>
  <c r="BL207" i="3"/>
  <c r="G18" i="3"/>
  <c r="G20" i="3"/>
  <c r="G22" i="3"/>
  <c r="BA23" i="3"/>
  <c r="BL23" i="3"/>
  <c r="BL25" i="3"/>
  <c r="G26" i="3"/>
  <c r="BA27" i="3"/>
  <c r="BL27" i="3"/>
  <c r="BA29" i="3"/>
  <c r="BL29" i="3"/>
  <c r="BA30" i="3"/>
  <c r="AZ30" i="3" s="1"/>
  <c r="BA31" i="3"/>
  <c r="AZ31" i="3" s="1"/>
  <c r="BA32" i="3"/>
  <c r="AZ32" i="3" s="1"/>
  <c r="BA33" i="3"/>
  <c r="AZ33" i="3" s="1"/>
  <c r="BA35" i="3"/>
  <c r="BL35" i="3"/>
  <c r="BA36" i="3"/>
  <c r="AZ36" i="3" s="1"/>
  <c r="BA37" i="3"/>
  <c r="AZ37" i="3" s="1"/>
  <c r="BA39" i="3"/>
  <c r="BL39" i="3"/>
  <c r="BA40" i="3"/>
  <c r="AZ40" i="3" s="1"/>
  <c r="BA41" i="3"/>
  <c r="AZ41" i="3" s="1"/>
  <c r="BA42" i="3"/>
  <c r="AZ42" i="3" s="1"/>
  <c r="BA43" i="3"/>
  <c r="AZ43" i="3" s="1"/>
  <c r="BA45" i="3"/>
  <c r="BL45" i="3"/>
  <c r="BA46" i="3"/>
  <c r="AZ46" i="3" s="1"/>
  <c r="BA47" i="3"/>
  <c r="AZ47" i="3" s="1"/>
  <c r="BL49" i="3"/>
  <c r="G50" i="3"/>
  <c r="BL51" i="3"/>
  <c r="G52" i="3"/>
  <c r="G54" i="3"/>
  <c r="BL55" i="3"/>
  <c r="G56" i="3"/>
  <c r="G61" i="3"/>
  <c r="G65" i="3"/>
  <c r="BL66" i="3"/>
  <c r="G67" i="3"/>
  <c r="BA68" i="3"/>
  <c r="AZ68" i="3" s="1"/>
  <c r="BL68" i="3"/>
  <c r="BA70" i="3"/>
  <c r="AZ70" i="3" s="1"/>
  <c r="BA71" i="3"/>
  <c r="AZ71" i="3" s="1"/>
  <c r="BA72" i="3"/>
  <c r="AZ72" i="3" s="1"/>
  <c r="BA74" i="3"/>
  <c r="BL74" i="3"/>
  <c r="BA76" i="3"/>
  <c r="AZ76" i="3" s="1"/>
  <c r="BA77" i="3"/>
  <c r="AZ77" i="3" s="1"/>
  <c r="BA79" i="3"/>
  <c r="BL79" i="3"/>
  <c r="BA81" i="3"/>
  <c r="AZ81" i="3" s="1"/>
  <c r="BA82" i="3"/>
  <c r="AZ82" i="3" s="1"/>
  <c r="BA83" i="3"/>
  <c r="AZ83" i="3" s="1"/>
  <c r="BA84" i="3"/>
  <c r="AZ84" i="3" s="1"/>
  <c r="BA85" i="3"/>
  <c r="AZ85" i="3" s="1"/>
  <c r="BA86" i="3"/>
  <c r="AZ86" i="3" s="1"/>
  <c r="BA88" i="3"/>
  <c r="BL88" i="3"/>
  <c r="C59" i="71"/>
  <c r="D58" i="71"/>
  <c r="C40" i="68"/>
  <c r="C21" i="68"/>
  <c r="C40" i="69"/>
  <c r="AC21" i="33"/>
  <c r="S21" i="33"/>
  <c r="BA90" i="3"/>
  <c r="AZ90" i="3" s="1"/>
  <c r="BA92" i="3"/>
  <c r="AZ92" i="3" s="1"/>
  <c r="BA93" i="3"/>
  <c r="AZ93" i="3" s="1"/>
  <c r="BA94" i="3"/>
  <c r="AZ94" i="3" s="1"/>
  <c r="BA96" i="3"/>
  <c r="AZ96" i="3" s="1"/>
  <c r="BA97" i="3"/>
  <c r="AZ97" i="3" s="1"/>
  <c r="BA99" i="3"/>
  <c r="AZ99" i="3" s="1"/>
  <c r="BA101" i="3"/>
  <c r="BL101" i="3"/>
  <c r="BA103" i="3"/>
  <c r="AZ103" i="3" s="1"/>
  <c r="BA105" i="3"/>
  <c r="AZ105" i="3" s="1"/>
  <c r="BL105" i="3"/>
  <c r="BA106" i="3"/>
  <c r="AZ106" i="3" s="1"/>
  <c r="BA107" i="3"/>
  <c r="AZ107" i="3" s="1"/>
  <c r="BA109" i="3"/>
  <c r="AZ109" i="3" s="1"/>
  <c r="BL109" i="3"/>
  <c r="BA111" i="3"/>
  <c r="AZ111" i="3" s="1"/>
  <c r="BL111" i="3"/>
  <c r="BL112" i="3"/>
  <c r="F3" i="35"/>
  <c r="Y30" i="71"/>
  <c r="Z30" i="71" s="1"/>
  <c r="Y34" i="71"/>
  <c r="Z34" i="71" s="1"/>
  <c r="G6" i="1"/>
  <c r="G16" i="1" s="1"/>
  <c r="F10" i="39" s="1"/>
  <c r="I24" i="43"/>
  <c r="B51" i="43"/>
  <c r="B57" i="43"/>
  <c r="U14" i="33"/>
  <c r="AB14" i="33"/>
  <c r="S27" i="40"/>
  <c r="AA27" i="40"/>
  <c r="AA42" i="33"/>
  <c r="S42" i="33"/>
  <c r="AA39" i="33"/>
  <c r="S39" i="33"/>
  <c r="AZ559" i="3"/>
  <c r="AC14" i="37"/>
  <c r="W14" i="37"/>
  <c r="W14" i="40"/>
  <c r="AC14" i="40"/>
  <c r="S38" i="37"/>
  <c r="AA38" i="37"/>
  <c r="AB38" i="37"/>
  <c r="U38" i="37"/>
  <c r="W26" i="36"/>
  <c r="AC26" i="36"/>
  <c r="S31" i="33"/>
  <c r="AA31" i="33"/>
  <c r="AA28" i="21"/>
  <c r="S28" i="21"/>
  <c r="W14" i="21"/>
  <c r="AC14" i="21"/>
  <c r="AA23" i="34"/>
  <c r="S23" i="34"/>
  <c r="AA11" i="33"/>
  <c r="S11" i="33"/>
  <c r="AB33" i="35"/>
  <c r="U33" i="35"/>
  <c r="AC29" i="36"/>
  <c r="W29" i="36"/>
  <c r="W30" i="35"/>
  <c r="AC30" i="35"/>
  <c r="AB23" i="40"/>
  <c r="U23" i="40"/>
  <c r="AA26" i="33"/>
  <c r="S26" i="33"/>
  <c r="AB22" i="35"/>
  <c r="U22" i="35"/>
  <c r="AB36" i="39"/>
  <c r="U36" i="39"/>
  <c r="S14" i="21"/>
  <c r="AA14" i="21"/>
  <c r="H28" i="21"/>
  <c r="J28" i="21"/>
  <c r="H44" i="21"/>
  <c r="U44" i="21" s="1"/>
  <c r="J44" i="21"/>
  <c r="AC44" i="21" s="1"/>
  <c r="E69" i="21"/>
  <c r="F69" i="21" s="1"/>
  <c r="G69" i="21" s="1"/>
  <c r="H69" i="21" s="1"/>
  <c r="I69" i="21" s="1"/>
  <c r="J69" i="21" s="1"/>
  <c r="K69" i="21" s="1"/>
  <c r="L69" i="21" s="1"/>
  <c r="M69" i="21" s="1"/>
  <c r="F11" i="21"/>
  <c r="S11" i="21" s="1"/>
  <c r="H11" i="21"/>
  <c r="U11" i="21" s="1"/>
  <c r="AA27" i="35"/>
  <c r="S27" i="35"/>
  <c r="J11" i="36"/>
  <c r="AC11" i="36" s="1"/>
  <c r="F11" i="36"/>
  <c r="AC25" i="37"/>
  <c r="W25" i="37"/>
  <c r="AC26" i="37"/>
  <c r="W26" i="37"/>
  <c r="W40" i="40"/>
  <c r="AC40" i="40"/>
  <c r="BA569" i="3"/>
  <c r="BL568" i="3"/>
  <c r="AZ568" i="3" s="1"/>
  <c r="BA565" i="3"/>
  <c r="BL557" i="3"/>
  <c r="BA557" i="3"/>
  <c r="BL524" i="3"/>
  <c r="BA508" i="3"/>
  <c r="M20" i="15"/>
  <c r="F34" i="67"/>
  <c r="F62" i="67" s="1"/>
  <c r="F34" i="15"/>
  <c r="F62" i="15" s="1"/>
  <c r="C21" i="11"/>
  <c r="C40" i="11"/>
  <c r="BA17" i="3"/>
  <c r="AZ17" i="3" s="1"/>
  <c r="BA16" i="3"/>
  <c r="BA13" i="3"/>
  <c r="D24" i="15"/>
  <c r="D22" i="15"/>
  <c r="BL15" i="3"/>
  <c r="BM5" i="3"/>
  <c r="BL16" i="3"/>
  <c r="G41" i="69"/>
  <c r="G22" i="69"/>
  <c r="G26" i="12"/>
  <c r="D21" i="71"/>
  <c r="C20" i="71"/>
  <c r="C19" i="71" s="1"/>
  <c r="AA19" i="37"/>
  <c r="S19" i="37"/>
  <c r="AA30" i="40"/>
  <c r="S30" i="40"/>
  <c r="AZ380" i="3"/>
  <c r="AB23" i="37"/>
  <c r="U23" i="37"/>
  <c r="S41" i="34"/>
  <c r="AA41" i="34"/>
  <c r="AC37" i="37"/>
  <c r="W37" i="37"/>
  <c r="AB11" i="33"/>
  <c r="U11" i="33"/>
  <c r="S19" i="34"/>
  <c r="AA19" i="34"/>
  <c r="AA14" i="35"/>
  <c r="S14" i="35"/>
  <c r="W15" i="40"/>
  <c r="AC15" i="40"/>
  <c r="U34" i="39"/>
  <c r="AB34" i="39"/>
  <c r="AA38" i="33"/>
  <c r="S38" i="33"/>
  <c r="AC39" i="33"/>
  <c r="W39" i="33"/>
  <c r="W28" i="34"/>
  <c r="AC28" i="34"/>
  <c r="J12" i="33"/>
  <c r="H12" i="33"/>
  <c r="H30" i="33"/>
  <c r="J30" i="33"/>
  <c r="J44" i="33"/>
  <c r="F44" i="33"/>
  <c r="J46" i="33"/>
  <c r="F46" i="33"/>
  <c r="H46" i="33"/>
  <c r="H13" i="34"/>
  <c r="J13" i="34"/>
  <c r="F13" i="34"/>
  <c r="F29" i="34"/>
  <c r="H29" i="34"/>
  <c r="J31" i="34"/>
  <c r="H31" i="34"/>
  <c r="F31" i="34"/>
  <c r="H45" i="34"/>
  <c r="J45" i="34"/>
  <c r="F45" i="34"/>
  <c r="H47" i="34"/>
  <c r="F47" i="34"/>
  <c r="J47" i="34"/>
  <c r="F13" i="35"/>
  <c r="J13" i="35"/>
  <c r="H13" i="35"/>
  <c r="U23" i="35"/>
  <c r="AB23" i="35"/>
  <c r="J24" i="35"/>
  <c r="F24" i="35"/>
  <c r="W27" i="35"/>
  <c r="AC27" i="35"/>
  <c r="AC9" i="36"/>
  <c r="W9" i="36"/>
  <c r="AA31" i="39"/>
  <c r="S31" i="39"/>
  <c r="AC32" i="40"/>
  <c r="W32" i="40"/>
  <c r="AA41" i="21"/>
  <c r="S41" i="21"/>
  <c r="W38" i="34"/>
  <c r="AC38" i="34"/>
  <c r="BL566" i="3"/>
  <c r="AZ566" i="3" s="1"/>
  <c r="BA561" i="3"/>
  <c r="AZ561" i="3" s="1"/>
  <c r="BL560" i="3"/>
  <c r="AZ560" i="3" s="1"/>
  <c r="BA558" i="3"/>
  <c r="AZ558" i="3" s="1"/>
  <c r="BL556" i="3"/>
  <c r="BA525" i="3"/>
  <c r="BL520" i="3"/>
  <c r="BA505" i="3"/>
  <c r="BA496" i="3"/>
  <c r="BE5" i="3"/>
  <c r="BL493" i="3"/>
  <c r="AC32" i="39"/>
  <c r="U9" i="21"/>
  <c r="AA23" i="33"/>
  <c r="S23" i="33"/>
  <c r="U38" i="34"/>
  <c r="AA29" i="37"/>
  <c r="S27" i="39"/>
  <c r="AB43" i="39"/>
  <c r="W19" i="33"/>
  <c r="W38" i="33"/>
  <c r="S17" i="34"/>
  <c r="S30" i="37"/>
  <c r="S26" i="37"/>
  <c r="S32" i="35"/>
  <c r="U24" i="36"/>
  <c r="U31" i="39"/>
  <c r="F12" i="33"/>
  <c r="AA12" i="33" s="1"/>
  <c r="AC30" i="40"/>
  <c r="W30" i="40"/>
  <c r="AC27" i="40"/>
  <c r="W27" i="40"/>
  <c r="W24" i="36"/>
  <c r="AA12" i="40"/>
  <c r="AZ15" i="3"/>
  <c r="AZ379" i="3"/>
  <c r="AZ372" i="3"/>
  <c r="AZ305" i="3"/>
  <c r="AC25" i="39"/>
  <c r="W25" i="39"/>
  <c r="S36" i="35"/>
  <c r="AB19" i="37"/>
  <c r="U19" i="37"/>
  <c r="U41" i="34"/>
  <c r="AB41" i="34"/>
  <c r="AZ580" i="3"/>
  <c r="AA14" i="33"/>
  <c r="AA14" i="40"/>
  <c r="S14" i="40"/>
  <c r="W13" i="39"/>
  <c r="AC13" i="39"/>
  <c r="F14" i="37"/>
  <c r="AA28" i="37"/>
  <c r="S28" i="37"/>
  <c r="J29" i="34"/>
  <c r="W29" i="34" s="1"/>
  <c r="H44" i="33"/>
  <c r="U44" i="33" s="1"/>
  <c r="J14" i="33"/>
  <c r="W29" i="37"/>
  <c r="AC29" i="37"/>
  <c r="H11" i="36"/>
  <c r="U11" i="36" s="1"/>
  <c r="AA45" i="21"/>
  <c r="S45" i="21"/>
  <c r="AC31" i="21"/>
  <c r="W31" i="21"/>
  <c r="W28" i="33"/>
  <c r="AC28" i="33"/>
  <c r="U28" i="33"/>
  <c r="AB28" i="33"/>
  <c r="F44" i="21"/>
  <c r="AA44" i="21" s="1"/>
  <c r="H30" i="21"/>
  <c r="U30" i="21" s="1"/>
  <c r="H14" i="21"/>
  <c r="AA38" i="34"/>
  <c r="W17" i="34"/>
  <c r="AC17" i="34"/>
  <c r="W36" i="34"/>
  <c r="AC36" i="34"/>
  <c r="AB33" i="37"/>
  <c r="U33" i="37"/>
  <c r="S15" i="40"/>
  <c r="AA15" i="40"/>
  <c r="AA17" i="40"/>
  <c r="S17" i="40"/>
  <c r="U28" i="40"/>
  <c r="AB28" i="40"/>
  <c r="U40" i="33"/>
  <c r="AA41" i="33"/>
  <c r="S41" i="33"/>
  <c r="W20" i="35"/>
  <c r="AC20" i="35"/>
  <c r="F24" i="36"/>
  <c r="AC19" i="39"/>
  <c r="W19" i="39"/>
  <c r="J31" i="39"/>
  <c r="AA17" i="39"/>
  <c r="S17" i="39"/>
  <c r="AA19" i="39"/>
  <c r="S19" i="39"/>
  <c r="AA42" i="39"/>
  <c r="S42" i="39"/>
  <c r="U35" i="33"/>
  <c r="U14" i="37"/>
  <c r="W19" i="21"/>
  <c r="AC19" i="21"/>
  <c r="H26" i="21"/>
  <c r="AB26" i="21" s="1"/>
  <c r="AA35" i="21"/>
  <c r="S35" i="21"/>
  <c r="AB40" i="21"/>
  <c r="U40" i="21"/>
  <c r="AB38" i="33"/>
  <c r="U38" i="33"/>
  <c r="W26" i="33"/>
  <c r="AC26" i="33"/>
  <c r="AB26" i="36"/>
  <c r="U26" i="36"/>
  <c r="J12" i="36"/>
  <c r="F12" i="36"/>
  <c r="F32" i="36"/>
  <c r="H32" i="36"/>
  <c r="AB31" i="36"/>
  <c r="U31" i="36"/>
  <c r="H13" i="37"/>
  <c r="J13" i="37"/>
  <c r="J12" i="39"/>
  <c r="F12" i="39"/>
  <c r="H12" i="39"/>
  <c r="J14" i="39"/>
  <c r="AC14" i="39" s="1"/>
  <c r="H14" i="39"/>
  <c r="H44" i="39"/>
  <c r="F44" i="39"/>
  <c r="AA34" i="39"/>
  <c r="S34" i="39"/>
  <c r="J37" i="39"/>
  <c r="F37" i="39"/>
  <c r="AB8" i="40"/>
  <c r="U8" i="40"/>
  <c r="W9" i="40"/>
  <c r="AC9" i="40"/>
  <c r="AA34" i="40"/>
  <c r="S34" i="40"/>
  <c r="AC34" i="40"/>
  <c r="W34" i="40"/>
  <c r="AA40" i="40"/>
  <c r="S40" i="40"/>
  <c r="J12" i="40"/>
  <c r="H12" i="40"/>
  <c r="AA38" i="40"/>
  <c r="S38" i="40"/>
  <c r="AA40" i="33"/>
  <c r="S40" i="33"/>
  <c r="F36" i="39"/>
  <c r="J36" i="39"/>
  <c r="BL584" i="3"/>
  <c r="BA584" i="3"/>
  <c r="AZ584" i="3" s="1"/>
  <c r="BL583" i="3"/>
  <c r="AZ583" i="3" s="1"/>
  <c r="BL582" i="3"/>
  <c r="AZ582" i="3" s="1"/>
  <c r="BA581" i="3"/>
  <c r="AZ581" i="3" s="1"/>
  <c r="BA577" i="3"/>
  <c r="BL576" i="3"/>
  <c r="AZ576" i="3" s="1"/>
  <c r="BL574" i="3"/>
  <c r="AZ574" i="3" s="1"/>
  <c r="BA573" i="3"/>
  <c r="BA555" i="3"/>
  <c r="AZ555" i="3" s="1"/>
  <c r="BA554" i="3"/>
  <c r="AZ554" i="3" s="1"/>
  <c r="BL553" i="3"/>
  <c r="AZ553" i="3" s="1"/>
  <c r="BA551" i="3"/>
  <c r="AZ551" i="3" s="1"/>
  <c r="BL550" i="3"/>
  <c r="BA550" i="3"/>
  <c r="BL549" i="3"/>
  <c r="BA549" i="3"/>
  <c r="BA548" i="3"/>
  <c r="BL547" i="3"/>
  <c r="AZ547" i="3" s="1"/>
  <c r="BL546" i="3"/>
  <c r="AZ546" i="3" s="1"/>
  <c r="BA545" i="3"/>
  <c r="AZ545" i="3" s="1"/>
  <c r="BL544" i="3"/>
  <c r="BA544" i="3"/>
  <c r="BL543" i="3"/>
  <c r="AZ543" i="3" s="1"/>
  <c r="BA541" i="3"/>
  <c r="BA540" i="3"/>
  <c r="BL535" i="3"/>
  <c r="BA532" i="3"/>
  <c r="AZ532" i="3" s="1"/>
  <c r="BL527" i="3"/>
  <c r="BL526" i="3"/>
  <c r="BL398" i="3"/>
  <c r="BA399" i="3"/>
  <c r="AZ399" i="3" s="1"/>
  <c r="BL401" i="3"/>
  <c r="AZ401" i="3" s="1"/>
  <c r="G403" i="3"/>
  <c r="AZ406" i="3"/>
  <c r="BL407" i="3"/>
  <c r="BL410" i="3"/>
  <c r="BA411" i="3"/>
  <c r="AZ411" i="3" s="1"/>
  <c r="BA412" i="3"/>
  <c r="AZ412" i="3" s="1"/>
  <c r="BL415" i="3"/>
  <c r="AZ415" i="3" s="1"/>
  <c r="BA416" i="3"/>
  <c r="AZ416" i="3" s="1"/>
  <c r="BA417" i="3"/>
  <c r="AZ417" i="3" s="1"/>
  <c r="AZ419" i="3"/>
  <c r="BL420" i="3"/>
  <c r="AZ421" i="3"/>
  <c r="BA423" i="3"/>
  <c r="AZ423" i="3" s="1"/>
  <c r="BA427" i="3"/>
  <c r="AZ427" i="3" s="1"/>
  <c r="BA428" i="3"/>
  <c r="AZ428" i="3" s="1"/>
  <c r="J57" i="9"/>
  <c r="J59" i="9" s="1"/>
  <c r="J61" i="9" s="1"/>
  <c r="AZ361" i="3"/>
  <c r="AZ356" i="3"/>
  <c r="AZ347" i="3"/>
  <c r="AZ344" i="3"/>
  <c r="AZ313" i="3"/>
  <c r="AZ378" i="3"/>
  <c r="AZ371" i="3"/>
  <c r="AZ341" i="3"/>
  <c r="AZ325" i="3"/>
  <c r="AZ309" i="3"/>
  <c r="BL563" i="3"/>
  <c r="AZ563" i="3" s="1"/>
  <c r="BL567" i="3"/>
  <c r="AZ567" i="3" s="1"/>
  <c r="BL571" i="3"/>
  <c r="AZ571" i="3" s="1"/>
  <c r="BL575" i="3"/>
  <c r="AZ575" i="3" s="1"/>
  <c r="BL579" i="3"/>
  <c r="AZ579" i="3" s="1"/>
  <c r="E5" i="6"/>
  <c r="BL587" i="3"/>
  <c r="BA587" i="3"/>
  <c r="BL586" i="3"/>
  <c r="G574" i="3"/>
  <c r="G558" i="3"/>
  <c r="G542" i="3"/>
  <c r="G541" i="3"/>
  <c r="G540" i="3"/>
  <c r="BA538" i="3"/>
  <c r="G538" i="3"/>
  <c r="BA537" i="3"/>
  <c r="G537" i="3"/>
  <c r="BL536" i="3"/>
  <c r="G536" i="3"/>
  <c r="G535" i="3"/>
  <c r="BL534" i="3"/>
  <c r="BA534" i="3"/>
  <c r="G534" i="3"/>
  <c r="G533" i="3"/>
  <c r="G531" i="3"/>
  <c r="BA530" i="3"/>
  <c r="G530" i="3"/>
  <c r="BA529" i="3"/>
  <c r="G529" i="3"/>
  <c r="BL528" i="3"/>
  <c r="G528" i="3"/>
  <c r="G527" i="3"/>
  <c r="G525" i="3"/>
  <c r="G524" i="3"/>
  <c r="G522" i="3"/>
  <c r="BA521" i="3"/>
  <c r="BA520" i="3"/>
  <c r="AZ520" i="3" s="1"/>
  <c r="G520" i="3"/>
  <c r="BL519" i="3"/>
  <c r="BA519" i="3"/>
  <c r="G519" i="3"/>
  <c r="G518" i="3"/>
  <c r="G517" i="3"/>
  <c r="BL516" i="3"/>
  <c r="BL515" i="3"/>
  <c r="BL514" i="3"/>
  <c r="G514" i="3"/>
  <c r="G513" i="3"/>
  <c r="G512" i="3"/>
  <c r="BL511" i="3"/>
  <c r="BA511" i="3"/>
  <c r="G511" i="3"/>
  <c r="BA510" i="3"/>
  <c r="G510" i="3"/>
  <c r="BL508" i="3"/>
  <c r="BL507" i="3"/>
  <c r="G506" i="3"/>
  <c r="G505" i="3"/>
  <c r="BA504" i="3"/>
  <c r="AZ504" i="3" s="1"/>
  <c r="G504" i="3"/>
  <c r="BL503" i="3"/>
  <c r="G503" i="3"/>
  <c r="BA501" i="3"/>
  <c r="G501" i="3"/>
  <c r="G500" i="3"/>
  <c r="BL498" i="3"/>
  <c r="BA498" i="3"/>
  <c r="G498" i="3"/>
  <c r="G497" i="3"/>
  <c r="BL496" i="3"/>
  <c r="G496" i="3"/>
  <c r="BT5" i="3"/>
  <c r="G495" i="3"/>
  <c r="BQ5" i="3"/>
  <c r="BH5" i="3"/>
  <c r="BP5" i="3"/>
  <c r="BI5" i="3"/>
  <c r="AZ398" i="3"/>
  <c r="BL403" i="3"/>
  <c r="AZ403" i="3" s="1"/>
  <c r="AZ404" i="3"/>
  <c r="AZ407" i="3"/>
  <c r="BA409" i="3"/>
  <c r="AZ409" i="3" s="1"/>
  <c r="AZ410" i="3"/>
  <c r="BL413" i="3"/>
  <c r="BA414" i="3"/>
  <c r="AZ414" i="3" s="1"/>
  <c r="AZ420" i="3"/>
  <c r="BL424" i="3"/>
  <c r="BA425" i="3"/>
  <c r="AZ425" i="3" s="1"/>
  <c r="G431" i="3"/>
  <c r="BL431" i="3"/>
  <c r="AZ431" i="3" s="1"/>
  <c r="BA432" i="3"/>
  <c r="AZ432" i="3" s="1"/>
  <c r="BA433" i="3"/>
  <c r="AZ433" i="3" s="1"/>
  <c r="BA434" i="3"/>
  <c r="AZ434" i="3" s="1"/>
  <c r="BL434" i="3"/>
  <c r="G436" i="3"/>
  <c r="BL436" i="3"/>
  <c r="G441" i="3"/>
  <c r="G442" i="3"/>
  <c r="G446" i="3"/>
  <c r="G448" i="3"/>
  <c r="BL448" i="3"/>
  <c r="AZ448" i="3" s="1"/>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AZ436" i="3"/>
  <c r="AZ438" i="3"/>
  <c r="AZ443" i="3"/>
  <c r="AZ452" i="3"/>
  <c r="AZ461" i="3"/>
  <c r="AZ463" i="3"/>
  <c r="AZ468" i="3"/>
  <c r="AZ470" i="3"/>
  <c r="AZ479" i="3"/>
  <c r="G483" i="3"/>
  <c r="BL483" i="3"/>
  <c r="BA484" i="3"/>
  <c r="AZ484" i="3" s="1"/>
  <c r="G487" i="3"/>
  <c r="G489" i="3"/>
  <c r="BL489" i="3"/>
  <c r="BL491" i="3"/>
  <c r="AZ491" i="3" s="1"/>
  <c r="BA492" i="3"/>
  <c r="AZ492" i="3" s="1"/>
  <c r="T28" i="71"/>
  <c r="D28" i="71"/>
  <c r="U28" i="71" s="1"/>
  <c r="C27" i="71"/>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BL288" i="3"/>
  <c r="AZ288" i="3" s="1"/>
  <c r="BA289" i="3"/>
  <c r="AZ289" i="3" s="1"/>
  <c r="BL291" i="3"/>
  <c r="AZ291" i="3" s="1"/>
  <c r="G293" i="3"/>
  <c r="BL293" i="3"/>
  <c r="G295" i="3"/>
  <c r="G296" i="3"/>
  <c r="G297" i="3"/>
  <c r="G298" i="3"/>
  <c r="BL298" i="3"/>
  <c r="AZ298"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T52" i="71"/>
  <c r="D52" i="71"/>
  <c r="T44" i="71"/>
  <c r="D44" i="71"/>
  <c r="E30" i="71"/>
  <c r="E31" i="71" s="1"/>
  <c r="E32" i="71" s="1"/>
  <c r="U32" i="71" s="1"/>
  <c r="AA29" i="71"/>
  <c r="B38" i="71"/>
  <c r="B39" i="71" s="1"/>
  <c r="B40" i="71" s="1"/>
  <c r="S40" i="71" s="1"/>
  <c r="X37" i="71"/>
  <c r="F66" i="71"/>
  <c r="Q67" i="71"/>
  <c r="O68" i="71"/>
  <c r="C67" i="71"/>
  <c r="T76" i="71"/>
  <c r="C75" i="71"/>
  <c r="G31" i="3"/>
  <c r="G32" i="3"/>
  <c r="G33" i="3"/>
  <c r="G34" i="3"/>
  <c r="BL34" i="3"/>
  <c r="AZ34" i="3" s="1"/>
  <c r="G37" i="3"/>
  <c r="G38" i="3"/>
  <c r="BL38" i="3"/>
  <c r="AZ38" i="3" s="1"/>
  <c r="G41" i="3"/>
  <c r="G42" i="3"/>
  <c r="G43" i="3"/>
  <c r="G44" i="3"/>
  <c r="BL44" i="3"/>
  <c r="AZ44" i="3" s="1"/>
  <c r="G47" i="3"/>
  <c r="G48" i="3"/>
  <c r="BL48" i="3"/>
  <c r="BA49" i="3"/>
  <c r="AZ49" i="3" s="1"/>
  <c r="BA50" i="3"/>
  <c r="AZ50" i="3" s="1"/>
  <c r="BA51" i="3"/>
  <c r="AZ51" i="3" s="1"/>
  <c r="BL53" i="3"/>
  <c r="AZ53" i="3" s="1"/>
  <c r="BA54" i="3"/>
  <c r="AZ54" i="3" s="1"/>
  <c r="BA55" i="3"/>
  <c r="AZ55" i="3" s="1"/>
  <c r="G58" i="3"/>
  <c r="G59" i="3"/>
  <c r="G60" i="3"/>
  <c r="BL60" i="3"/>
  <c r="G63" i="3"/>
  <c r="G64" i="3"/>
  <c r="BL64" i="3"/>
  <c r="AZ64" i="3" s="1"/>
  <c r="BA65" i="3"/>
  <c r="AZ65" i="3" s="1"/>
  <c r="BA66" i="3"/>
  <c r="AZ66" i="3" s="1"/>
  <c r="BA67" i="3"/>
  <c r="AZ67" i="3" s="1"/>
  <c r="BL69" i="3"/>
  <c r="AZ69" i="3" s="1"/>
  <c r="G71" i="3"/>
  <c r="G72" i="3"/>
  <c r="G73" i="3"/>
  <c r="BL73" i="3"/>
  <c r="BL75" i="3"/>
  <c r="AZ75" i="3" s="1"/>
  <c r="G77" i="3"/>
  <c r="G78" i="3"/>
  <c r="BL78" i="3"/>
  <c r="BL80" i="3"/>
  <c r="AZ80" i="3" s="1"/>
  <c r="G82" i="3"/>
  <c r="G83" i="3"/>
  <c r="G84" i="3"/>
  <c r="G85" i="3"/>
  <c r="G86" i="3"/>
  <c r="G87" i="3"/>
  <c r="BL87" i="3"/>
  <c r="BL89" i="3"/>
  <c r="AZ89" i="3" s="1"/>
  <c r="G91" i="3"/>
  <c r="BL91" i="3"/>
  <c r="G93" i="3"/>
  <c r="G94" i="3"/>
  <c r="G95" i="3"/>
  <c r="BL95" i="3"/>
  <c r="G97" i="3"/>
  <c r="G98" i="3"/>
  <c r="BL98" i="3"/>
  <c r="G100" i="3"/>
  <c r="BL100" i="3"/>
  <c r="BL102" i="3"/>
  <c r="AZ102" i="3" s="1"/>
  <c r="G104" i="3"/>
  <c r="BL104" i="3"/>
  <c r="G107" i="3"/>
  <c r="G108" i="3"/>
  <c r="BL108" i="3"/>
  <c r="AZ108" i="3" s="1"/>
  <c r="BL110" i="3"/>
  <c r="AZ110" i="3" s="1"/>
  <c r="BA112" i="3"/>
  <c r="AZ112" i="3" s="1"/>
  <c r="AC21" i="34"/>
  <c r="U18" i="35"/>
  <c r="U21" i="34"/>
  <c r="W25" i="40"/>
  <c r="S18" i="36"/>
  <c r="C29" i="39"/>
  <c r="B68" i="43"/>
  <c r="B77" i="43"/>
  <c r="AA28" i="71"/>
  <c r="AA3" i="71"/>
  <c r="AB26" i="71"/>
  <c r="E79" i="71"/>
  <c r="E78" i="71" s="1"/>
  <c r="D76" i="71"/>
  <c r="D68" i="71"/>
  <c r="F28" i="71"/>
  <c r="F27" i="71" s="1"/>
  <c r="F26" i="71" s="1"/>
  <c r="AB25" i="71"/>
  <c r="AB27" i="71"/>
  <c r="E28" i="71"/>
  <c r="AA25" i="71"/>
  <c r="AA27" i="71"/>
  <c r="X36" i="71"/>
  <c r="X32" i="71"/>
  <c r="AB30" i="71"/>
  <c r="X31" i="71"/>
  <c r="AB34" i="71"/>
  <c r="AB33" i="71"/>
  <c r="AA33" i="71"/>
  <c r="AA35" i="71"/>
  <c r="AA36" i="71"/>
  <c r="AB38" i="71"/>
  <c r="AB37" i="71"/>
  <c r="P68" i="71"/>
  <c r="E67" i="71"/>
  <c r="AB29" i="71"/>
  <c r="X29" i="71"/>
  <c r="AB31" i="71"/>
  <c r="F35" i="71"/>
  <c r="F36" i="71" s="1"/>
  <c r="V36" i="71" s="1"/>
  <c r="X33" i="71"/>
  <c r="AB35" i="71"/>
  <c r="F39" i="71"/>
  <c r="F40" i="71" s="1"/>
  <c r="V40" i="71" s="1"/>
  <c r="B55" i="71"/>
  <c r="B56" i="71" s="1"/>
  <c r="S56" i="71" s="1"/>
  <c r="V24" i="71"/>
  <c r="AA32" i="21"/>
  <c r="AB32" i="21"/>
  <c r="AB30" i="21"/>
  <c r="U31" i="21"/>
  <c r="AB31" i="21"/>
  <c r="W23" i="21"/>
  <c r="AA25" i="21"/>
  <c r="J43" i="21"/>
  <c r="AB21" i="21"/>
  <c r="S42" i="21"/>
  <c r="AA29" i="21"/>
  <c r="AC40" i="21"/>
  <c r="AA38" i="21"/>
  <c r="AA36" i="21"/>
  <c r="AB36" i="21"/>
  <c r="AC26" i="21"/>
  <c r="AA26" i="21"/>
  <c r="U26" i="21"/>
  <c r="W44" i="21"/>
  <c r="AC9" i="21"/>
  <c r="AB44" i="21"/>
  <c r="G28" i="6"/>
  <c r="F30" i="69"/>
  <c r="F48" i="69" s="1"/>
  <c r="D68" i="9"/>
  <c r="F31" i="12"/>
  <c r="M18" i="15"/>
  <c r="M18" i="67"/>
  <c r="F30" i="11"/>
  <c r="C48" i="11" s="1"/>
  <c r="F54" i="9"/>
  <c r="F28" i="15"/>
  <c r="F32" i="15"/>
  <c r="F60" i="15" s="1"/>
  <c r="F32" i="67"/>
  <c r="F60" i="67" s="1"/>
  <c r="F52" i="9"/>
  <c r="F28" i="67"/>
  <c r="F30" i="68"/>
  <c r="F48" i="68" s="1"/>
  <c r="AZ587" i="3"/>
  <c r="AZ534" i="3"/>
  <c r="AZ519" i="3"/>
  <c r="AZ511" i="3"/>
  <c r="AZ498" i="3"/>
  <c r="AZ496" i="3"/>
  <c r="D8" i="53"/>
  <c r="D120" i="9"/>
  <c r="AA15" i="39"/>
  <c r="S15" i="39"/>
  <c r="AB37" i="39"/>
  <c r="U37" i="39"/>
  <c r="AA15" i="37"/>
  <c r="S15" i="37"/>
  <c r="W12" i="37"/>
  <c r="AC12" i="37"/>
  <c r="AC43" i="33"/>
  <c r="W43" i="33"/>
  <c r="W36" i="40"/>
  <c r="AC36" i="40"/>
  <c r="S32" i="40"/>
  <c r="AA32" i="40"/>
  <c r="AA24" i="35"/>
  <c r="S24" i="35"/>
  <c r="AZ515" i="3"/>
  <c r="AZ565" i="3"/>
  <c r="AZ569" i="3"/>
  <c r="AZ573" i="3"/>
  <c r="AZ577" i="3"/>
  <c r="AZ508" i="3"/>
  <c r="AZ536" i="3"/>
  <c r="U33" i="40"/>
  <c r="AB33" i="40"/>
  <c r="S13" i="37"/>
  <c r="AA13" i="37"/>
  <c r="W11" i="35"/>
  <c r="AC11" i="35"/>
  <c r="AC14" i="36"/>
  <c r="W14" i="36"/>
  <c r="U42" i="21"/>
  <c r="AB42" i="21"/>
  <c r="AB25" i="34"/>
  <c r="U25" i="34"/>
  <c r="AA23" i="40"/>
  <c r="S23" i="40"/>
  <c r="AA36" i="40"/>
  <c r="S36" i="40"/>
  <c r="AA32" i="33"/>
  <c r="S32" i="33"/>
  <c r="W34" i="37"/>
  <c r="AC34" i="37"/>
  <c r="S16" i="35"/>
  <c r="AA16" i="35"/>
  <c r="AA35" i="40"/>
  <c r="S35" i="40"/>
  <c r="AB35" i="21"/>
  <c r="U35" i="21"/>
  <c r="AA39" i="21"/>
  <c r="S39" i="21"/>
  <c r="U38" i="21"/>
  <c r="AB38" i="21"/>
  <c r="BA586" i="3"/>
  <c r="AZ586" i="3" s="1"/>
  <c r="J27" i="21"/>
  <c r="H27" i="21"/>
  <c r="F27" i="21"/>
  <c r="W45" i="21"/>
  <c r="AC45" i="21"/>
  <c r="H46" i="21"/>
  <c r="J46" i="21"/>
  <c r="F46" i="21"/>
  <c r="AC36" i="21"/>
  <c r="W36" i="21"/>
  <c r="AC8" i="34"/>
  <c r="W8" i="34"/>
  <c r="J9" i="34"/>
  <c r="F9" i="34"/>
  <c r="AA9" i="34" s="1"/>
  <c r="H9" i="34"/>
  <c r="F28" i="34"/>
  <c r="H28" i="34"/>
  <c r="AC23" i="35"/>
  <c r="W23" i="35"/>
  <c r="AA28" i="35"/>
  <c r="S28" i="35"/>
  <c r="AC28" i="35"/>
  <c r="W28" i="35"/>
  <c r="J34" i="35"/>
  <c r="H34" i="35"/>
  <c r="F34" i="35"/>
  <c r="AC22" i="35"/>
  <c r="W22" i="35"/>
  <c r="AB22" i="36"/>
  <c r="U22" i="36"/>
  <c r="J23" i="36"/>
  <c r="H23" i="36"/>
  <c r="F23" i="36"/>
  <c r="H34" i="36"/>
  <c r="J34" i="36"/>
  <c r="W34" i="36" s="1"/>
  <c r="F34" i="36"/>
  <c r="H33" i="36"/>
  <c r="J33" i="36"/>
  <c r="AC33" i="36" s="1"/>
  <c r="F33" i="36"/>
  <c r="H27" i="37"/>
  <c r="J27" i="37"/>
  <c r="H40" i="37"/>
  <c r="J40" i="37"/>
  <c r="F40" i="37"/>
  <c r="AA8" i="39"/>
  <c r="S8" i="39"/>
  <c r="BL541" i="3"/>
  <c r="AZ541" i="3" s="1"/>
  <c r="BL540" i="3"/>
  <c r="AZ540" i="3" s="1"/>
  <c r="BA539" i="3"/>
  <c r="AZ539" i="3" s="1"/>
  <c r="BL538" i="3"/>
  <c r="AZ538" i="3" s="1"/>
  <c r="BL537" i="3"/>
  <c r="AZ537" i="3" s="1"/>
  <c r="BA535" i="3"/>
  <c r="AZ535" i="3" s="1"/>
  <c r="BL533" i="3"/>
  <c r="AZ533" i="3" s="1"/>
  <c r="BA531" i="3"/>
  <c r="AZ531" i="3" s="1"/>
  <c r="BL530" i="3"/>
  <c r="AZ530" i="3" s="1"/>
  <c r="BL529" i="3"/>
  <c r="AZ529" i="3" s="1"/>
  <c r="BA528" i="3"/>
  <c r="AZ528" i="3" s="1"/>
  <c r="BA527" i="3"/>
  <c r="AZ527" i="3" s="1"/>
  <c r="BA526" i="3"/>
  <c r="AZ526" i="3" s="1"/>
  <c r="BL525" i="3"/>
  <c r="AZ525" i="3" s="1"/>
  <c r="BA524" i="3"/>
  <c r="AZ524" i="3" s="1"/>
  <c r="BA523" i="3"/>
  <c r="AZ523" i="3" s="1"/>
  <c r="BL522" i="3"/>
  <c r="BA522" i="3"/>
  <c r="BL521" i="3"/>
  <c r="AZ521" i="3" s="1"/>
  <c r="G521" i="3"/>
  <c r="BL518" i="3"/>
  <c r="BA518" i="3"/>
  <c r="BL517" i="3"/>
  <c r="BA517" i="3"/>
  <c r="BA516" i="3"/>
  <c r="AZ516" i="3" s="1"/>
  <c r="BA514" i="3"/>
  <c r="AZ514" i="3" s="1"/>
  <c r="BL513" i="3"/>
  <c r="BA513" i="3"/>
  <c r="BL512" i="3"/>
  <c r="AZ512" i="3" s="1"/>
  <c r="BL510" i="3"/>
  <c r="AZ510" i="3" s="1"/>
  <c r="BL509" i="3"/>
  <c r="AZ509" i="3" s="1"/>
  <c r="BA507" i="3"/>
  <c r="AZ507" i="3" s="1"/>
  <c r="BA506" i="3"/>
  <c r="AZ506" i="3" s="1"/>
  <c r="BL505" i="3"/>
  <c r="AZ505" i="3" s="1"/>
  <c r="BA503" i="3"/>
  <c r="AZ503" i="3" s="1"/>
  <c r="BL502" i="3"/>
  <c r="AZ502" i="3" s="1"/>
  <c r="BL501" i="3"/>
  <c r="AZ501" i="3" s="1"/>
  <c r="BL500" i="3"/>
  <c r="BA500" i="3"/>
  <c r="BL499" i="3"/>
  <c r="BA499" i="3"/>
  <c r="BL497" i="3"/>
  <c r="AZ497" i="3" s="1"/>
  <c r="BL495" i="3"/>
  <c r="BA495" i="3"/>
  <c r="BO5" i="3"/>
  <c r="BL494" i="3"/>
  <c r="BJ5" i="3"/>
  <c r="BF5" i="3"/>
  <c r="BA494" i="3"/>
  <c r="BB5" i="3"/>
  <c r="H5" i="3"/>
  <c r="BS5" i="3"/>
  <c r="F28" i="6" s="1"/>
  <c r="BN5" i="3"/>
  <c r="G29" i="6" s="1"/>
  <c r="BK5" i="3"/>
  <c r="BG5" i="3"/>
  <c r="BC5" i="3"/>
  <c r="G493" i="3"/>
  <c r="AC5" i="3"/>
  <c r="E15" i="71"/>
  <c r="E14" i="71" s="1"/>
  <c r="E13" i="71" s="1"/>
  <c r="E12" i="71" s="1"/>
  <c r="V16" i="71"/>
  <c r="AA13" i="21"/>
  <c r="S13" i="21"/>
  <c r="AA17" i="37"/>
  <c r="S17" i="37"/>
  <c r="AC33" i="34"/>
  <c r="W33" i="34"/>
  <c r="AB44" i="34"/>
  <c r="U44" i="34"/>
  <c r="S40" i="34"/>
  <c r="AA40" i="34"/>
  <c r="S39" i="34"/>
  <c r="AA39" i="34"/>
  <c r="W34" i="33"/>
  <c r="AC34" i="33"/>
  <c r="F29" i="6"/>
  <c r="D20" i="71"/>
  <c r="U20" i="71" s="1"/>
  <c r="T20" i="71"/>
  <c r="V20" i="71"/>
  <c r="AB45" i="21"/>
  <c r="S37" i="21"/>
  <c r="AC23" i="33"/>
  <c r="U25" i="33"/>
  <c r="U27" i="33"/>
  <c r="S12" i="33"/>
  <c r="U30" i="40"/>
  <c r="AB44" i="33"/>
  <c r="AA8" i="34"/>
  <c r="AC40" i="34"/>
  <c r="S32" i="34"/>
  <c r="AC29" i="34"/>
  <c r="U13" i="39"/>
  <c r="S31" i="40"/>
  <c r="S43" i="33"/>
  <c r="AA36" i="33"/>
  <c r="S36" i="33"/>
  <c r="AC35" i="37"/>
  <c r="U32" i="37"/>
  <c r="S36" i="37"/>
  <c r="AB31" i="37"/>
  <c r="S16" i="36"/>
  <c r="W27" i="34"/>
  <c r="W39" i="34"/>
  <c r="AC39" i="34"/>
  <c r="S35" i="33"/>
  <c r="AA35" i="33"/>
  <c r="AB25" i="37"/>
  <c r="U20" i="36"/>
  <c r="AB20" i="36"/>
  <c r="AZ351" i="3"/>
  <c r="AZ327" i="3"/>
  <c r="H64" i="43"/>
  <c r="H67" i="43"/>
  <c r="S11" i="39"/>
  <c r="W11" i="39"/>
  <c r="AC11" i="39"/>
  <c r="AB25" i="39"/>
  <c r="U25" i="39"/>
  <c r="AC13" i="40"/>
  <c r="AB32" i="40"/>
  <c r="U32" i="40"/>
  <c r="AA37" i="37"/>
  <c r="S37" i="37"/>
  <c r="H24" i="35"/>
  <c r="BA493" i="3"/>
  <c r="AZ493" i="3" s="1"/>
  <c r="AZ542" i="3"/>
  <c r="AZ556" i="3"/>
  <c r="AC36" i="37"/>
  <c r="W36" i="37"/>
  <c r="F27" i="37"/>
  <c r="U13" i="40"/>
  <c r="AB13" i="40"/>
  <c r="AC35" i="40"/>
  <c r="W35" i="40"/>
  <c r="AA33" i="40"/>
  <c r="S33" i="40"/>
  <c r="AB12" i="40"/>
  <c r="U12" i="40"/>
  <c r="AB30" i="33"/>
  <c r="U30" i="33"/>
  <c r="AB36" i="37"/>
  <c r="U36" i="37"/>
  <c r="S13" i="36"/>
  <c r="AA13" i="36"/>
  <c r="S33" i="35"/>
  <c r="AA33" i="35"/>
  <c r="AA28" i="33"/>
  <c r="S28" i="33"/>
  <c r="AA28" i="40"/>
  <c r="S28" i="40"/>
  <c r="AA37" i="40"/>
  <c r="S37" i="40"/>
  <c r="AB14" i="35"/>
  <c r="U14" i="35"/>
  <c r="U34" i="21"/>
  <c r="U34" i="34"/>
  <c r="U9" i="39"/>
  <c r="AA35" i="39"/>
  <c r="S35" i="39"/>
  <c r="AC44" i="39"/>
  <c r="W44" i="39"/>
  <c r="S45" i="39"/>
  <c r="AA45" i="39"/>
  <c r="F12" i="21"/>
  <c r="J12" i="21"/>
  <c r="H12" i="21"/>
  <c r="B72" i="43"/>
  <c r="C15" i="39"/>
  <c r="B61" i="43"/>
  <c r="C19" i="39"/>
  <c r="B101" i="43"/>
  <c r="B79" i="43"/>
  <c r="C25" i="39"/>
  <c r="B58" i="43"/>
  <c r="B97" i="43"/>
  <c r="B75" i="43"/>
  <c r="B65" i="43"/>
  <c r="B84" i="43"/>
  <c r="C17" i="40"/>
  <c r="B90" i="43"/>
  <c r="C21" i="40"/>
  <c r="J13" i="33"/>
  <c r="F13" i="33"/>
  <c r="J29" i="33"/>
  <c r="H29" i="33"/>
  <c r="F29" i="33"/>
  <c r="J31" i="33"/>
  <c r="H31" i="33"/>
  <c r="H45" i="33"/>
  <c r="J45" i="33"/>
  <c r="F45" i="33"/>
  <c r="J12" i="34"/>
  <c r="F12" i="34"/>
  <c r="H12" i="34"/>
  <c r="J14" i="34"/>
  <c r="F14" i="34"/>
  <c r="H14" i="34"/>
  <c r="F30" i="34"/>
  <c r="J30" i="34"/>
  <c r="H32" i="34"/>
  <c r="J32" i="34"/>
  <c r="H46" i="34"/>
  <c r="F46" i="34"/>
  <c r="H12" i="35"/>
  <c r="J12" i="35"/>
  <c r="AC28" i="36"/>
  <c r="W28" i="36"/>
  <c r="H9" i="36"/>
  <c r="F9" i="36"/>
  <c r="H13" i="36"/>
  <c r="J13" i="36"/>
  <c r="C28" i="67"/>
  <c r="AA34" i="21"/>
  <c r="S34" i="21"/>
  <c r="B94" i="43"/>
  <c r="B73" i="43"/>
  <c r="B99" i="43"/>
  <c r="B76" i="43"/>
  <c r="C27" i="39"/>
  <c r="AB33" i="33"/>
  <c r="U33" i="33"/>
  <c r="H36" i="35"/>
  <c r="J36" i="35"/>
  <c r="AB30" i="37"/>
  <c r="U30" i="37"/>
  <c r="AC8" i="40"/>
  <c r="W8" i="40"/>
  <c r="AB34" i="40"/>
  <c r="U34" i="40"/>
  <c r="AB40" i="40"/>
  <c r="U40" i="40"/>
  <c r="AZ385" i="3"/>
  <c r="AZ211" i="3"/>
  <c r="AZ219" i="3"/>
  <c r="AZ236" i="3"/>
  <c r="AZ252" i="3"/>
  <c r="AZ272" i="3"/>
  <c r="AZ276" i="3"/>
  <c r="G551" i="3"/>
  <c r="G5" i="3" s="1"/>
  <c r="B3" i="3" s="1"/>
  <c r="BL548" i="3"/>
  <c r="AZ548" i="3" s="1"/>
  <c r="AZ400" i="3"/>
  <c r="AZ413" i="3"/>
  <c r="AZ424" i="3"/>
  <c r="AZ429" i="3"/>
  <c r="AZ439" i="3"/>
  <c r="AZ444" i="3"/>
  <c r="AZ456" i="3"/>
  <c r="AZ466" i="3"/>
  <c r="AZ472" i="3"/>
  <c r="AZ475" i="3"/>
  <c r="AZ483" i="3"/>
  <c r="AZ489" i="3"/>
  <c r="AZ316" i="3"/>
  <c r="AZ332" i="3"/>
  <c r="AZ397" i="3"/>
  <c r="AZ267" i="3"/>
  <c r="A15" i="62"/>
  <c r="B61" i="72" s="1"/>
  <c r="AZ293" i="3"/>
  <c r="AZ161" i="3"/>
  <c r="AZ177" i="3"/>
  <c r="AZ193" i="3"/>
  <c r="AZ48" i="3"/>
  <c r="AZ60" i="3"/>
  <c r="AZ301" i="3"/>
  <c r="AZ23" i="3"/>
  <c r="AZ27" i="3"/>
  <c r="AZ56" i="3"/>
  <c r="AZ73" i="3"/>
  <c r="AZ78" i="3"/>
  <c r="AZ87" i="3"/>
  <c r="AZ91" i="3"/>
  <c r="AZ95" i="3"/>
  <c r="AZ98" i="3"/>
  <c r="AZ100" i="3"/>
  <c r="AZ104" i="3"/>
  <c r="S21" i="21"/>
  <c r="U18" i="36"/>
  <c r="B28" i="71"/>
  <c r="X26" i="71"/>
  <c r="X28" i="71"/>
  <c r="Y29" i="71"/>
  <c r="Z29" i="71" s="1"/>
  <c r="Y25" i="71"/>
  <c r="Z25" i="71" s="1"/>
  <c r="Y26" i="71"/>
  <c r="Z26" i="71" s="1"/>
  <c r="Y27" i="71"/>
  <c r="Z27" i="71" s="1"/>
  <c r="Y28" i="71"/>
  <c r="Z28" i="71" s="1"/>
  <c r="F30" i="71"/>
  <c r="F31" i="71" s="1"/>
  <c r="F32" i="71" s="1"/>
  <c r="V32" i="71" s="1"/>
  <c r="AA30" i="71"/>
  <c r="AA31" i="71"/>
  <c r="Y32" i="71"/>
  <c r="Z32" i="71" s="1"/>
  <c r="X35" i="71"/>
  <c r="X34" i="71"/>
  <c r="AA32" i="71"/>
  <c r="AA37" i="71"/>
  <c r="X9" i="71"/>
  <c r="X10" i="71"/>
  <c r="AB9" i="71"/>
  <c r="AB10" i="71"/>
  <c r="X22" i="71"/>
  <c r="AA24" i="71"/>
  <c r="Y21" i="71"/>
  <c r="Z21" i="71" s="1"/>
  <c r="AB23" i="71"/>
  <c r="AB21" i="71"/>
  <c r="AA21" i="71"/>
  <c r="X21" i="71"/>
  <c r="Y18" i="71"/>
  <c r="Z18" i="71" s="1"/>
  <c r="X17" i="71"/>
  <c r="Y17" i="71"/>
  <c r="Z17" i="71" s="1"/>
  <c r="AA17" i="71"/>
  <c r="AB18" i="71"/>
  <c r="Y14" i="71"/>
  <c r="Z14" i="71" s="1"/>
  <c r="Y9" i="71"/>
  <c r="Z9" i="71" s="1"/>
  <c r="Y10" i="71"/>
  <c r="Z10" i="71" s="1"/>
  <c r="AA9" i="71"/>
  <c r="AA10" i="71"/>
  <c r="S68" i="71"/>
  <c r="B67" i="71"/>
  <c r="AB24" i="71"/>
  <c r="AA23" i="71"/>
  <c r="AA22" i="71"/>
  <c r="X18" i="71"/>
  <c r="AA18" i="71"/>
  <c r="X13" i="71"/>
  <c r="AA14" i="71"/>
  <c r="AB17" i="71"/>
  <c r="X24" i="71"/>
  <c r="Y24" i="71"/>
  <c r="Z24" i="71" s="1"/>
  <c r="AB15" i="71"/>
  <c r="AB11" i="71"/>
  <c r="AB14" i="71"/>
  <c r="Y12" i="71"/>
  <c r="Z12" i="71" s="1"/>
  <c r="Y13" i="71"/>
  <c r="Z13" i="71" s="1"/>
  <c r="AA11" i="71"/>
  <c r="AA13" i="71"/>
  <c r="X12" i="71"/>
  <c r="Y23" i="71"/>
  <c r="Z23" i="71" s="1"/>
  <c r="Y22" i="71"/>
  <c r="Z22" i="71" s="1"/>
  <c r="X15" i="71"/>
  <c r="AA15" i="71"/>
  <c r="AB12" i="71"/>
  <c r="AB13" i="71"/>
  <c r="Y11" i="71"/>
  <c r="Z11" i="71" s="1"/>
  <c r="AA12" i="71"/>
  <c r="X11" i="71"/>
  <c r="X14" i="71"/>
  <c r="H83" i="43"/>
  <c r="S22" i="31"/>
  <c r="R22" i="31" s="1"/>
  <c r="E50" i="43"/>
  <c r="B48" i="43"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G30" i="6"/>
  <c r="G31" i="6" s="1"/>
  <c r="L19" i="6"/>
  <c r="L27" i="6" s="1"/>
  <c r="M6" i="1"/>
  <c r="O6" i="1"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22" i="67"/>
  <c r="AQ13" i="1"/>
  <c r="Q16" i="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G73" i="43" s="1"/>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G76" i="43" s="1"/>
  <c r="H72" i="43"/>
  <c r="G72" i="43" s="1"/>
  <c r="H63" i="43"/>
  <c r="H61" i="43"/>
  <c r="H53" i="43"/>
  <c r="H79" i="43"/>
  <c r="G79" i="43" s="1"/>
  <c r="D17" i="53"/>
  <c r="B36" i="72" s="1"/>
  <c r="D124" i="9"/>
  <c r="H74" i="43"/>
  <c r="G74" i="43" s="1"/>
  <c r="H57" i="43"/>
  <c r="H66" i="43"/>
  <c r="H68" i="43"/>
  <c r="H80" i="43"/>
  <c r="G80" i="43" s="1"/>
  <c r="H77" i="43"/>
  <c r="G77" i="43" s="1"/>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65" i="67"/>
  <c r="I54" i="67"/>
  <c r="M7" i="15"/>
  <c r="F50" i="15"/>
  <c r="F51" i="15"/>
  <c r="F66" i="67"/>
  <c r="F66" i="15"/>
  <c r="Q71" i="67"/>
  <c r="C27" i="67"/>
  <c r="F65" i="15"/>
  <c r="B13" i="70"/>
  <c r="F64" i="67"/>
  <c r="F68" i="15"/>
  <c r="C36" i="68"/>
  <c r="D9" i="68"/>
  <c r="M24" i="67"/>
  <c r="M22" i="67"/>
  <c r="F40" i="67"/>
  <c r="F26" i="15"/>
  <c r="F42" i="67"/>
  <c r="M29" i="15"/>
  <c r="D4" i="73"/>
  <c r="F16" i="15"/>
  <c r="D6" i="73"/>
  <c r="M9" i="15"/>
  <c r="M6" i="67"/>
  <c r="F36" i="15"/>
  <c r="M26" i="67"/>
  <c r="F6" i="15"/>
  <c r="M8" i="15"/>
  <c r="L47" i="67"/>
  <c r="M23" i="67"/>
  <c r="C36" i="69"/>
  <c r="F43" i="67"/>
  <c r="F9" i="67"/>
  <c r="F8" i="67"/>
  <c r="F42" i="15"/>
  <c r="L48" i="67"/>
  <c r="L47" i="15"/>
  <c r="F13" i="67"/>
  <c r="F27" i="69"/>
  <c r="D3" i="73"/>
  <c r="M9" i="67"/>
  <c r="M28" i="67"/>
  <c r="D9" i="69"/>
  <c r="F6" i="67"/>
  <c r="F7" i="67"/>
  <c r="F43" i="15"/>
  <c r="D7" i="73"/>
  <c r="M23" i="15"/>
  <c r="M80" i="43" l="1"/>
  <c r="N80" i="43" s="1"/>
  <c r="K80" i="43"/>
  <c r="J80" i="43" s="1"/>
  <c r="K74" i="43"/>
  <c r="M74" i="43"/>
  <c r="N74" i="43" s="1"/>
  <c r="K76" i="43"/>
  <c r="M76" i="43"/>
  <c r="N76" i="43" s="1"/>
  <c r="K73" i="43"/>
  <c r="J73" i="43" s="1"/>
  <c r="M73" i="43"/>
  <c r="N73" i="43" s="1"/>
  <c r="K77" i="43"/>
  <c r="J77" i="43" s="1"/>
  <c r="D77" i="43" s="1"/>
  <c r="M77" i="43"/>
  <c r="N77" i="43" s="1"/>
  <c r="M79" i="43"/>
  <c r="N79" i="43" s="1"/>
  <c r="K79" i="43"/>
  <c r="K72" i="43"/>
  <c r="M72" i="43"/>
  <c r="N72" i="43" s="1"/>
  <c r="M78" i="43"/>
  <c r="N78" i="43" s="1"/>
  <c r="K78" i="43"/>
  <c r="AZ101" i="3"/>
  <c r="C60" i="71"/>
  <c r="D59" i="71"/>
  <c r="AZ88" i="3"/>
  <c r="AZ79" i="3"/>
  <c r="AZ74" i="3"/>
  <c r="AZ45" i="3"/>
  <c r="AZ39" i="3"/>
  <c r="AZ35" i="3"/>
  <c r="AZ29" i="3"/>
  <c r="AZ205" i="3"/>
  <c r="AZ125" i="3"/>
  <c r="AZ299" i="3"/>
  <c r="AZ273" i="3"/>
  <c r="AZ269" i="3"/>
  <c r="AZ253" i="3"/>
  <c r="AZ223" i="3"/>
  <c r="AZ221" i="3"/>
  <c r="AZ487" i="3"/>
  <c r="AZ442" i="3"/>
  <c r="AZ437" i="3"/>
  <c r="AC38" i="40"/>
  <c r="W38" i="40"/>
  <c r="AZ495" i="3"/>
  <c r="U39" i="40"/>
  <c r="AB39" i="40"/>
  <c r="AA25" i="37"/>
  <c r="S25" i="37"/>
  <c r="K75" i="43"/>
  <c r="J75" i="43" s="1"/>
  <c r="M75" i="43"/>
  <c r="N75" i="43" s="1"/>
  <c r="D75" i="43" s="1"/>
  <c r="S44" i="21"/>
  <c r="N59" i="67"/>
  <c r="L58" i="67"/>
  <c r="Q73" i="67" s="1"/>
  <c r="L59" i="67"/>
  <c r="Q61" i="67" s="1"/>
  <c r="M59" i="67"/>
  <c r="F71" i="15"/>
  <c r="F68" i="67"/>
  <c r="J57" i="67"/>
  <c r="J55" i="67" s="1"/>
  <c r="J58" i="67" s="1"/>
  <c r="Q50" i="67" s="1"/>
  <c r="J53" i="67"/>
  <c r="Q52" i="67" s="1"/>
  <c r="L56" i="67"/>
  <c r="F31" i="67"/>
  <c r="C6" i="67"/>
  <c r="C27" i="15"/>
  <c r="F71" i="67"/>
  <c r="F50" i="67"/>
  <c r="M7" i="67"/>
  <c r="J6" i="67" s="1"/>
  <c r="J18" i="67" s="1"/>
  <c r="F64" i="15"/>
  <c r="N59" i="15"/>
  <c r="M59" i="15"/>
  <c r="L59" i="15"/>
  <c r="Q61" i="15" s="1"/>
  <c r="L58" i="15"/>
  <c r="Q73" i="15" s="1"/>
  <c r="F51" i="67"/>
  <c r="F31" i="15"/>
  <c r="C6" i="15"/>
  <c r="J6" i="15"/>
  <c r="J18" i="15" s="1"/>
  <c r="BL5" i="3"/>
  <c r="E27" i="71"/>
  <c r="E26" i="71" s="1"/>
  <c r="V28" i="71"/>
  <c r="Q66" i="71"/>
  <c r="Q65" i="71"/>
  <c r="C26" i="71"/>
  <c r="D26" i="71" s="1"/>
  <c r="D27" i="71"/>
  <c r="AC36" i="39"/>
  <c r="W36" i="39"/>
  <c r="S37" i="39"/>
  <c r="AA37" i="39"/>
  <c r="AA44" i="39"/>
  <c r="S44" i="39"/>
  <c r="AB14" i="39"/>
  <c r="U14" i="39"/>
  <c r="AB12" i="39"/>
  <c r="U12" i="39"/>
  <c r="W12" i="39"/>
  <c r="AC12" i="39"/>
  <c r="AB13" i="37"/>
  <c r="U13" i="37"/>
  <c r="AA32" i="36"/>
  <c r="S32" i="36"/>
  <c r="AC12" i="36"/>
  <c r="W12" i="36"/>
  <c r="AC31" i="39"/>
  <c r="W31" i="39"/>
  <c r="U14" i="21"/>
  <c r="AB14" i="21"/>
  <c r="AC14" i="33"/>
  <c r="W14" i="33"/>
  <c r="U13" i="35"/>
  <c r="AB13" i="35"/>
  <c r="AA13" i="35"/>
  <c r="S13" i="35"/>
  <c r="AA47" i="34"/>
  <c r="S47" i="34"/>
  <c r="S45" i="34"/>
  <c r="AA45" i="34"/>
  <c r="U45" i="34"/>
  <c r="AB45" i="34"/>
  <c r="AB31" i="34"/>
  <c r="U31" i="34"/>
  <c r="U29" i="34"/>
  <c r="AB29" i="34"/>
  <c r="AA13" i="34"/>
  <c r="S13" i="34"/>
  <c r="U13" i="34"/>
  <c r="AB13" i="34"/>
  <c r="S46" i="33"/>
  <c r="AA46" i="33"/>
  <c r="S44" i="33"/>
  <c r="AA44" i="33"/>
  <c r="AC30" i="33"/>
  <c r="W30" i="33"/>
  <c r="U12" i="33"/>
  <c r="AB12" i="33"/>
  <c r="C18" i="71"/>
  <c r="D19" i="71"/>
  <c r="W28" i="21"/>
  <c r="AC28" i="21"/>
  <c r="P67" i="71"/>
  <c r="E66" i="71"/>
  <c r="D75" i="71"/>
  <c r="C74" i="71"/>
  <c r="D74" i="71" s="1"/>
  <c r="C66" i="71"/>
  <c r="D67" i="71"/>
  <c r="O67" i="71"/>
  <c r="AZ481" i="3"/>
  <c r="AZ454" i="3"/>
  <c r="AZ544" i="3"/>
  <c r="AZ549" i="3"/>
  <c r="AZ550" i="3"/>
  <c r="S36" i="39"/>
  <c r="AA36" i="39"/>
  <c r="W12" i="40"/>
  <c r="AC12" i="40"/>
  <c r="AC37" i="39"/>
  <c r="W37" i="39"/>
  <c r="AB44" i="39"/>
  <c r="U44" i="39"/>
  <c r="S12" i="39"/>
  <c r="AA12" i="39"/>
  <c r="W13" i="37"/>
  <c r="AC13" i="37"/>
  <c r="AB32" i="36"/>
  <c r="U32" i="36"/>
  <c r="S12" i="36"/>
  <c r="AA12" i="36"/>
  <c r="AA24" i="36"/>
  <c r="S24" i="36"/>
  <c r="S14" i="37"/>
  <c r="AA14" i="37"/>
  <c r="AC24" i="35"/>
  <c r="W24" i="35"/>
  <c r="W13" i="35"/>
  <c r="AC13" i="35"/>
  <c r="W47" i="34"/>
  <c r="AC47" i="34"/>
  <c r="AB47" i="34"/>
  <c r="U47" i="34"/>
  <c r="AC45" i="34"/>
  <c r="W45" i="34"/>
  <c r="AA31" i="34"/>
  <c r="S31" i="34"/>
  <c r="AC31" i="34"/>
  <c r="W31" i="34"/>
  <c r="AA29" i="34"/>
  <c r="S29" i="34"/>
  <c r="AC13" i="34"/>
  <c r="W13" i="34"/>
  <c r="U46" i="33"/>
  <c r="AB46" i="33"/>
  <c r="W46" i="33"/>
  <c r="AC46" i="33"/>
  <c r="W44" i="33"/>
  <c r="AC44" i="33"/>
  <c r="W12" i="33"/>
  <c r="AC12" i="33"/>
  <c r="AZ16" i="3"/>
  <c r="AZ557" i="3"/>
  <c r="AA11" i="36"/>
  <c r="S11" i="36"/>
  <c r="AB28" i="21"/>
  <c r="U28" i="21"/>
  <c r="AC43" i="21"/>
  <c r="W43" i="21"/>
  <c r="K1" i="73"/>
  <c r="F30" i="6"/>
  <c r="E28" i="6"/>
  <c r="K14" i="1" s="1"/>
  <c r="K16" i="1" s="1"/>
  <c r="E510" i="3"/>
  <c r="E329" i="3"/>
  <c r="E205" i="3"/>
  <c r="E16" i="3"/>
  <c r="E296" i="3"/>
  <c r="E188" i="3"/>
  <c r="E140" i="3"/>
  <c r="E223" i="3"/>
  <c r="E116" i="3"/>
  <c r="E173" i="3"/>
  <c r="E105" i="3"/>
  <c r="E369" i="3"/>
  <c r="E564" i="3"/>
  <c r="T6" i="3"/>
  <c r="E405" i="3"/>
  <c r="E427" i="3"/>
  <c r="E456" i="3"/>
  <c r="E486" i="3"/>
  <c r="E469" i="3"/>
  <c r="E422" i="3"/>
  <c r="E408" i="3"/>
  <c r="E440" i="3"/>
  <c r="E451" i="3"/>
  <c r="E490" i="3"/>
  <c r="E376" i="3"/>
  <c r="E556" i="3"/>
  <c r="AH6" i="3"/>
  <c r="J6" i="3"/>
  <c r="E13" i="3"/>
  <c r="E419" i="3"/>
  <c r="E452" i="3"/>
  <c r="E483" i="3"/>
  <c r="E470" i="3"/>
  <c r="E401" i="3"/>
  <c r="E420" i="3"/>
  <c r="E463" i="3"/>
  <c r="E26" i="3"/>
  <c r="E40" i="3"/>
  <c r="E104" i="3"/>
  <c r="E25" i="3"/>
  <c r="E244" i="3"/>
  <c r="E149" i="3"/>
  <c r="E167" i="3"/>
  <c r="E141" i="3"/>
  <c r="E312" i="3"/>
  <c r="AD6" i="3"/>
  <c r="E552" i="3"/>
  <c r="E421" i="3"/>
  <c r="E464" i="3"/>
  <c r="E487" i="3"/>
  <c r="E398" i="3"/>
  <c r="E416" i="3"/>
  <c r="E459" i="3"/>
  <c r="E374" i="3"/>
  <c r="E566" i="3"/>
  <c r="E582" i="3"/>
  <c r="E413" i="3"/>
  <c r="E460" i="3"/>
  <c r="E436" i="3"/>
  <c r="E39" i="3"/>
  <c r="E90"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428" i="3"/>
  <c r="E473" i="3"/>
  <c r="E482" i="3"/>
  <c r="E412" i="3"/>
  <c r="E455" i="3"/>
  <c r="E18" i="3"/>
  <c r="E79" i="3"/>
  <c r="E96" i="3"/>
  <c r="E38" i="3"/>
  <c r="E78" i="3"/>
  <c r="E100" i="3"/>
  <c r="E129" i="3"/>
  <c r="E170" i="3"/>
  <c r="E190" i="3"/>
  <c r="E174" i="3"/>
  <c r="E194" i="3"/>
  <c r="E220" i="3"/>
  <c r="E234" i="3"/>
  <c r="E275" i="3"/>
  <c r="E219" i="3"/>
  <c r="E235" i="3"/>
  <c r="E299" i="3"/>
  <c r="E324" i="3"/>
  <c r="E339" i="3"/>
  <c r="E325" i="3"/>
  <c r="E342" i="3"/>
  <c r="E392" i="3"/>
  <c r="E35" i="3"/>
  <c r="E52" i="3"/>
  <c r="E86" i="3"/>
  <c r="E36" i="3"/>
  <c r="E34" i="3"/>
  <c r="E112" i="3"/>
  <c r="E49" i="3"/>
  <c r="E123" i="3"/>
  <c r="E206" i="3"/>
  <c r="E147" i="3"/>
  <c r="E232" i="3"/>
  <c r="E289" i="3"/>
  <c r="E251" i="3"/>
  <c r="E340" i="3"/>
  <c r="E370" i="3"/>
  <c r="E364" i="3"/>
  <c r="E50" i="3"/>
  <c r="E102" i="3"/>
  <c r="E20" i="3"/>
  <c r="E80" i="3"/>
  <c r="E62" i="3"/>
  <c r="E113" i="3"/>
  <c r="E176" i="3"/>
  <c r="E158" i="3"/>
  <c r="E218" i="3"/>
  <c r="E287" i="3"/>
  <c r="E265" i="3"/>
  <c r="E365" i="3"/>
  <c r="E326" i="3"/>
  <c r="E22" i="3"/>
  <c r="E101" i="3"/>
  <c r="E83" i="3"/>
  <c r="E241" i="3"/>
  <c r="E363" i="3"/>
  <c r="E378"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39" i="3"/>
  <c r="E148" i="3"/>
  <c r="E212" i="3"/>
  <c r="E199" i="3"/>
  <c r="E286" i="3"/>
  <c r="E575" i="3"/>
  <c r="E499" i="3"/>
  <c r="R6" i="3"/>
  <c r="E502" i="3"/>
  <c r="E442" i="3"/>
  <c r="E466" i="3"/>
  <c r="E541" i="3"/>
  <c r="E430" i="3"/>
  <c r="E449" i="3"/>
  <c r="E255" i="3"/>
  <c r="I3" i="6"/>
  <c r="AP6" i="3"/>
  <c r="E554" i="3"/>
  <c r="E517" i="3"/>
  <c r="E435" i="3"/>
  <c r="E491" i="3"/>
  <c r="E417" i="3"/>
  <c r="E479" i="3"/>
  <c r="E56" i="3"/>
  <c r="E37" i="3"/>
  <c r="E57" i="3"/>
  <c r="E95" i="3"/>
  <c r="E131" i="3"/>
  <c r="E152" i="3"/>
  <c r="E187" i="3"/>
  <c r="E132" i="3"/>
  <c r="E155" i="3"/>
  <c r="E192" i="3"/>
  <c r="E240" i="3"/>
  <c r="E258" i="3"/>
  <c r="E297" i="3"/>
  <c r="E259" i="3"/>
  <c r="E292" i="3"/>
  <c r="E348" i="3"/>
  <c r="E349" i="3"/>
  <c r="E375" i="3"/>
  <c r="E504" i="3"/>
  <c r="E58" i="3"/>
  <c r="E110" i="3"/>
  <c r="E488" i="3"/>
  <c r="E462"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5" i="3"/>
  <c r="E137" i="3"/>
  <c r="AQ6" i="3"/>
  <c r="E540" i="3"/>
  <c r="E522" i="3"/>
  <c r="E520" i="3"/>
  <c r="E308" i="3"/>
  <c r="E525" i="3"/>
  <c r="E512" i="3"/>
  <c r="E494" i="3"/>
  <c r="E393" i="3"/>
  <c r="E54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165" i="3"/>
  <c r="AF6" i="3"/>
  <c r="E542" i="3"/>
  <c r="E536" i="3"/>
  <c r="E524" i="3"/>
  <c r="E500" i="3"/>
  <c r="E383" i="3"/>
  <c r="E507" i="3"/>
  <c r="E534" i="3"/>
  <c r="E498" i="3"/>
  <c r="E497" i="3"/>
  <c r="E360" i="3"/>
  <c r="E197"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B15" i="71"/>
  <c r="B14" i="71" s="1"/>
  <c r="B13" i="71" s="1"/>
  <c r="B12" i="71" s="1"/>
  <c r="S16" i="71"/>
  <c r="F7" i="36"/>
  <c r="J7" i="37"/>
  <c r="H7" i="36"/>
  <c r="W36" i="35"/>
  <c r="AC36" i="35"/>
  <c r="W13" i="36"/>
  <c r="AC13" i="36"/>
  <c r="AA9" i="36"/>
  <c r="S9" i="36"/>
  <c r="W12" i="35"/>
  <c r="AC12" i="35"/>
  <c r="AA46" i="34"/>
  <c r="S46" i="34"/>
  <c r="AC32" i="34"/>
  <c r="W32" i="34"/>
  <c r="W30" i="34"/>
  <c r="AC30" i="34"/>
  <c r="AB14" i="34"/>
  <c r="U14" i="34"/>
  <c r="W14" i="34"/>
  <c r="AC14" i="34"/>
  <c r="S12" i="34"/>
  <c r="AA12" i="34"/>
  <c r="S45" i="33"/>
  <c r="AA45" i="33"/>
  <c r="AB45" i="33"/>
  <c r="U45" i="33"/>
  <c r="AC31" i="33"/>
  <c r="W31" i="33"/>
  <c r="AB29" i="33"/>
  <c r="U29" i="33"/>
  <c r="AA13" i="33"/>
  <c r="S13" i="33"/>
  <c r="AC12" i="21"/>
  <c r="W12" i="21"/>
  <c r="AB24" i="35"/>
  <c r="U24" i="35"/>
  <c r="BA5" i="3"/>
  <c r="W40" i="37"/>
  <c r="AC40" i="37"/>
  <c r="W27" i="37"/>
  <c r="AC27" i="37"/>
  <c r="S33" i="36"/>
  <c r="AA33" i="36"/>
  <c r="U33" i="36"/>
  <c r="AB33" i="36"/>
  <c r="AA23" i="36"/>
  <c r="S23" i="36"/>
  <c r="AC23" i="36"/>
  <c r="W23" i="36"/>
  <c r="U34" i="35"/>
  <c r="AB34" i="35"/>
  <c r="U28" i="34"/>
  <c r="AB28" i="34"/>
  <c r="U9" i="34"/>
  <c r="AB9" i="34"/>
  <c r="AC9" i="34"/>
  <c r="W9" i="34"/>
  <c r="AC46" i="21"/>
  <c r="W46" i="21"/>
  <c r="S27" i="21"/>
  <c r="AA27" i="21"/>
  <c r="W27" i="21"/>
  <c r="AC27" i="21"/>
  <c r="B66" i="71"/>
  <c r="N67" i="71"/>
  <c r="B27" i="71"/>
  <c r="B26" i="71" s="1"/>
  <c r="S28" i="71"/>
  <c r="U36" i="35"/>
  <c r="AB36" i="35"/>
  <c r="U13" i="36"/>
  <c r="AB13" i="36"/>
  <c r="AB9" i="36"/>
  <c r="U9" i="36"/>
  <c r="U12" i="35"/>
  <c r="AB12" i="35"/>
  <c r="AB46" i="34"/>
  <c r="U46" i="34"/>
  <c r="AB32" i="34"/>
  <c r="U32" i="34"/>
  <c r="AA30" i="34"/>
  <c r="S30" i="34"/>
  <c r="AA14" i="34"/>
  <c r="S14" i="34"/>
  <c r="AB12" i="34"/>
  <c r="U12" i="34"/>
  <c r="W12" i="34"/>
  <c r="AC12" i="34"/>
  <c r="AC45" i="33"/>
  <c r="W45" i="33"/>
  <c r="U31" i="33"/>
  <c r="AB31" i="33"/>
  <c r="S29" i="33"/>
  <c r="AA29" i="33"/>
  <c r="AC29" i="33"/>
  <c r="W29" i="33"/>
  <c r="W13" i="33"/>
  <c r="AC13" i="33"/>
  <c r="AB12" i="21"/>
  <c r="U12" i="21"/>
  <c r="S12" i="21"/>
  <c r="AA12" i="21"/>
  <c r="AA27" i="37"/>
  <c r="S27" i="37"/>
  <c r="E11" i="71"/>
  <c r="E10" i="71" s="1"/>
  <c r="E9" i="71" s="1"/>
  <c r="E8" i="71" s="1"/>
  <c r="E7" i="71" s="1"/>
  <c r="E6" i="71" s="1"/>
  <c r="E5" i="71" s="1"/>
  <c r="V12" i="71"/>
  <c r="E493" i="3"/>
  <c r="AZ494" i="3"/>
  <c r="AZ499" i="3"/>
  <c r="AZ500" i="3"/>
  <c r="AZ513" i="3"/>
  <c r="AZ517" i="3"/>
  <c r="AZ518" i="3"/>
  <c r="E521" i="3"/>
  <c r="AZ522" i="3"/>
  <c r="AA40" i="37"/>
  <c r="S40" i="37"/>
  <c r="AB40" i="37"/>
  <c r="U40" i="37"/>
  <c r="U27" i="37"/>
  <c r="AB27" i="37"/>
  <c r="AA34" i="36"/>
  <c r="S34" i="36"/>
  <c r="U34" i="36"/>
  <c r="AB34" i="36"/>
  <c r="U23" i="36"/>
  <c r="AB23" i="36"/>
  <c r="S34" i="35"/>
  <c r="AA34" i="35"/>
  <c r="AC34" i="35"/>
  <c r="W34" i="35"/>
  <c r="S28" i="34"/>
  <c r="AA28" i="34"/>
  <c r="S46" i="21"/>
  <c r="AA46" i="21"/>
  <c r="AB46" i="21"/>
  <c r="U46" i="21"/>
  <c r="U27" i="21"/>
  <c r="AB27" i="21"/>
  <c r="D121" i="9"/>
  <c r="D7" i="52" s="1"/>
  <c r="D6" i="52"/>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15"/>
  <c r="F59" i="15"/>
  <c r="P28" i="43"/>
  <c r="B66" i="40" s="1"/>
  <c r="P25" i="43"/>
  <c r="P29" i="43"/>
  <c r="P27" i="43"/>
  <c r="B70" i="39" s="1"/>
  <c r="C49" i="15"/>
  <c r="C32" i="67"/>
  <c r="M11" i="67"/>
  <c r="J10" i="67" s="1"/>
  <c r="F11" i="15"/>
  <c r="M11" i="15"/>
  <c r="J10" i="15" s="1"/>
  <c r="F11" i="67"/>
  <c r="F1" i="15"/>
  <c r="Q52" i="15"/>
  <c r="C32" i="15"/>
  <c r="AE11" i="1"/>
  <c r="AE9" i="1"/>
  <c r="F27" i="68"/>
  <c r="AE7" i="1"/>
  <c r="AE8" i="1"/>
  <c r="AE12" i="1"/>
  <c r="AE10" i="1"/>
  <c r="G1" i="73"/>
  <c r="C16" i="67"/>
  <c r="C16" i="15"/>
  <c r="Q74" i="67" l="1"/>
  <c r="T60" i="71"/>
  <c r="D60" i="71"/>
  <c r="J78" i="43"/>
  <c r="D78" i="43"/>
  <c r="J79" i="43"/>
  <c r="D79" i="43"/>
  <c r="J72" i="43"/>
  <c r="D72" i="43"/>
  <c r="J76" i="43"/>
  <c r="D76" i="43"/>
  <c r="J74" i="43"/>
  <c r="D74" i="43"/>
  <c r="Q60" i="67"/>
  <c r="C49" i="67"/>
  <c r="Q74" i="15"/>
  <c r="J5" i="67"/>
  <c r="J24" i="67" s="1"/>
  <c r="Q60" i="15"/>
  <c r="F1" i="67"/>
  <c r="J5" i="15"/>
  <c r="J24" i="15" s="1"/>
  <c r="M17" i="67"/>
  <c r="F59" i="67"/>
  <c r="AZ5" i="3"/>
  <c r="E3" i="6" s="1"/>
  <c r="D66" i="71"/>
  <c r="O66" i="71"/>
  <c r="O65" i="71"/>
  <c r="C17" i="71"/>
  <c r="D18" i="71"/>
  <c r="P65" i="71"/>
  <c r="P66" i="71"/>
  <c r="B40" i="1"/>
  <c r="L36" i="43" s="1"/>
  <c r="P36" i="43" s="1"/>
  <c r="B11" i="71"/>
  <c r="B10" i="71" s="1"/>
  <c r="B9" i="71" s="1"/>
  <c r="B8" i="71" s="1"/>
  <c r="B7" i="71" s="1"/>
  <c r="B6" i="71" s="1"/>
  <c r="B5" i="71" s="1"/>
  <c r="S12" i="71"/>
  <c r="E65" i="39"/>
  <c r="N65" i="71"/>
  <c r="N66"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D3" i="21"/>
  <c r="M18" i="9"/>
  <c r="B118" i="9" s="1"/>
  <c r="B1" i="74" s="1"/>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M27" i="67"/>
  <c r="AE6" i="1"/>
  <c r="M27" i="15"/>
  <c r="F41" i="15"/>
  <c r="E72" i="43" l="1"/>
  <c r="B70" i="43" s="1"/>
  <c r="C28" i="43" s="1"/>
  <c r="C33" i="43" s="1"/>
  <c r="AY6" i="3"/>
  <c r="F25" i="12"/>
  <c r="C26" i="12" s="1"/>
  <c r="D25" i="12" s="1"/>
  <c r="C48" i="67"/>
  <c r="C66" i="67" s="1"/>
  <c r="L37" i="43"/>
  <c r="P37" i="43" s="1"/>
  <c r="D37" i="11"/>
  <c r="D19" i="11"/>
  <c r="C19" i="11" s="1"/>
  <c r="C17" i="4"/>
  <c r="B4" i="52" s="1"/>
  <c r="B43" i="72" s="1"/>
  <c r="D3" i="37"/>
  <c r="D14" i="12"/>
  <c r="E6" i="6"/>
  <c r="D3" i="34"/>
  <c r="D3" i="33"/>
  <c r="D17" i="71"/>
  <c r="C16" i="71"/>
  <c r="F22" i="68"/>
  <c r="F41" i="68" s="1"/>
  <c r="F24" i="67"/>
  <c r="C24" i="67" s="1"/>
  <c r="F24" i="15"/>
  <c r="C24" i="15" s="1"/>
  <c r="F22" i="11"/>
  <c r="C23" i="11" s="1"/>
  <c r="F22" i="69"/>
  <c r="F41" i="69" s="1"/>
  <c r="D116" i="43"/>
  <c r="O36" i="43"/>
  <c r="N36" i="43"/>
  <c r="M36" i="43"/>
  <c r="Q36"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C14" i="67"/>
  <c r="F41" i="67"/>
  <c r="C17" i="15"/>
  <c r="D10" i="69"/>
  <c r="C34" i="69"/>
  <c r="C17" i="67"/>
  <c r="T10" i="43" l="1"/>
  <c r="V10" i="43" s="1"/>
  <c r="C40" i="43"/>
  <c r="G40" i="43" s="1"/>
  <c r="I40" i="43" s="1"/>
  <c r="T8" i="43"/>
  <c r="V8" i="43" s="1"/>
  <c r="T3" i="43"/>
  <c r="V3" i="43" s="1"/>
  <c r="C39" i="43"/>
  <c r="T7" i="43"/>
  <c r="V7" i="43" s="1"/>
  <c r="T2" i="43"/>
  <c r="V2" i="43" s="1"/>
  <c r="T13" i="43"/>
  <c r="V13" i="43" s="1"/>
  <c r="C37" i="43"/>
  <c r="G37" i="43" s="1"/>
  <c r="I37" i="43" s="1"/>
  <c r="T12" i="43"/>
  <c r="V12" i="43" s="1"/>
  <c r="T11" i="43"/>
  <c r="V11" i="43" s="1"/>
  <c r="T14" i="43"/>
  <c r="V14" i="43" s="1"/>
  <c r="T4" i="43"/>
  <c r="V4" i="43" s="1"/>
  <c r="T5" i="43"/>
  <c r="V5" i="43" s="1"/>
  <c r="C41" i="43"/>
  <c r="G41" i="43" s="1"/>
  <c r="I41" i="43" s="1"/>
  <c r="T16" i="43"/>
  <c r="V16" i="43" s="1"/>
  <c r="T6" i="43"/>
  <c r="V6" i="43" s="1"/>
  <c r="T9" i="43"/>
  <c r="V9" i="43" s="1"/>
  <c r="C42" i="43"/>
  <c r="E42" i="43" s="1"/>
  <c r="T15" i="43"/>
  <c r="V15" i="43" s="1"/>
  <c r="C38" i="43"/>
  <c r="C23" i="68"/>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188" i="3"/>
  <c r="AY297" i="3"/>
  <c r="AY335" i="3"/>
  <c r="AY289" i="3"/>
  <c r="AY209" i="3"/>
  <c r="AY441" i="3"/>
  <c r="AY260" i="3"/>
  <c r="AY310" i="3"/>
  <c r="AY549" i="3"/>
  <c r="AY97" i="3"/>
  <c r="AY44" i="3"/>
  <c r="AY154" i="3"/>
  <c r="AY283" i="3"/>
  <c r="AY230" i="3"/>
  <c r="AY360" i="3"/>
  <c r="AY56" i="3"/>
  <c r="AY295" i="3"/>
  <c r="AY353" i="3"/>
  <c r="AY475" i="3"/>
  <c r="AY398" i="3"/>
  <c r="BM6" i="3"/>
  <c r="BF6" i="3"/>
  <c r="AY510" i="3"/>
  <c r="AY98" i="3"/>
  <c r="AY163" i="3"/>
  <c r="AY334" i="3"/>
  <c r="AY526" i="3"/>
  <c r="AY390" i="3"/>
  <c r="AY447" i="3"/>
  <c r="AY574" i="3"/>
  <c r="AY85" i="3"/>
  <c r="AY25" i="3"/>
  <c r="AY157" i="3"/>
  <c r="AY271" i="3"/>
  <c r="AY211" i="3"/>
  <c r="BI6" i="3"/>
  <c r="AY186" i="3"/>
  <c r="AY243" i="3"/>
  <c r="AY325" i="3"/>
  <c r="AY464" i="3"/>
  <c r="AY403"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66" i="3"/>
  <c r="AY115" i="3"/>
  <c r="AY276" i="3"/>
  <c r="AY225" i="3"/>
  <c r="AY50" i="3"/>
  <c r="AY261" i="3"/>
  <c r="AY473" i="3"/>
  <c r="AY26" i="3"/>
  <c r="AY372" i="3"/>
  <c r="AY420" i="3"/>
  <c r="AY533" i="3"/>
  <c r="AY61" i="3"/>
  <c r="AY190" i="3"/>
  <c r="AY133" i="3"/>
  <c r="AY247" i="3"/>
  <c r="AY397" i="3"/>
  <c r="AY109" i="3"/>
  <c r="AY166" i="3"/>
  <c r="AY242" i="3"/>
  <c r="AY348" i="3"/>
  <c r="AY462" i="3"/>
  <c r="AY581" i="3"/>
  <c r="AY561" i="3"/>
  <c r="AY546" i="3"/>
  <c r="AY16" i="3"/>
  <c r="AY171" i="3"/>
  <c r="AY237" i="3"/>
  <c r="AY444" i="3"/>
  <c r="AY269" i="3"/>
  <c r="AY311" i="3"/>
  <c r="AY535" i="3"/>
  <c r="AY555" i="3"/>
  <c r="AY68" i="3"/>
  <c r="AY178" i="3"/>
  <c r="AY117" i="3"/>
  <c r="AY254" i="3"/>
  <c r="AY365" i="3"/>
  <c r="AY57" i="3"/>
  <c r="AY130" i="3"/>
  <c r="AY393" i="3"/>
  <c r="AY308" i="3"/>
  <c r="AY422"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E37" i="43"/>
  <c r="C34" i="43"/>
  <c r="E34" i="43" s="1"/>
  <c r="C6" i="69"/>
  <c r="F69" i="67"/>
  <c r="E41" i="43"/>
  <c r="G42" i="43"/>
  <c r="I42" i="43" s="1"/>
  <c r="E33" i="43"/>
  <c r="E40" i="43"/>
  <c r="O37" i="43"/>
  <c r="M37" i="43"/>
  <c r="N37" i="43"/>
  <c r="Q37" i="43"/>
  <c r="D16" i="71"/>
  <c r="U16" i="71" s="1"/>
  <c r="C15" i="71"/>
  <c r="T16" i="71"/>
  <c r="C44" i="11"/>
  <c r="D41" i="11" s="1"/>
  <c r="C26" i="68"/>
  <c r="D22" i="68" s="1"/>
  <c r="C44" i="68"/>
  <c r="D41" i="68" s="1"/>
  <c r="C44" i="69"/>
  <c r="D41" i="69" s="1"/>
  <c r="C26" i="69"/>
  <c r="D22" i="69" s="1"/>
  <c r="C26" i="11"/>
  <c r="D22" i="11" s="1"/>
  <c r="C24" i="11"/>
  <c r="C25" i="11"/>
  <c r="H25" i="6"/>
  <c r="C18" i="67"/>
  <c r="C15" i="67"/>
  <c r="H23" i="6"/>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C10" i="69"/>
  <c r="C8" i="69" s="1"/>
  <c r="D19" i="69"/>
  <c r="F50" i="69"/>
  <c r="F50" i="11"/>
  <c r="F50" i="68"/>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G39" i="43" l="1"/>
  <c r="I39" i="43" s="1"/>
  <c r="E39" i="43"/>
  <c r="E38" i="43"/>
  <c r="G38" i="43"/>
  <c r="I38" i="43" s="1"/>
  <c r="C31" i="43" s="1"/>
  <c r="C7" i="69"/>
  <c r="C5" i="69" s="1"/>
  <c r="C23" i="69" s="1"/>
  <c r="D25" i="6"/>
  <c r="R25" i="6" s="1"/>
  <c r="R12" i="1" s="1"/>
  <c r="D22" i="6"/>
  <c r="D24" i="6"/>
  <c r="D26" i="6"/>
  <c r="D14" i="6"/>
  <c r="D9" i="6"/>
  <c r="D29" i="6"/>
  <c r="H21" i="6"/>
  <c r="D19" i="6"/>
  <c r="D23" i="6"/>
  <c r="R23" i="6" s="1"/>
  <c r="R10" i="1" s="1"/>
  <c r="D12" i="6"/>
  <c r="D13" i="6"/>
  <c r="E61" i="40"/>
  <c r="D15" i="6"/>
  <c r="D21" i="6"/>
  <c r="R21" i="6" s="1"/>
  <c r="R8" i="1" s="1"/>
  <c r="D20" i="6"/>
  <c r="R20" i="6" s="1"/>
  <c r="R7" i="1" s="1"/>
  <c r="D8" i="6"/>
  <c r="D6" i="6"/>
  <c r="D10" i="6"/>
  <c r="H22" i="6"/>
  <c r="H24" i="6"/>
  <c r="C18" i="4"/>
  <c r="D5" i="6"/>
  <c r="D11" i="6"/>
  <c r="D28" i="6"/>
  <c r="D30" i="6" s="1"/>
  <c r="H26" i="6"/>
  <c r="C30" i="43"/>
  <c r="C14" i="71"/>
  <c r="D15"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69" i="39"/>
  <c r="J67" i="39"/>
  <c r="I63" i="40"/>
  <c r="H65" i="40"/>
  <c r="I58" i="21"/>
  <c r="J58" i="21" s="1"/>
  <c r="K58" i="21" s="1"/>
  <c r="L58" i="21" s="1"/>
  <c r="M58" i="21" s="1"/>
  <c r="N58" i="21" s="1"/>
  <c r="O58" i="21" s="1"/>
  <c r="H7" i="21" s="1"/>
  <c r="J48" i="35"/>
  <c r="E6" i="76"/>
  <c r="M19" i="9" l="1"/>
  <c r="C118" i="9" s="1"/>
  <c r="B2" i="74" s="1"/>
  <c r="D27" i="6"/>
  <c r="D31" i="6" s="1"/>
  <c r="R24" i="6"/>
  <c r="R11" i="1" s="1"/>
  <c r="D16" i="6"/>
  <c r="C4" i="52"/>
  <c r="B45" i="72" s="1"/>
  <c r="A7" i="51"/>
  <c r="B7" i="72" s="1"/>
  <c r="A10" i="51"/>
  <c r="B9" i="72" s="1"/>
  <c r="R26" i="6"/>
  <c r="R22" i="6"/>
  <c r="R9" i="1" s="1"/>
  <c r="E2" i="76"/>
  <c r="B2" i="43"/>
  <c r="D14" i="71"/>
  <c r="C13"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B6" i="76"/>
  <c r="D8" i="74" l="1"/>
  <c r="D7" i="74"/>
  <c r="I6" i="6"/>
  <c r="I5" i="6"/>
  <c r="B2" i="76"/>
  <c r="B3" i="76" s="1"/>
  <c r="B3" i="43"/>
  <c r="C12" i="71"/>
  <c r="D13" i="71"/>
  <c r="W7" i="21"/>
  <c r="AA7" i="21"/>
  <c r="R48" i="21" s="1"/>
  <c r="R49" i="21" s="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G52" i="21"/>
  <c r="H52" i="21" s="1"/>
  <c r="G53" i="21"/>
  <c r="H53" i="21" s="1"/>
  <c r="F7" i="35"/>
  <c r="F35" i="67"/>
  <c r="F35" i="15"/>
  <c r="M21" i="15"/>
  <c r="M21" i="67"/>
  <c r="T12" i="71" l="1"/>
  <c r="C11" i="71"/>
  <c r="D12" i="71"/>
  <c r="U12" i="71" s="1"/>
  <c r="E48" i="21"/>
  <c r="E53" i="21" s="1"/>
  <c r="F53" i="2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G42" i="35"/>
  <c r="H42" i="35" s="1"/>
  <c r="G43" i="35"/>
  <c r="H43" i="35" s="1"/>
  <c r="K65" i="40"/>
  <c r="L63" i="40"/>
  <c r="I42" i="35"/>
  <c r="J42" i="35" s="1"/>
  <c r="B3" i="69"/>
  <c r="C10" i="71" l="1"/>
  <c r="D11" i="71"/>
  <c r="I53" i="21"/>
  <c r="J53" i="2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0" i="71" l="1"/>
  <c r="C9"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C19" i="9"/>
  <c r="D2" i="33"/>
  <c r="C8" i="71" l="1"/>
  <c r="D9" i="71"/>
  <c r="C102" i="9"/>
  <c r="C21" i="9"/>
  <c r="B3" i="2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4"/>
  <c r="D19" i="9"/>
  <c r="D2" i="37"/>
  <c r="C20" i="9"/>
  <c r="D2" i="36"/>
  <c r="D8" i="71" l="1"/>
  <c r="C7" i="71"/>
  <c r="C103" i="9"/>
  <c r="D22" i="9"/>
  <c r="D10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0" i="1"/>
  <c r="AO7" i="1"/>
  <c r="AO12" i="1"/>
  <c r="AO9" i="1"/>
  <c r="AO6" i="1"/>
  <c r="D20" i="9"/>
  <c r="AO8" i="1"/>
  <c r="D7" i="71" l="1"/>
  <c r="C6" i="71"/>
  <c r="G20" i="9"/>
  <c r="D14" i="74" s="1"/>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6" i="71" l="1"/>
  <c r="C5" i="71"/>
  <c r="D5" i="71" s="1"/>
  <c r="M24" i="43" s="1"/>
  <c r="C32" i="9"/>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F14" i="74" l="1"/>
  <c r="E14" i="74"/>
  <c r="B5" i="74"/>
  <c r="D5" i="74" l="1"/>
  <c r="E97" i="9"/>
  <c r="E96" i="9"/>
  <c r="C96" i="9"/>
  <c r="M55" i="9"/>
  <c r="D59" i="9"/>
  <c r="B48" i="72"/>
  <c r="E4" i="52"/>
  <c r="B21" i="72"/>
  <c r="D7" i="53"/>
  <c r="C86" i="9"/>
  <c r="C93" i="9"/>
  <c r="C73" i="9"/>
  <c r="C78" i="9"/>
  <c r="D9" i="52"/>
  <c r="D123" i="9"/>
  <c r="B49" i="72"/>
  <c r="D5" i="52"/>
  <c r="D119" i="9"/>
  <c r="B32" i="72"/>
  <c r="D14" i="53"/>
  <c r="B53" i="72"/>
  <c r="F5" i="52"/>
  <c r="F119" i="9"/>
  <c r="M54" i="9"/>
  <c r="C85" i="9"/>
  <c r="C95" i="9"/>
  <c r="C97" i="9"/>
  <c r="D58" i="9"/>
  <c r="D56" i="9"/>
  <c r="B51" i="72"/>
  <c r="F4" i="52"/>
  <c r="B52" i="72"/>
  <c r="F118" i="9"/>
  <c r="G118" i="9"/>
  <c r="G4" i="52"/>
  <c r="B47" i="72"/>
  <c r="E118" i="9"/>
  <c r="D118" i="9"/>
  <c r="D4" i="52"/>
  <c r="B22" i="72"/>
  <c r="D6" i="53"/>
  <c r="N60" i="9"/>
  <c r="N59" i="9"/>
  <c r="N61" i="9"/>
  <c r="H5" i="52"/>
  <c r="H119" i="9"/>
  <c r="B31" i="72"/>
  <c r="D15" i="53"/>
  <c r="C105" i="9"/>
  <c r="I4" i="52"/>
  <c r="H4" i="52"/>
  <c r="C104" i="9"/>
  <c r="H108" i="9"/>
  <c r="C6" i="74"/>
  <c r="P57" i="9"/>
  <c r="D55" i="9"/>
  <c r="M53" i="9"/>
  <c r="N57" i="9"/>
  <c r="N58" i="9"/>
  <c r="D54" i="9"/>
  <c r="C64" i="9"/>
  <c r="C63" i="9"/>
  <c r="C67" i="9"/>
  <c r="C68" i="9"/>
  <c r="M48" i="9"/>
  <c r="H102" i="9"/>
  <c r="C5" i="74"/>
  <c r="D52" i="9"/>
  <c r="D53" i="9"/>
  <c r="D122" i="9"/>
  <c r="D8" i="52"/>
  <c r="H107" i="9"/>
  <c r="D13" i="53"/>
  <c r="B30" i="72"/>
  <c r="C81" i="9"/>
  <c r="D45" i="9"/>
  <c r="C72" i="9"/>
  <c r="C79" i="9"/>
  <c r="C80" i="9"/>
  <c r="E80" i="9"/>
  <c r="E81" i="9"/>
  <c r="I118" i="9"/>
  <c r="H118" i="9"/>
  <c r="H101" i="9"/>
  <c r="D5" i="53"/>
  <c r="B2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<sst xmlns="http://schemas.openxmlformats.org/spreadsheetml/2006/main" count="7871" uniqueCount="3444">
  <si>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</si>
  <si>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</si>
  <si>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</si>
  <si>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</si>
  <si>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</si>
  <si>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</si>
  <si>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</si>
  <si>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</si>
  <si>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</si>
  <si>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</si>
  <si>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</si>
  <si>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</si>
  <si>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</si>
  <si>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</si>
  <si>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</si>
  <si>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</si>
  <si>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</si>
  <si>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</si>
  <si>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</si>
  <si>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</si>
  <si>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</si>
  <si>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</si>
  <si>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</si>
  <si>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</si>
  <si>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</si>
  <si>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</si>
  <si>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</si>
  <si>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</si>
  <si>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</si>
  <si>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</si>
  <si>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</si>
  <si>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</si>
  <si>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</si>
  <si>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</si>
  <si>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</si>
  <si>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</si>
  <si>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</si>
  <si>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</si>
  <si>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</si>
  <si>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</si>
  <si>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</si>
  <si>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</si>
  <si>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</si>
  <si>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</si>
  <si>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</si>
  <si>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</si>
  <si>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</si>
  <si>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</si>
  <si>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</si>
  <si>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</si>
  <si>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</si>
  <si>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</si>
  <si>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</si>
  <si>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</si>
  <si>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</si>
  <si>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</si>
  <si>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</si>
  <si>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</si>
  <si>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</si>
  <si>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</si>
  <si>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</si>
  <si>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</si>
  <si>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</si>
  <si>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</si>
  <si>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</si>
  <si>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</si>
  <si>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</si>
  <si>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</si>
  <si>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</si>
  <si>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</si>
  <si>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</si>
  <si>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</si>
  <si>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</si>
  <si>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</si>
  <si>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</si>
  <si>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</si>
  <si>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</si>
  <si>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</si>
  <si>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</si>
  <si>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</si>
  <si>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</si>
  <si>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</si>
  <si>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</si>
  <si>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</si>
  <si>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</si>
  <si>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</si>
  <si>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</si>
  <si>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</si>
  <si>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</si>
  <si>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</si>
  <si>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</si>
  <si>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</si>
  <si>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</si>
  <si>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</si>
  <si>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</si>
  <si>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</si>
  <si>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</si>
  <si>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</si>
  <si>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</si>
  <si>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</si>
  <si>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</si>
  <si>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</si>
  <si>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</si>
  <si>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</si>
  <si>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</si>
  <si>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</si>
  <si>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</si>
  <si>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</si>
  <si>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</si>
  <si>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</si>
  <si>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</si>
  <si>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</si>
  <si>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</si>
  <si>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</si>
  <si>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</si>
  <si>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</si>
  <si>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</si>
  <si>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</si>
  <si>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</si>
  <si>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</si>
  <si>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</si>
  <si>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</si>
  <si>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</si>
  <si>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</si>
  <si>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</si>
  <si>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</si>
  <si>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</si>
  <si>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</si>
  <si>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</si>
  <si>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</si>
  <si>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</si>
  <si>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</si>
  <si>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</si>
  <si>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</si>
  <si>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</si>
  <si>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</si>
  <si>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</si>
  <si>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</si>
  <si>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</si>
  <si>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</si>
  <si>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</si>
  <si>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</si>
  <si>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</si>
  <si>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</si>
  <si>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</si>
  <si>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</si>
  <si>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</si>
  <si>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</si>
  <si>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</si>
  <si>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</si>
  <si>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</si>
  <si>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</si>
  <si>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</si>
  <si>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</si>
  <si>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</si>
  <si>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</si>
  <si>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</si>
  <si>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</si>
  <si>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</si>
  <si>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</si>
  <si>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</si>
  <si>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</si>
  <si>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</si>
  <si>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</si>
  <si>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</si>
  <si>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</si>
  <si>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</si>
  <si>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</si>
  <si>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</si>
  <si>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</si>
  <si>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</si>
  <si>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</si>
  <si>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</si>
  <si>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</si>
  <si>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</si>
  <si>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</si>
  <si>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</si>
  <si>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</si>
  <si>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</si>
  <si>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</si>
  <si>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</si>
  <si>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</si>
  <si>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</si>
  <si>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</si>
  <si>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</si>
  <si>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</si>
  <si>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</si>
  <si>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</si>
  <si>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</si>
  <si>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</si>
  <si>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</si>
  <si>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</si>
  <si>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</si>
  <si>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</si>
  <si>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</si>
  <si>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</si>
  <si>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</si>
  <si>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</si>
  <si>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</si>
  <si>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</si>
  <si>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</si>
  <si>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</si>
  <si>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</si>
  <si>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</si>
  <si>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</si>
  <si>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</si>
  <si>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</si>
  <si>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</si>
  <si>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</si>
  <si>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</si>
  <si>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</si>
  <si>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</si>
  <si>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</si>
  <si>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</si>
  <si>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</si>
  <si>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</si>
  <si>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</si>
  <si>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</si>
  <si>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</si>
  <si>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</si>
  <si>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</si>
  <si>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</si>
  <si>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</si>
  <si>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</si>
  <si>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</si>
  <si>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</si>
  <si>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</si>
  <si>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</si>
  <si>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</si>
  <si>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</si>
  <si>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</si>
  <si>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</si>
  <si>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</si>
  <si>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</si>
  <si>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</si>
  <si>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</si>
  <si>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</si>
  <si>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</si>
  <si>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</si>
  <si>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</si>
  <si>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</si>
  <si>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</si>
  <si>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</si>
  <si>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</si>
  <si>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</si>
  <si>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</si>
  <si>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</si>
  <si>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</si>
  <si>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</si>
  <si>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</si>
  <si>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</si>
  <si>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</si>
  <si>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</si>
  <si>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</si>
  <si>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</si>
  <si>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</si>
  <si>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</si>
  <si>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</si>
  <si>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</si>
  <si>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</si>
  <si>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</si>
  <si>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</si>
  <si>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</si>
  <si>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</si>
  <si>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</si>
  <si>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</si>
  <si>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</si>
  <si>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</si>
  <si>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</si>
  <si>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</si>
  <si>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</si>
  <si>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</si>
  <si>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</si>
  <si>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</si>
  <si>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</si>
  <si>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</si>
  <si>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</si>
  <si>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</si>
  <si>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</si>
  <si>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</si>
  <si>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</si>
  <si>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</si>
  <si>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</si>
  <si>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</si>
  <si>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</si>
  <si>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</si>
  <si>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</si>
  <si>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</si>
  <si>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</si>
  <si>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</si>
  <si>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</si>
  <si>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</si>
  <si>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</si>
  <si>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</si>
  <si>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</si>
  <si>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</si>
  <si>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</si>
  <si>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</si>
  <si>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</si>
  <si>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</si>
  <si>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</si>
  <si>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</si>
  <si>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</si>
  <si>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</si>
  <si>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</si>
  <si>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</si>
  <si>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</si>
  <si>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</si>
  <si>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</si>
  <si>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</si>
  <si>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</si>
  <si>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</si>
  <si>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</si>
  <si>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</si>
  <si>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</si>
  <si>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</si>
  <si>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</si>
  <si>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</si>
  <si>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</si>
  <si>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</si>
  <si>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</si>
  <si>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</si>
  <si>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</si>
  <si>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</si>
  <si>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</si>
  <si>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</si>
  <si>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</si>
  <si>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</si>
  <si>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</si>
  <si>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</si>
  <si>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</si>
  <si>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</si>
  <si>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</si>
  <si>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</si>
  <si>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</si>
  <si>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</si>
  <si>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</si>
  <si>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</si>
  <si>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</si>
  <si>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</si>
  <si>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</si>
  <si>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</si>
  <si>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</si>
  <si>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</si>
  <si>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</si>
  <si>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</si>
  <si>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</si>
  <si>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</si>
  <si>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</si>
  <si>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</si>
  <si>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</si>
  <si>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</si>
  <si>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</si>
  <si>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</si>
  <si>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</si>
  <si>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</si>
  <si>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</si>
  <si>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</si>
  <si>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</si>
  <si>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</si>
  <si>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</si>
  <si>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</si>
  <si>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</si>
  <si>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</si>
  <si>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</si>
  <si>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</si>
  <si>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</si>
  <si>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</si>
  <si>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</si>
  <si>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</si>
  <si>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</si>
  <si>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</si>
  <si>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</si>
  <si>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</si>
  <si>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</si>
  <si>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</si>
  <si>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</si>
  <si>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</si>
  <si>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</si>
  <si>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</si>
  <si>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</si>
  <si>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</si>
  <si>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</si>
  <si>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</si>
  <si>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</si>
  <si>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</si>
  <si>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</si>
  <si>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</si>
  <si>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</si>
  <si>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</si>
  <si>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</si>
  <si>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</si>
  <si>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</si>
  <si>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</si>
  <si>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</si>
  <si>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</si>
  <si>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</si>
  <si>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</si>
  <si>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</si>
  <si>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</si>
  <si>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</si>
  <si>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</si>
  <si>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</si>
  <si>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</si>
  <si>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</si>
  <si>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</si>
  <si>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</si>
  <si>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</si>
  <si>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</si>
  <si>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</si>
  <si>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</si>
  <si>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</si>
  <si>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</si>
  <si>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</si>
  <si>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</si>
  <si>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</si>
  <si>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</si>
  <si>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</si>
  <si>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</si>
  <si>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</si>
  <si>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</si>
  <si>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</si>
  <si>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</si>
  <si>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</si>
  <si>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</si>
  <si>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</si>
  <si>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</si>
  <si>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</si>
  <si>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</si>
  <si>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</si>
  <si>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</si>
  <si>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</si>
  <si>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</si>
  <si>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</si>
  <si>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</si>
  <si>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</si>
  <si>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</si>
  <si>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</si>
  <si>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</si>
  <si>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</si>
  <si>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</si>
  <si>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</si>
  <si>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</si>
  <si>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</si>
  <si>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</si>
  <si>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</si>
  <si>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</si>
  <si>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</si>
  <si>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</si>
  <si>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</si>
  <si>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</si>
  <si>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</si>
  <si>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</si>
  <si>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</si>
  <si>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</si>
  <si>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</si>
  <si>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</si>
  <si>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</si>
  <si>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</si>
  <si>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</si>
  <si>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</si>
  <si>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</si>
  <si>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</si>
  <si>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</si>
  <si>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</si>
  <si>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</si>
  <si>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</si>
  <si>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</si>
  <si>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</si>
  <si>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</si>
  <si>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</si>
  <si>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</si>
  <si>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</si>
  <si>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</si>
  <si>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</si>
  <si>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</si>
  <si>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</si>
  <si>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</si>
  <si>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</si>
  <si>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</si>
  <si>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</si>
  <si>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</si>
  <si>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</si>
  <si>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</si>
  <si>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</si>
  <si>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</si>
  <si>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</si>
  <si>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</si>
  <si>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</si>
  <si>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</si>
  <si>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</si>
  <si>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</si>
  <si>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</si>
  <si>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</si>
  <si>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</si>
  <si>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</si>
  <si>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</si>
  <si>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</si>
  <si>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</si>
  <si>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</si>
  <si>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</si>
  <si>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</si>
  <si>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</si>
  <si>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</si>
  <si>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</si>
  <si>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</si>
  <si>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</si>
  <si>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</si>
  <si>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</si>
  <si>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</si>
  <si>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</si>
  <si>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</si>
  <si>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</si>
  <si>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</si>
  <si>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</si>
  <si>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</si>
  <si>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</si>
  <si>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</si>
  <si>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</si>
  <si>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</si>
  <si>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</si>
  <si>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</si>
  <si>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</si>
  <si>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</si>
  <si>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</si>
  <si>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</si>
  <si>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</si>
  <si>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</si>
  <si>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</si>
  <si>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</si>
  <si>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</si>
  <si>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</si>
  <si>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</si>
  <si>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</si>
  <si>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</si>
  <si>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</si>
  <si>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</si>
  <si>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</si>
  <si>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</si>
  <si>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</si>
  <si>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</si>
  <si>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</si>
  <si>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</si>
  <si>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</si>
  <si>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</si>
  <si>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</si>
  <si>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</si>
  <si>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</si>
  <si>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</si>
  <si>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</si>
  <si>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</si>
  <si>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</si>
  <si>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</si>
  <si>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</si>
  <si>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</si>
  <si>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</si>
  <si>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</si>
  <si>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</si>
  <si>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</si>
  <si>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</si>
  <si>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</si>
  <si>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</si>
  <si>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</si>
  <si>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</si>
  <si>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</si>
  <si>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</si>
  <si>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</si>
  <si>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</si>
  <si>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</si>
  <si>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</si>
  <si>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</si>
  <si>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</si>
  <si>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</si>
  <si>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</si>
  <si>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</si>
  <si>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</si>
  <si>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</si>
  <si>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</si>
  <si>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</si>
  <si>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</si>
  <si>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</si>
  <si>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</si>
  <si>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</si>
  <si>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</si>
  <si>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</si>
  <si>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</si>
  <si>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</si>
  <si>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</si>
  <si>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</si>
  <si>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</si>
  <si>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</si>
  <si>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</si>
  <si>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</si>
  <si>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</si>
  <si>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</si>
  <si>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</si>
  <si>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</si>
  <si>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</si>
  <si>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</si>
  <si>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</si>
  <si>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</si>
  <si>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</si>
  <si>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</si>
  <si>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</si>
  <si>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</si>
  <si>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</si>
  <si>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</si>
  <si>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</si>
  <si>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</si>
  <si>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</si>
  <si>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</si>
  <si>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</si>
  <si>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</si>
  <si>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</si>
  <si>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</si>
  <si>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</si>
  <si>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</si>
  <si>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</si>
  <si>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</si>
  <si>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</si>
  <si>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</si>
  <si>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</si>
  <si>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</si>
  <si>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</si>
  <si>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</si>
  <si>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</si>
  <si>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</si>
  <si>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</si>
  <si>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</si>
  <si>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</si>
  <si>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</si>
  <si>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</si>
  <si>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</si>
  <si>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</si>
  <si>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</si>
  <si>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</si>
  <si>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</si>
  <si>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</si>
  <si>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</si>
  <si>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</si>
  <si>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</si>
  <si>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</si>
  <si>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</si>
  <si>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</si>
  <si>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</si>
  <si>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</si>
  <si>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</si>
  <si>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</si>
  <si>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</si>
  <si>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</si>
  <si>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</si>
  <si>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</si>
  <si>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</si>
  <si>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</si>
  <si>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</si>
  <si>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</si>
  <si>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</si>
  <si>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</si>
  <si>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</si>
  <si>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</si>
  <si>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</si>
  <si>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</si>
  <si>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</si>
  <si>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</si>
  <si>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</si>
  <si>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</si>
  <si>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</si>
  <si>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</si>
  <si>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</si>
  <si>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</si>
  <si>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</si>
  <si>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</si>
  <si>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</si>
  <si>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</si>
  <si>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</si>
  <si>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</si>
  <si>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</si>
  <si>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</si>
  <si>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</si>
  <si>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</si>
  <si>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</si>
  <si>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</si>
  <si>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</si>
  <si>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</si>
  <si>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</si>
  <si>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</si>
  <si>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</si>
  <si>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</si>
  <si>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</si>
  <si>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</si>
  <si>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</si>
  <si>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</si>
  <si>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</si>
  <si>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</si>
  <si>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</si>
  <si>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</si>
  <si>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</si>
  <si>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</si>
  <si>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</si>
  <si>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</si>
  <si>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</si>
  <si>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</si>
  <si>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</si>
  <si>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</si>
  <si>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</si>
  <si>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</si>
  <si>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</si>
  <si>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</si>
  <si>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</si>
  <si>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</si>
  <si>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</si>
  <si>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</si>
  <si>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</si>
  <si>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</si>
  <si>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</si>
  <si>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</si>
  <si>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</si>
  <si>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</si>
  <si>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</si>
  <si>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</si>
  <si>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</si>
  <si>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</si>
  <si>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</si>
  <si>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</si>
  <si>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</si>
  <si>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</si>
  <si>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</si>
  <si>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</si>
  <si>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</si>
  <si>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</si>
  <si>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</si>
  <si>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</si>
  <si>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</si>
  <si>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</si>
  <si>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</si>
  <si>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</si>
  <si>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</si>
  <si>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</si>
  <si>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</si>
  <si>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</si>
  <si>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</si>
  <si>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</si>
  <si>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</si>
  <si>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</si>
  <si>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</si>
  <si>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</si>
  <si>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</si>
  <si>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</si>
  <si>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</si>
  <si>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</si>
  <si>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</si>
  <si>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</si>
  <si>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</si>
  <si>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</si>
  <si>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</si>
  <si>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</si>
  <si>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</si>
  <si>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</si>
  <si>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</si>
  <si>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</si>
  <si>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</si>
  <si>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</si>
  <si>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</si>
  <si>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</si>
  <si>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</si>
  <si>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</si>
  <si>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</si>
  <si>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</si>
  <si>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</si>
  <si>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</si>
  <si>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</si>
  <si>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</si>
  <si>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</si>
  <si>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</si>
  <si>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</si>
  <si>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</si>
  <si>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</si>
  <si>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</si>
  <si>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</si>
  <si>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</si>
  <si>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</si>
  <si>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</si>
  <si>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</si>
  <si>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</si>
  <si>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</si>
  <si>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</si>
  <si>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</si>
  <si>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</si>
  <si>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</si>
  <si>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</si>
  <si>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</si>
  <si>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</si>
  <si>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</si>
  <si>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</si>
  <si>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</si>
  <si>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</si>
  <si>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</si>
  <si>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</si>
  <si>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</si>
  <si>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</si>
  <si>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</si>
  <si>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</si>
  <si>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</si>
  <si>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</si>
  <si>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</si>
  <si>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</si>
  <si>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</si>
  <si>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</si>
  <si>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</si>
  <si>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</si>
  <si>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</si>
  <si>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</si>
  <si>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</si>
  <si>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</si>
  <si>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</si>
  <si>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</si>
  <si>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</si>
  <si>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</si>
  <si>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</si>
  <si>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</si>
  <si>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</si>
  <si>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</si>
  <si>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</si>
  <si>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</si>
  <si>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</si>
  <si>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</si>
  <si>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</si>
  <si>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</si>
  <si>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</si>
  <si>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</si>
  <si>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</si>
  <si>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</si>
  <si>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</si>
  <si>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</si>
  <si>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</si>
  <si>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</si>
  <si>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</si>
  <si>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</si>
  <si>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</si>
  <si>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</si>
  <si>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</si>
  <si>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</si>
  <si>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</si>
  <si>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</si>
  <si>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</si>
  <si>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</si>
  <si>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</si>
  <si>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</si>
  <si>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</si>
  <si>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</si>
  <si>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</si>
  <si>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</si>
  <si>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</si>
  <si>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</si>
  <si>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</si>
  <si>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</si>
  <si>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</si>
  <si>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</si>
  <si>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</si>
  <si>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</si>
  <si>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</si>
  <si>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</si>
  <si>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</si>
  <si>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</si>
  <si>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</si>
  <si>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</si>
  <si>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</si>
  <si>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</si>
  <si>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</si>
  <si>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</si>
  <si>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</si>
  <si>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</si>
  <si>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</si>
  <si>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</si>
  <si>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</si>
  <si>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</si>
  <si>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</si>
  <si>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</si>
  <si>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</si>
  <si>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</si>
  <si>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</si>
  <si>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</si>
  <si>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</si>
  <si>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</si>
  <si>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</si>
  <si>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</si>
  <si>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</si>
  <si>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</si>
  <si>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</si>
  <si>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</si>
  <si>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</si>
  <si>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</si>
  <si>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</si>
  <si>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</si>
  <si>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</si>
  <si>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</si>
  <si>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</si>
  <si>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</si>
  <si>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</si>
  <si>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</si>
  <si>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</si>
  <si>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</si>
  <si>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</si>
  <si>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</si>
  <si>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</si>
  <si>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</si>
  <si>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</si>
  <si>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</si>
  <si>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</si>
  <si>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</si>
  <si>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</si>
  <si>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</si>
  <si>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</si>
  <si>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</si>
  <si>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</si>
  <si>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</si>
  <si>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</si>
  <si>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</si>
  <si>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</si>
  <si>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</si>
  <si>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</si>
  <si>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</si>
  <si>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</si>
  <si>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</si>
  <si>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</si>
  <si>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</si>
  <si>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</si>
  <si>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</si>
  <si>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</si>
  <si>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</si>
  <si>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</si>
  <si>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</si>
  <si>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</si>
  <si>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</si>
  <si>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</si>
  <si>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</si>
  <si>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</si>
  <si>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</si>
  <si>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</si>
  <si>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</si>
  <si>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</si>
  <si>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</si>
  <si>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</si>
  <si>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</si>
  <si>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</si>
  <si>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</si>
  <si>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</si>
  <si>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</si>
  <si>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</si>
  <si>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</si>
  <si>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</si>
  <si>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</si>
  <si>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</si>
  <si>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</si>
  <si>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</si>
  <si>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</si>
  <si>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</si>
  <si>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</si>
  <si>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</si>
  <si>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</si>
  <si>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</si>
  <si>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</si>
  <si>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</si>
  <si>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</si>
  <si>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</si>
  <si>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</si>
  <si>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</si>
  <si>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</si>
  <si>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</si>
  <si>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</si>
  <si>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</si>
  <si>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</si>
  <si>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</si>
  <si>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</si>
  <si>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</si>
  <si>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</si>
  <si>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</si>
  <si>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</si>
  <si>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</si>
  <si>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</si>
  <si>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</si>
  <si>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</si>
  <si>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</si>
  <si>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</si>
  <si>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</si>
  <si>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</si>
  <si>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</si>
  <si>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</si>
  <si>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</si>
  <si>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</si>
  <si>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</si>
  <si>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</si>
  <si>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</si>
  <si>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</si>
  <si>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</si>
  <si>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</si>
  <si>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</si>
  <si>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</si>
  <si>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</si>
  <si>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</si>
  <si>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</si>
  <si>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</si>
  <si>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</si>
  <si>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</si>
  <si>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</si>
  <si>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</si>
  <si>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</si>
  <si>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</si>
  <si>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</si>
  <si>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</si>
  <si>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</si>
  <si>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</si>
  <si>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</si>
  <si>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</si>
  <si>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</si>
  <si>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</si>
  <si>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</si>
  <si>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</si>
  <si>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</si>
  <si>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</si>
  <si>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</si>
  <si>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</si>
  <si>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</si>
  <si>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</si>
  <si>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</si>
  <si>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</si>
  <si>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</si>
  <si>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</si>
  <si>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</si>
  <si>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</si>
  <si>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</si>
  <si>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</si>
  <si>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</si>
  <si>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</si>
  <si>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</si>
  <si>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</si>
  <si>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</si>
  <si>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</si>
  <si>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</si>
  <si>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</si>
  <si>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</si>
  <si>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</si>
  <si>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</si>
  <si>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</si>
  <si>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</si>
  <si>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</si>
  <si>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</si>
  <si>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</si>
  <si>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</si>
  <si>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</si>
  <si>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</si>
  <si>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</si>
  <si>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</si>
  <si>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</si>
  <si>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</si>
  <si>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</si>
  <si>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</si>
  <si>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</si>
  <si>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</si>
  <si>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</si>
  <si>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</si>
  <si>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</si>
  <si>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</si>
  <si>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</si>
  <si>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</si>
  <si>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</si>
  <si>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</si>
  <si>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</si>
  <si>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</si>
  <si>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</si>
  <si>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</si>
  <si>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</si>
  <si>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</si>
  <si>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</si>
  <si>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</si>
  <si>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</si>
  <si>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</si>
  <si>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</si>
  <si>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</si>
  <si>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</si>
  <si>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</si>
  <si>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</si>
  <si>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</si>
  <si>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</si>
  <si>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</si>
  <si>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</si>
  <si>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</si>
  <si>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</si>
  <si>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</si>
  <si>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</si>
  <si>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</si>
  <si>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</si>
  <si>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</si>
  <si>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</si>
  <si>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</si>
  <si>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</si>
  <si>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</si>
  <si>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</si>
  <si>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</si>
  <si>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</si>
  <si>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</si>
  <si>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</si>
  <si>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</si>
  <si>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</si>
  <si>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</si>
  <si>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</si>
  <si>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</si>
  <si>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</si>
  <si>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</si>
  <si>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</si>
  <si>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</si>
  <si>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</si>
  <si>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</si>
  <si>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</si>
  <si>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</si>
  <si>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</si>
  <si>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</si>
  <si>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</si>
  <si>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</si>
  <si>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</si>
  <si>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</si>
  <si>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</si>
  <si>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</si>
  <si>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</si>
  <si>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</si>
  <si>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</si>
  <si>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</si>
  <si>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</si>
  <si>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</si>
  <si>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</si>
  <si>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</si>
  <si>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</si>
  <si>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</si>
  <si>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</si>
  <si>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</si>
  <si>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</si>
  <si>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</si>
  <si>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</si>
  <si>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</si>
  <si>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</si>
  <si>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</si>
  <si>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</si>
  <si>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</si>
  <si>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</si>
  <si>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</si>
  <si>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</si>
  <si>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</si>
  <si>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</si>
  <si>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</si>
  <si>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</si>
  <si>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</si>
  <si>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</si>
  <si>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</si>
  <si>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</si>
  <si>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</si>
  <si>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</si>
  <si>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</si>
  <si>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</si>
  <si>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</si>
  <si>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</si>
  <si>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</si>
  <si>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</si>
  <si>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</si>
  <si>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</si>
  <si>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</si>
  <si>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</si>
  <si>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</si>
  <si>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</si>
  <si>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</si>
  <si>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</si>
  <si>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</si>
  <si>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</si>
  <si>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</si>
  <si>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</si>
  <si>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</si>
  <si>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</si>
  <si>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</si>
  <si>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</si>
  <si>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</si>
  <si>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</si>
  <si>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</si>
  <si>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</si>
  <si>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</si>
  <si>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</si>
  <si>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</si>
  <si>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</si>
  <si>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</si>
  <si>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</si>
  <si>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</si>
  <si>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</si>
  <si>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</si>
  <si>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</si>
  <si>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</si>
  <si>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</si>
  <si>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</si>
  <si>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</si>
  <si>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</si>
  <si>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</si>
  <si>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</si>
  <si>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</si>
  <si>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</si>
  <si>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</si>
  <si>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</si>
  <si>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</si>
  <si>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</si>
  <si>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</si>
  <si>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</si>
  <si>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</si>
  <si>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</si>
  <si>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</si>
  <si>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</si>
  <si>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</si>
  <si>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</si>
  <si>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</si>
  <si>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</si>
  <si>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</si>
  <si>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</si>
  <si>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</si>
  <si>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</si>
  <si>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</si>
  <si>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</si>
  <si>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</si>
  <si>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</si>
  <si>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</si>
  <si>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</si>
  <si>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</si>
  <si>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</si>
  <si>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</si>
  <si>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</si>
  <si>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</si>
  <si>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</si>
  <si>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</si>
  <si>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</si>
  <si>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</si>
  <si>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</si>
  <si>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</si>
  <si>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</si>
  <si>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</si>
  <si>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</si>
  <si>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</si>
  <si>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</si>
  <si>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</si>
  <si>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</si>
  <si>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</si>
  <si>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</si>
  <si>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</si>
  <si>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</si>
  <si>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</si>
  <si>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</si>
  <si>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</si>
  <si>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</si>
  <si>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</si>
  <si>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</si>
  <si>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</si>
  <si>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</si>
  <si>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</si>
  <si>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</si>
  <si>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</si>
  <si>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</si>
  <si>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</si>
  <si>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</si>
  <si>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</si>
  <si>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</si>
  <si>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</si>
  <si>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</si>
  <si>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</si>
  <si>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</si>
  <si>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</si>
  <si>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</si>
  <si>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</si>
  <si>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</si>
  <si>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</si>
  <si>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</si>
  <si>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</si>
  <si>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</si>
  <si>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</si>
  <si>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</si>
  <si>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</si>
  <si>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</si>
  <si>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</si>
  <si>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</si>
  <si>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</si>
  <si>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</si>
  <si>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</si>
  <si>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</si>
  <si>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</si>
  <si>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</si>
  <si>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</si>
  <si>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</si>
  <si>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</si>
  <si>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</si>
  <si>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</si>
  <si>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</si>
  <si>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</si>
  <si>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</si>
  <si>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</si>
  <si>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</si>
  <si>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</si>
  <si>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</si>
  <si>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</si>
  <si>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</si>
  <si>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</si>
  <si>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</si>
  <si>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</si>
  <si>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</si>
  <si>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</si>
  <si>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</si>
  <si>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</si>
  <si>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</si>
  <si>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</si>
  <si>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</si>
  <si>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</si>
  <si>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</si>
  <si>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</si>
  <si>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</si>
  <si>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</si>
  <si>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</si>
  <si>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</si>
  <si>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</si>
  <si>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</si>
  <si>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</si>
  <si>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</si>
  <si>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</si>
  <si>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</si>
  <si>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</si>
  <si>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</si>
  <si>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</si>
  <si>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</si>
  <si>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</si>
  <si>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</si>
  <si>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</si>
  <si>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</si>
  <si>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</si>
  <si>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</si>
  <si>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</si>
  <si>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</si>
  <si>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</si>
  <si>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</si>
  <si>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</si>
  <si>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</si>
  <si>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</si>
  <si>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</si>
  <si>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</si>
  <si>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</si>
  <si>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</si>
  <si>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</si>
  <si>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</si>
  <si>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</si>
  <si>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</si>
  <si>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</si>
  <si>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</si>
  <si>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</si>
  <si>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</si>
  <si>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</si>
  <si>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</si>
  <si>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</si>
  <si>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</si>
  <si>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</si>
  <si>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</si>
  <si>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</si>
  <si>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</si>
  <si>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</si>
  <si>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</si>
  <si>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</si>
  <si>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</si>
  <si>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</si>
  <si>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</si>
  <si>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</si>
  <si>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</si>
  <si>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</si>
  <si>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</si>
  <si>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</si>
  <si>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</si>
  <si>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</si>
  <si>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</si>
  <si>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</si>
  <si>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</si>
  <si>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</si>
  <si>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</si>
  <si>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</si>
  <si>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</si>
  <si>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</si>
  <si>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</si>
  <si>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</si>
  <si>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</si>
  <si>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</si>
  <si>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</si>
  <si>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</si>
  <si>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</si>
  <si>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</si>
  <si>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</si>
  <si>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</si>
  <si>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</si>
  <si>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</si>
  <si>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</si>
  <si>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</si>
  <si>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</si>
  <si>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</si>
  <si>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</si>
  <si>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</si>
  <si>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</si>
  <si>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</si>
  <si>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</si>
  <si>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</si>
  <si>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</si>
  <si>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</si>
  <si>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</si>
  <si>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</si>
  <si>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</si>
  <si>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</si>
  <si>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</si>
  <si>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</si>
  <si>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</si>
  <si>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</si>
  <si>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</si>
  <si>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</si>
  <si>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</si>
  <si>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</si>
  <si>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</si>
  <si>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</si>
  <si>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</si>
  <si>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</si>
  <si>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</si>
  <si>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</si>
  <si>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</si>
  <si>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</si>
  <si>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</si>
  <si>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</si>
  <si>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</si>
  <si>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</si>
  <si>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</si>
  <si>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</si>
  <si>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</si>
  <si>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</si>
  <si>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</si>
  <si>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</si>
  <si>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</si>
  <si>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</si>
  <si>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</si>
  <si>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</si>
  <si>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</si>
  <si>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</si>
  <si>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</si>
  <si>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</si>
  <si>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</si>
  <si>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</si>
  <si>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</si>
  <si>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</si>
  <si>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</si>
  <si>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</si>
  <si>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</si>
  <si>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</si>
  <si>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</si>
  <si>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</si>
  <si>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</si>
  <si>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</si>
  <si>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</si>
  <si>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</si>
  <si>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</si>
  <si>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</si>
  <si>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</si>
  <si>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</si>
  <si>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</si>
  <si>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</si>
  <si>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</si>
  <si>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</si>
  <si>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</si>
  <si>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</si>
  <si>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</si>
  <si>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</si>
  <si>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</si>
  <si>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</si>
  <si>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</si>
  <si>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</si>
  <si>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</si>
  <si>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</si>
  <si>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</si>
  <si>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</si>
  <si>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</si>
  <si>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</si>
  <si>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</si>
  <si>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</si>
  <si>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</si>
  <si>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</si>
  <si>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</si>
  <si>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</si>
  <si>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</si>
  <si>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</si>
  <si>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</si>
  <si>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</si>
  <si>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</si>
  <si>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</si>
  <si>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</si>
  <si>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</si>
  <si>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</si>
  <si>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</si>
  <si>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</si>
  <si>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</si>
  <si>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</si>
  <si>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</si>
  <si>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</si>
  <si>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</si>
  <si>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</si>
  <si>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</si>
  <si>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</si>
  <si>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</si>
  <si>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</si>
  <si>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</si>
  <si>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</si>
  <si>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</si>
  <si>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</si>
  <si>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</si>
  <si>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</si>
  <si>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</si>
  <si>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</si>
  <si>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</si>
  <si>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</si>
  <si>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</si>
  <si>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</si>
  <si>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</si>
  <si>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</si>
  <si>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</si>
  <si>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</si>
  <si>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</si>
  <si>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</si>
  <si>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</si>
  <si>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</si>
  <si>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</si>
  <si>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</si>
  <si>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</si>
  <si>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</si>
  <si>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</si>
  <si>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</si>
  <si>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</si>
  <si>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</si>
  <si>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</si>
  <si>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</si>
  <si>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</si>
  <si>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</si>
  <si>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</si>
  <si>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</si>
  <si>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</si>
  <si>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</si>
  <si>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</si>
  <si>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</si>
  <si>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</si>
  <si>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</si>
  <si>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</si>
  <si>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</si>
  <si>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</si>
  <si>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</si>
  <si>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</si>
  <si>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</si>
  <si>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</si>
  <si>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</si>
  <si>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</si>
  <si>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</si>
  <si>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</si>
  <si>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</si>
  <si>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</si>
  <si>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</si>
  <si>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</si>
  <si>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</si>
  <si>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</si>
  <si>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</si>
  <si>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</si>
  <si>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</si>
  <si>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</si>
  <si>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</si>
  <si>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</si>
  <si>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</si>
  <si>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</si>
  <si>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</si>
  <si>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</si>
  <si>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</si>
  <si>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</si>
  <si>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</si>
  <si>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</si>
  <si>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</si>
  <si>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</si>
  <si>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</si>
  <si>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</si>
  <si>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</si>
  <si>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</si>
  <si>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</si>
  <si>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</si>
  <si>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</si>
  <si>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</si>
  <si>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</si>
  <si>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</si>
  <si>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</si>
  <si>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</si>
  <si>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</si>
  <si>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</si>
  <si>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</si>
  <si>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</si>
  <si>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</si>
  <si>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</si>
  <si>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</si>
  <si>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</si>
  <si>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</si>
  <si>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</si>
  <si>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</si>
  <si>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</si>
  <si>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</si>
  <si>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</si>
  <si>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</si>
  <si>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</si>
  <si>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</si>
  <si>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</si>
  <si>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</si>
  <si>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</si>
  <si>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</si>
  <si>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</si>
  <si>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</si>
  <si>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</si>
  <si>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</si>
  <si>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</si>
  <si>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</si>
  <si>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</si>
  <si>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</si>
  <si>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</si>
  <si>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</si>
  <si>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</si>
  <si>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</si>
  <si>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</si>
  <si>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</si>
  <si>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</si>
  <si>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</si>
  <si>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</si>
  <si>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</si>
  <si>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</si>
  <si>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</si>
  <si>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</si>
  <si>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</si>
  <si>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</si>
  <si>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</si>
  <si>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</si>
  <si>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</si>
  <si>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</si>
  <si>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</si>
  <si>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</si>
  <si>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</si>
  <si>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</si>
  <si>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</si>
  <si>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</si>
  <si>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</si>
  <si>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</si>
  <si>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</si>
  <si>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</si>
  <si>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</si>
  <si>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</si>
  <si>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</si>
  <si>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</si>
  <si>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</si>
  <si>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</si>
  <si>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</si>
  <si>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</si>
  <si>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</si>
  <si>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</si>
  <si>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</si>
  <si>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</si>
  <si>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</si>
  <si>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</si>
  <si>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</si>
  <si>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</si>
  <si>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</si>
  <si>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</si>
  <si>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</si>
  <si>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</si>
  <si>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</si>
  <si>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</si>
  <si>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</si>
  <si>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</si>
  <si>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</si>
  <si>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</si>
  <si>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</si>
  <si>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</si>
  <si>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</si>
  <si>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</si>
  <si>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</si>
  <si>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</si>
  <si>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</si>
  <si>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</si>
  <si>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</si>
  <si>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</si>
  <si>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</si>
  <si>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</si>
  <si>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</si>
  <si>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</si>
  <si>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</si>
  <si>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</si>
  <si>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</si>
  <si>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</si>
  <si>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</si>
  <si>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</si>
  <si>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</si>
  <si>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</si>
  <si>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</si>
  <si>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</si>
  <si>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</si>
  <si>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</si>
  <si>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</si>
  <si>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</si>
  <si>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</si>
  <si>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</si>
  <si>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</si>
  <si>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</si>
  <si>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</si>
  <si>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</si>
  <si>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</si>
  <si>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</si>
  <si>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</si>
  <si>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</si>
  <si>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</si>
  <si>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</si>
  <si>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</si>
  <si>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</si>
  <si>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</si>
  <si>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</si>
  <si>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</si>
  <si>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</si>
  <si>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</si>
  <si>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</si>
  <si>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</si>
  <si>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</si>
  <si>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</si>
  <si>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</si>
  <si>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</si>
  <si>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</si>
  <si>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</si>
  <si>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</si>
  <si>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</si>
  <si>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</si>
  <si>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</si>
  <si>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</si>
  <si>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</si>
  <si>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</si>
  <si>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</si>
  <si>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</si>
  <si>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</si>
  <si>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</si>
  <si>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</si>
  <si>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</si>
  <si>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</si>
  <si>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</si>
  <si>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</si>
  <si>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</si>
  <si>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</si>
  <si>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</si>
  <si>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</si>
  <si>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</si>
  <si>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</si>
  <si>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</si>
  <si>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</si>
  <si>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</si>
  <si>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</si>
  <si>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</si>
  <si>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</si>
  <si>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</si>
  <si>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</si>
  <si>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</si>
  <si>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</si>
  <si>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</si>
  <si>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</si>
  <si>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</si>
  <si>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</si>
  <si>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</si>
  <si>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</si>
  <si>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</si>
  <si>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</si>
  <si>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</si>
  <si>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</si>
  <si>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</si>
  <si>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</si>
  <si>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</si>
  <si>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</si>
  <si>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</si>
  <si>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</si>
  <si>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</si>
  <si>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</si>
  <si>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</si>
  <si>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</si>
  <si>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</si>
  <si>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</si>
  <si>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</si>
  <si>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</si>
  <si>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</si>
  <si>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</si>
  <si>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</si>
  <si>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</si>
  <si>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</si>
  <si>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</si>
  <si>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</si>
  <si>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</si>
  <si>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</si>
  <si>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</si>
  <si>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</si>
  <si>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</si>
  <si>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</si>
  <si>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</si>
  <si>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</si>
  <si>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</si>
  <si>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</si>
  <si>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</si>
  <si>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</si>
  <si>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</si>
  <si>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</si>
  <si>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</si>
  <si>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</si>
  <si>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</si>
  <si>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</si>
  <si>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</si>
  <si>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</si>
  <si>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</si>
  <si>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</si>
  <si>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</si>
  <si>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</si>
  <si>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</si>
  <si>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</si>
  <si>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</si>
  <si>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</si>
  <si>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</si>
  <si>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</si>
  <si>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</si>
  <si>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</si>
  <si>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</si>
  <si>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</si>
  <si>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</si>
  <si>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</si>
  <si>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</si>
  <si>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</si>
  <si>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</si>
  <si>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</si>
  <si>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</si>
  <si>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</si>
  <si>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</si>
  <si>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</si>
  <si>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</si>
  <si>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</si>
  <si>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</si>
  <si>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</si>
  <si>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</si>
  <si>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</si>
  <si>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</si>
  <si>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</si>
  <si>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</si>
  <si>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</si>
  <si>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</si>
  <si>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</si>
  <si>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</si>
  <si>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</si>
  <si>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</si>
  <si>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</si>
  <si>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</si>
  <si>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</si>
  <si>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</si>
  <si>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</si>
  <si>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</si>
  <si>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</si>
  <si>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</si>
  <si>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</si>
  <si>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</si>
  <si>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</si>
  <si>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</si>
  <si>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</si>
  <si>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</si>
  <si>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</si>
  <si>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</si>
  <si>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</si>
  <si>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</si>
  <si>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</si>
  <si>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</si>
  <si>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</si>
  <si>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</si>
  <si>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</si>
  <si>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</si>
  <si>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</si>
  <si>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</si>
  <si>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</si>
  <si>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</si>
  <si>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</si>
  <si>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</si>
  <si>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</si>
  <si>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</si>
  <si>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</si>
  <si>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</si>
  <si>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</si>
  <si>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</si>
  <si>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</si>
  <si>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</si>
  <si>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</si>
  <si>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</si>
  <si>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</si>
  <si>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</si>
  <si>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</si>
  <si>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</si>
  <si>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</si>
  <si>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</si>
  <si>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</si>
  <si>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</si>
  <si>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</si>
  <si>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</si>
  <si>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</si>
  <si>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</si>
  <si>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</si>
  <si>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</si>
  <si>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</si>
  <si>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</si>
  <si>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</si>
  <si>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</si>
  <si>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</si>
  <si>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</si>
  <si>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</si>
  <si>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</si>
  <si>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</si>
  <si>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</si>
  <si>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</si>
  <si>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</si>
  <si>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</si>
  <si>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</si>
  <si>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</si>
  <si>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</si>
  <si>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</si>
  <si>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</si>
  <si>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</si>
  <si>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</si>
  <si>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</si>
  <si>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</si>
  <si>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</si>
  <si>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</si>
  <si>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</si>
  <si>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</si>
  <si>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</si>
  <si>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</si>
  <si>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</si>
  <si>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</si>
  <si>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</si>
  <si>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</si>
  <si>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</si>
  <si>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</si>
  <si>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</si>
  <si>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</si>
  <si>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</si>
  <si>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</si>
  <si>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</si>
  <si>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</si>
  <si>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</si>
  <si>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</si>
  <si>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</si>
  <si>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</si>
  <si>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</si>
  <si>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</si>
  <si>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</si>
  <si>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</si>
  <si>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</si>
  <si>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</si>
  <si>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</si>
  <si>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</si>
  <si>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</si>
  <si>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</si>
  <si>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</si>
  <si>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</si>
  <si>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</si>
  <si>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</si>
  <si>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</si>
  <si>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</si>
  <si>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</si>
  <si>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</si>
  <si>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</si>
  <si>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</si>
  <si>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</si>
  <si>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</si>
  <si>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</si>
  <si>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</si>
  <si>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</si>
  <si>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</si>
  <si>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</si>
  <si>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</si>
  <si>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</si>
  <si>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</si>
  <si>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</si>
  <si>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</si>
  <si>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</si>
  <si>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</si>
  <si>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</si>
  <si>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</si>
  <si>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</si>
  <si>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</si>
  <si>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</si>
  <si>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</si>
  <si>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</si>
  <si>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</si>
  <si>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</si>
  <si>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</si>
  <si>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</si>
  <si>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</si>
  <si>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</si>
  <si>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</si>
  <si>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</si>
  <si>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</si>
  <si>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</si>
  <si>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</si>
  <si>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</si>
  <si>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</si>
  <si>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</si>
  <si>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</si>
  <si>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</si>
  <si>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</si>
  <si>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</si>
  <si>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</si>
  <si>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</si>
  <si>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</si>
  <si>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</si>
  <si>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</si>
  <si>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</si>
  <si>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</si>
  <si>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</si>
  <si>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</si>
  <si>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</si>
  <si>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</si>
  <si>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</si>
  <si>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</si>
  <si>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</si>
  <si>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</si>
  <si>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</si>
  <si>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</si>
  <si>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</si>
  <si>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</si>
  <si>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</si>
  <si>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</si>
  <si>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</si>
  <si>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</si>
  <si>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</si>
  <si>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</si>
  <si>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</si>
  <si>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</si>
  <si>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</si>
  <si>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</si>
  <si>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</si>
  <si>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</si>
  <si>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</si>
  <si>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</si>
  <si>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</si>
  <si>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</si>
  <si>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</si>
  <si>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</si>
  <si>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</si>
  <si>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</si>
  <si>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</si>
  <si>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</si>
  <si>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</si>
  <si>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</si>
  <si>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</si>
  <si>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</si>
  <si>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</si>
  <si>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</si>
  <si>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</si>
  <si>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</si>
  <si>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</si>
  <si>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</si>
  <si>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</si>
  <si>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</si>
  <si>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</si>
  <si>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</si>
  <si>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</si>
  <si>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</si>
  <si>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</si>
  <si>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</si>
  <si>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</si>
  <si>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</si>
  <si>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</si>
  <si>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</si>
  <si>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</si>
  <si>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</si>
  <si>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</si>
  <si>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</si>
  <si>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</si>
  <si>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</si>
  <si>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</si>
  <si>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</si>
  <si>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</si>
  <si>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</si>
  <si>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</si>
  <si>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</si>
  <si>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</si>
  <si>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</si>
  <si>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</si>
  <si>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</si>
  <si>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</si>
  <si>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</si>
  <si>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</si>
  <si>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</si>
  <si>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</si>
  <si>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</si>
  <si>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</si>
  <si>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</si>
  <si>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</si>
  <si>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</si>
  <si>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</si>
  <si>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</si>
  <si>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</si>
  <si>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</si>
  <si>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</si>
  <si>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</si>
  <si>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</si>
  <si>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</si>
  <si>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</si>
  <si>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</si>
  <si>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</si>
  <si>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</si>
  <si>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</si>
  <si>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</si>
  <si>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</si>
  <si>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</si>
  <si>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</si>
  <si>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</si>
  <si>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</si>
  <si>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</si>
  <si>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</si>
  <si>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</si>
  <si>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</si>
  <si>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</si>
  <si>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</si>
  <si>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</si>
  <si>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</si>
  <si>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</si>
  <si>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</si>
  <si>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</si>
  <si>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</si>
  <si>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</si>
  <si>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</si>
  <si>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</si>
  <si>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</si>
  <si>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</si>
  <si>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</si>
  <si>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</si>
  <si>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</si>
  <si>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</si>
  <si>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</si>
  <si>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</si>
  <si>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</si>
  <si>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</si>
  <si>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</si>
  <si>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</si>
  <si>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</si>
  <si>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</si>
  <si>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</si>
  <si>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</si>
  <si>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</si>
  <si>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</si>
  <si>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</si>
  <si>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</si>
  <si>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</si>
  <si>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</si>
  <si>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</si>
  <si>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</si>
  <si>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</si>
  <si>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</si>
  <si>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</si>
  <si>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</si>
  <si>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</si>
  <si>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</si>
  <si>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</si>
  <si>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</si>
  <si>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</si>
  <si>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</si>
  <si>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</si>
  <si>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</si>
  <si>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</si>
  <si>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</si>
  <si>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</si>
  <si>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</si>
  <si>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</si>
  <si>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</si>
  <si>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</si>
  <si>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</si>
  <si>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</si>
  <si>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</si>
  <si>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</si>
  <si>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</si>
  <si>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</si>
  <si>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</si>
  <si>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</si>
  <si>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</si>
  <si>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</si>
  <si>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</si>
  <si>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</si>
  <si>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</si>
  <si>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</si>
  <si>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</si>
  <si>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</si>
  <si>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</si>
  <si>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</si>
  <si>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</si>
  <si>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</si>
  <si>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</si>
  <si>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</si>
  <si>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</si>
  <si>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</si>
  <si>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</si>
  <si>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</si>
  <si>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</si>
  <si>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</si>
  <si>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</si>
  <si>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</si>
  <si>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</si>
  <si>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</si>
  <si>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</si>
  <si>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</si>
  <si>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</si>
  <si>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</si>
  <si>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</si>
  <si>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</si>
  <si>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</si>
  <si>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</si>
  <si>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</si>
  <si>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</si>
  <si>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</si>
  <si>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</si>
  <si>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</si>
  <si>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</si>
  <si>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</si>
  <si>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</si>
  <si>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</si>
  <si>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</si>
  <si>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</si>
  <si>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</si>
  <si>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</si>
  <si>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</si>
  <si>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</si>
  <si>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</si>
  <si>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</si>
  <si>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</si>
  <si>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</si>
  <si>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</si>
  <si>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</si>
  <si>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</si>
  <si>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</si>
  <si>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</si>
  <si>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</si>
  <si>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</si>
  <si>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</si>
  <si>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</si>
  <si>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</si>
  <si>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</si>
  <si>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</si>
  <si>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</si>
  <si>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</si>
  <si>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</si>
  <si>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</si>
  <si>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</si>
  <si>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</si>
  <si>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</si>
  <si>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</si>
  <si>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</si>
  <si>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</si>
  <si>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</si>
  <si>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</si>
  <si>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</si>
  <si>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</si>
  <si>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</si>
  <si>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</si>
  <si>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</si>
  <si>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</si>
  <si>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</si>
  <si>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</si>
  <si>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</si>
  <si>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</si>
  <si>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</si>
  <si>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</si>
  <si>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</si>
  <si>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</si>
  <si>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</si>
  <si>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</si>
  <si>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</si>
  <si>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</si>
  <si>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</si>
  <si>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</si>
  <si>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</si>
  <si>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</si>
  <si>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</si>
  <si>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</si>
  <si>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</si>
  <si>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</si>
  <si>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</si>
  <si>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</si>
  <si>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</si>
  <si>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</si>
  <si>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</si>
  <si>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</si>
  <si>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</si>
  <si>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</si>
  <si>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</si>
  <si>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</si>
  <si>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</si>
  <si>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</si>
  <si>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</si>
  <si>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</si>
  <si>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</si>
  <si>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</si>
  <si>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</si>
  <si>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</si>
  <si>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</si>
  <si>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</si>
  <si>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</si>
  <si>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</si>
  <si>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</si>
  <si>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</si>
  <si>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</si>
  <si>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</si>
  <si>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</si>
  <si>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</si>
  <si>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</si>
  <si>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</si>
  <si>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</si>
  <si>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</si>
  <si>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</si>
  <si>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</si>
  <si>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</si>
  <si>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</si>
  <si>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</si>
  <si>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</si>
  <si>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</si>
  <si>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</si>
  <si>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</si>
  <si>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</si>
  <si>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</si>
  <si>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</si>
  <si>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</si>
  <si>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</si>
  <si>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</si>
  <si>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</si>
  <si>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</si>
  <si>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</si>
  <si>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</si>
  <si>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</si>
  <si>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</si>
  <si>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</si>
  <si>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</si>
  <si>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</si>
  <si>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</si>
  <si>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</si>
  <si>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</si>
  <si>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</si>
  <si>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</si>
  <si>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</si>
  <si>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</si>
  <si>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</si>
  <si>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</si>
  <si>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</si>
  <si>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</si>
  <si>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</si>
  <si>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</si>
  <si>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</si>
  <si>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</si>
  <si>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</si>
  <si>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</si>
  <si>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</si>
  <si>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</si>
  <si>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</si>
  <si>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</si>
  <si>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</si>
  <si>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</si>
  <si>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</si>
  <si>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</si>
  <si>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</si>
  <si>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</si>
  <si>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</si>
  <si>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</si>
  <si>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</si>
  <si>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</si>
  <si>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</si>
  <si>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</si>
  <si>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</si>
  <si>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</si>
  <si>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</si>
  <si>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</si>
  <si>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</si>
  <si>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</si>
  <si>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</si>
  <si>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</si>
  <si>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</si>
  <si>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</si>
  <si>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</si>
  <si>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</si>
  <si>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</si>
  <si>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</si>
  <si>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</si>
  <si>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</si>
  <si>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</si>
  <si>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</si>
  <si>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</si>
  <si>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</si>
  <si>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</si>
  <si>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</si>
  <si>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</si>
  <si>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</si>
  <si>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</si>
  <si>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</si>
  <si>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</si>
  <si>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</si>
  <si>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</si>
  <si>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</si>
  <si>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</si>
  <si>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</si>
  <si>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</si>
  <si>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</si>
  <si>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</si>
  <si>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</si>
  <si>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</si>
  <si>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</si>
  <si>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</si>
  <si>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</si>
  <si>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</si>
  <si>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</si>
  <si>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</si>
  <si>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</si>
  <si>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</si>
  <si>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</si>
  <si>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</si>
  <si>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</si>
  <si>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</si>
  <si>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</si>
  <si>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</si>
  <si>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</si>
  <si>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</si>
  <si>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</si>
  <si>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</si>
  <si>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</si>
  <si>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</si>
  <si>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</si>
  <si>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</si>
  <si>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</si>
  <si>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</si>
  <si>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</si>
  <si>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</si>
  <si>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</si>
  <si>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</si>
  <si>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</si>
  <si>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</si>
  <si>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</si>
  <si>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</si>
  <si>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</si>
  <si>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</si>
  <si>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</si>
  <si>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</si>
  <si>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</si>
  <si>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</si>
  <si>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</si>
  <si>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</si>
  <si>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</si>
  <si>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</si>
  <si>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</si>
  <si>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</si>
  <si>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</si>
  <si>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</si>
  <si>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</si>
  <si>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</si>
  <si>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</si>
  <si>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</si>
  <si>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</si>
  <si>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</si>
  <si>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</si>
  <si>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</si>
  <si>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</si>
  <si>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</si>
  <si>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</si>
  <si>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</si>
  <si>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</si>
  <si>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</si>
  <si>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</si>
  <si>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</si>
  <si>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</si>
  <si>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</si>
  <si>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</si>
  <si>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</si>
  <si>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</si>
  <si>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</si>
  <si>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</si>
  <si>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</si>
  <si>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</si>
  <si>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</si>
  <si>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</si>
  <si>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</si>
  <si>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</si>
  <si>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</si>
  <si>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</si>
  <si>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</si>
  <si>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</si>
  <si>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</si>
  <si>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</si>
  <si>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</si>
  <si>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</si>
  <si>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</si>
  <si>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</si>
  <si>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</si>
  <si>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</si>
  <si>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</si>
  <si>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</si>
  <si>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</si>
  <si>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</si>
  <si>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</si>
  <si>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</si>
  <si>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</si>
  <si>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</si>
  <si>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</si>
  <si>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</si>
  <si>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</si>
  <si>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</si>
  <si>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</si>
  <si>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</si>
  <si>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</si>
  <si>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</si>
  <si>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</si>
  <si>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</si>
  <si>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</si>
  <si>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</si>
  <si>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</si>
  <si>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</si>
  <si>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</si>
  <si>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</si>
  <si>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</si>
  <si>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</si>
  <si>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</si>
  <si>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</si>
  <si>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</si>
  <si>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</si>
  <si>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</si>
  <si>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</si>
  <si>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</si>
  <si>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</si>
  <si>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</si>
  <si>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</si>
  <si>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</si>
  <si>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</si>
  <si>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</si>
  <si>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</si>
  <si>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</si>
  <si>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</si>
  <si>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</si>
  <si>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</si>
  <si>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</si>
  <si>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</si>
  <si>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</si>
  <si>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</si>
  <si>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</si>
  <si>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</si>
  <si>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</si>
  <si>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</si>
  <si>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</si>
  <si>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</si>
  <si>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</si>
  <si>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</si>
  <si>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</si>
  <si>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</si>
  <si>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</si>
  <si>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</si>
  <si>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</si>
  <si>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</si>
  <si>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</si>
  <si>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</si>
  <si>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</si>
  <si>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</si>
  <si>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</si>
  <si>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</si>
  <si>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</si>
  <si>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</si>
  <si>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</si>
  <si>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</si>
  <si>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</si>
  <si>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</si>
  <si>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</si>
  <si>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</si>
  <si>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</si>
  <si>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</si>
  <si>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</si>
  <si>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</si>
  <si>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</si>
  <si>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</si>
  <si>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</si>
  <si>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</si>
  <si>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</si>
  <si>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</si>
  <si>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</si>
  <si>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</si>
  <si>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</si>
  <si>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</si>
  <si>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</si>
  <si>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</si>
  <si>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</si>
  <si>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</si>
  <si>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</si>
  <si>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</si>
  <si>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</si>
  <si>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</si>
  <si>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</si>
  <si>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</si>
  <si>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</si>
  <si>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</si>
  <si>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</si>
  <si>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</si>
  <si>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</si>
  <si>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</si>
  <si>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</si>
  <si>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</si>
  <si>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</si>
  <si>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</si>
  <si>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</si>
  <si>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</si>
  <si>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</si>
  <si>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</si>
  <si>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</si>
  <si>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</si>
  <si>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</si>
  <si>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</si>
  <si>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</si>
  <si>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</si>
  <si>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</si>
  <si>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</si>
  <si>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</si>
  <si>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</si>
  <si>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</si>
  <si>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</si>
  <si>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</si>
  <si>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</si>
  <si>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</si>
  <si>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</si>
  <si>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</si>
  <si>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</si>
  <si>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</si>
  <si>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</si>
  <si>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</si>
  <si>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</si>
  <si>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</si>
  <si>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</si>
  <si>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</si>
  <si>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</si>
  <si>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</si>
  <si>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</si>
  <si>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</si>
  <si>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</si>
  <si>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</si>
  <si>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</si>
  <si>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</si>
  <si>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</si>
  <si>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</si>
  <si>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</si>
  <si>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</si>
  <si>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</si>
  <si>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</si>
  <si>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</si>
  <si>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</si>
  <si>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</si>
  <si>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</si>
  <si>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</si>
  <si>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</si>
  <si>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</si>
  <si>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</si>
  <si>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</si>
  <si>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</si>
  <si>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</si>
  <si>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</si>
  <si>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</si>
  <si>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</si>
  <si>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</si>
  <si>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</si>
  <si>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</si>
  <si>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</si>
  <si>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</si>
  <si>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</si>
  <si>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</si>
  <si>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</si>
  <si>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</si>
  <si>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</si>
  <si>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</si>
  <si>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</si>
  <si>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</si>
  <si>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</si>
  <si>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</si>
  <si>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</si>
  <si>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</si>
  <si>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</si>
  <si>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</si>
  <si>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</si>
  <si>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</si>
  <si>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</si>
  <si>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</si>
  <si>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</si>
  <si>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</si>
  <si>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</si>
  <si>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</si>
  <si>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</si>
  <si>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</si>
  <si>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</si>
  <si>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</si>
  <si>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</si>
  <si>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</si>
  <si>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</si>
  <si>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</si>
  <si>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</si>
  <si>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</si>
  <si>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</si>
  <si>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</si>
  <si>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</si>
  <si>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</si>
  <si>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</si>
  <si>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</si>
  <si>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</si>
  <si>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</si>
  <si>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</si>
  <si>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</si>
  <si>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</si>
  <si>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</si>
  <si>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</si>
  <si>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</si>
  <si>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</si>
  <si>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</si>
  <si>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</si>
  <si>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</si>
  <si>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</si>
  <si>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</si>
  <si>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</si>
  <si>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</si>
  <si>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</si>
  <si>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</si>
  <si>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</si>
  <si>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</si>
  <si>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</si>
  <si>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</si>
  <si>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</si>
  <si>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</si>
  <si>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</si>
  <si>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</si>
  <si>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</si>
  <si>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</si>
  <si>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</si>
  <si>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</si>
  <si>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</si>
  <si>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</si>
  <si>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</si>
  <si>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</si>
  <si>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</si>
  <si>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</si>
  <si>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</si>
  <si>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</si>
  <si>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</si>
  <si>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</si>
  <si>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</si>
  <si>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</si>
  <si>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</si>
  <si>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</si>
  <si>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</si>
  <si>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</si>
  <si>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</si>
  <si>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</si>
  <si>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</si>
  <si>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</si>
  <si>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</si>
  <si>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</si>
  <si>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</si>
  <si>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</si>
  <si>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</si>
  <si>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</si>
  <si>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</si>
  <si>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</si>
  <si>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</si>
  <si>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</si>
  <si>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</si>
  <si>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</si>
  <si>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</si>
  <si>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</si>
  <si>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</si>
  <si>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</si>
  <si>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</si>
  <si>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</si>
  <si>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</si>
  <si>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</si>
  <si>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</si>
  <si>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</si>
  <si>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</si>
  <si>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</si>
  <si>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</si>
  <si>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</si>
  <si>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</si>
  <si>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</si>
  <si>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</si>
  <si>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</si>
  <si>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</si>
  <si>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</si>
  <si>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</si>
  <si>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</si>
  <si>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</si>
  <si>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</si>
  <si>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</si>
  <si>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</si>
  <si>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</si>
  <si>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</si>
  <si>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</si>
  <si>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</si>
  <si>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</si>
  <si>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</si>
  <si>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</si>
  <si>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</si>
  <si>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</si>
  <si>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</si>
  <si>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</si>
  <si>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</si>
  <si>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</si>
  <si>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</si>
  <si>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</si>
  <si>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</si>
  <si>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</si>
  <si>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</si>
  <si>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</si>
  <si>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</si>
  <si>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</si>
  <si>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</si>
  <si>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</si>
  <si>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</si>
  <si>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</si>
  <si>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</si>
  <si>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</si>
  <si>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</si>
  <si>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</si>
  <si>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</si>
  <si>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</si>
  <si>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</si>
  <si>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</si>
  <si>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</si>
  <si>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</si>
  <si>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</si>
  <si>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</si>
  <si>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</si>
  <si>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</si>
  <si>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</si>
  <si>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</si>
  <si>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</si>
  <si>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</si>
  <si>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</si>
  <si>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</si>
  <si>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</si>
  <si>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</si>
  <si>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</si>
  <si>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</si>
  <si>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</si>
  <si>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</si>
  <si>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</si>
  <si>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</si>
  <si>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</si>
  <si>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</si>
  <si>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</si>
  <si>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</si>
  <si>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</si>
  <si>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</si>
  <si>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</si>
  <si>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</si>
  <si>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</si>
  <si>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</si>
  <si>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</si>
  <si>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</si>
  <si>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</si>
  <si>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</si>
  <si>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</si>
  <si>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</si>
  <si>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</si>
  <si>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</si>
  <si>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</si>
  <si>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</si>
  <si>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</si>
  <si>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</si>
  <si>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</si>
  <si>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</si>
  <si>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</si>
  <si>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</si>
  <si>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</si>
  <si>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</si>
  <si>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</si>
  <si>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</si>
  <si>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</si>
  <si>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</si>
  <si>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</si>
  <si>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</si>
  <si>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</si>
  <si>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</si>
  <si>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</si>
  <si>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</si>
  <si>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</si>
  <si>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</si>
  <si>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</si>
  <si>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</si>
  <si>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</si>
  <si>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</si>
  <si>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</si>
  <si>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</si>
  <si>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</si>
  <si>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</si>
  <si>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</si>
  <si>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</si>
  <si>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</si>
  <si>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</si>
  <si>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</si>
  <si>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</si>
  <si>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</si>
  <si>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</si>
  <si>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</si>
  <si>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</si>
  <si>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</si>
  <si>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</si>
  <si>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</si>
  <si>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</si>
  <si>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</si>
  <si>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</si>
  <si>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</si>
  <si>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</si>
  <si>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</si>
  <si>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</si>
  <si>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</si>
  <si>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</si>
  <si>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</si>
  <si>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</si>
  <si>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</si>
  <si>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</si>
  <si>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</si>
  <si>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</si>
  <si>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</si>
  <si>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</si>
  <si>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</si>
  <si>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</si>
  <si>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</si>
  <si>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</si>
  <si>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</si>
  <si>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</si>
  <si>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</si>
  <si>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</si>
  <si>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</si>
  <si>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</si>
  <si>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</si>
  <si>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</si>
  <si>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</si>
  <si>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</si>
  <si>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</si>
  <si>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</si>
  <si>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</si>
  <si>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</si>
  <si>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</si>
  <si>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</si>
  <si>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</si>
  <si>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</si>
  <si>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</si>
  <si>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</si>
  <si>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</si>
  <si>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</si>
  <si>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</si>
  <si>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</si>
  <si>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</si>
  <si>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</si>
  <si>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</si>
  <si>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</si>
  <si>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</si>
  <si>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</si>
  <si>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</si>
  <si>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</si>
  <si>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</si>
  <si>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</si>
  <si>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</si>
  <si>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</si>
  <si>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</si>
  <si>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</si>
  <si>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</si>
  <si>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</si>
  <si>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</si>
  <si>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</si>
  <si>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</si>
  <si>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</si>
  <si>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</si>
  <si>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</si>
  <si>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</si>
  <si>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</si>
  <si>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</si>
  <si>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</si>
  <si>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</si>
  <si>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</si>
  <si>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</si>
  <si>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</si>
  <si>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</si>
  <si>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</si>
  <si>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</si>
  <si>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</si>
  <si>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</si>
  <si>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</si>
  <si>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</si>
  <si>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</si>
  <si>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</si>
  <si>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</si>
  <si>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</si>
  <si>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</si>
  <si>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</si>
  <si>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</si>
  <si>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</si>
  <si>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</si>
  <si>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</si>
  <si>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</si>
  <si>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</si>
  <si>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</si>
  <si>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</si>
  <si>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</si>
  <si>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</si>
  <si>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</si>
  <si>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</si>
  <si>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</si>
  <si>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</si>
  <si>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</si>
  <si>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</si>
  <si>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</si>
  <si>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</si>
  <si>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</si>
  <si>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</si>
  <si>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</si>
  <si>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</si>
  <si>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</si>
  <si>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</si>
  <si>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</si>
  <si>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</si>
  <si>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</si>
  <si>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</si>
  <si>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</si>
  <si>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</si>
  <si>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</si>
  <si>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</si>
  <si>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</si>
  <si>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</si>
  <si>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</si>
  <si>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</si>
  <si>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</si>
  <si>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</si>
  <si>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</si>
  <si>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</si>
  <si>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</si>
  <si>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</si>
  <si>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</si>
  <si>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</si>
  <si>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</si>
  <si>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</si>
  <si>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</si>
  <si>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</si>
  <si>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</si>
  <si>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</si>
  <si>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</si>
  <si>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</si>
  <si>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</si>
  <si>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</si>
  <si>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</si>
  <si>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</si>
  <si>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</si>
  <si>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</si>
  <si>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</si>
  <si>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</si>
  <si>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</si>
  <si>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</si>
  <si>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</si>
  <si>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</si>
  <si>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</si>
  <si>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</si>
  <si>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</si>
  <si>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</si>
  <si>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</si>
  <si>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</si>
  <si>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</si>
  <si>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</si>
  <si>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</si>
  <si>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</si>
  <si>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</si>
  <si>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</si>
  <si>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</si>
  <si>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</si>
  <si>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</si>
  <si>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</si>
  <si>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</si>
  <si>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</si>
  <si>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</si>
  <si>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</si>
  <si>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</si>
  <si>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</si>
  <si>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</si>
  <si>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</si>
  <si>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</si>
  <si>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</si>
  <si>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</si>
  <si>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</si>
  <si>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</si>
  <si>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</si>
  <si>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</si>
  <si>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</si>
  <si>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</si>
  <si>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</si>
  <si>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</si>
  <si>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</si>
  <si>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</si>
  <si>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</si>
  <si>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</si>
  <si>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</si>
  <si>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</si>
  <si>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</si>
  <si>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</si>
  <si>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</si>
  <si>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</si>
  <si>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</si>
  <si>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</si>
  <si>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</si>
  <si>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</si>
  <si>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</si>
  <si>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</si>
  <si>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</si>
  <si>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</si>
  <si>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</si>
  <si>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</si>
  <si>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</si>
  <si>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</si>
  <si>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</si>
  <si>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</si>
  <si>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</si>
  <si>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</si>
  <si>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</si>
  <si>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</si>
  <si>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</si>
  <si>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</si>
  <si>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</si>
  <si>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</si>
  <si>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</si>
  <si>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</si>
  <si>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</si>
  <si>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</si>
  <si>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</si>
  <si>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</si>
  <si>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</si>
  <si>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</si>
  <si>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</si>
  <si>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</si>
  <si>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</si>
  <si>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</si>
  <si>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</si>
  <si>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</si>
  <si>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</si>
  <si>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</si>
  <si>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</si>
  <si>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</si>
  <si>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</si>
  <si>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</si>
  <si>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</si>
  <si>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</si>
  <si>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</si>
  <si>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</si>
  <si>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</si>
  <si>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</si>
  <si>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</si>
  <si>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</si>
  <si>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</si>
  <si>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</si>
  <si>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</si>
  <si>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</si>
  <si>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</si>
  <si>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</si>
  <si>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</si>
  <si>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</si>
  <si>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</si>
  <si>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</si>
  <si>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</si>
  <si>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</si>
  <si>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</si>
  <si>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</si>
  <si>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</si>
  <si>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</si>
  <si>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</si>
  <si>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</si>
  <si>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</si>
  <si>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</si>
  <si>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</si>
  <si>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</si>
  <si>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</si>
  <si>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</si>
  <si>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</si>
  <si>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</si>
  <si>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</si>
  <si>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</si>
  <si>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</si>
  <si>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</si>
  <si>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</si>
  <si>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</si>
  <si>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</si>
  <si>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</si>
  <si>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</si>
  <si>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</si>
  <si>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</si>
  <si>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</si>
  <si>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</si>
  <si>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</si>
  <si>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</si>
  <si>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</si>
  <si>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</si>
  <si>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</si>
  <si>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</si>
  <si>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</si>
  <si>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</si>
  <si>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</si>
  <si>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</si>
  <si>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</si>
  <si>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</si>
  <si>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</si>
  <si>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</si>
  <si>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</si>
  <si>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</si>
  <si>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</si>
  <si>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</si>
  <si>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</si>
  <si>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</si>
  <si>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</si>
  <si>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</si>
  <si>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</si>
  <si>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</si>
  <si>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</si>
  <si>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</si>
  <si>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</si>
  <si>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</si>
  <si>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</si>
  <si>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</si>
  <si>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</si>
  <si>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</si>
  <si>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</si>
  <si>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</si>
  <si>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</si>
  <si>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</si>
  <si>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</si>
  <si>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</si>
  <si>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</si>
  <si>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</si>
  <si>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</si>
  <si>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</si>
  <si>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</si>
  <si>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</si>
  <si>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</si>
  <si>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</si>
  <si>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</si>
  <si>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</si>
  <si>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</si>
  <si>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</si>
  <si>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</si>
  <si>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</si>
  <si>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</si>
  <si>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</si>
  <si>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</si>
  <si>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</si>
  <si>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</si>
  <si>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</si>
  <si>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</si>
  <si>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</si>
  <si>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</si>
  <si>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</si>
  <si>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</si>
  <si>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</si>
  <si>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</si>
  <si>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</si>
  <si>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</si>
  <si>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</si>
  <si>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</si>
  <si>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</si>
  <si>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</si>
  <si>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</si>
  <si>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</si>
  <si>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</si>
  <si>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</si>
  <si>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</si>
  <si>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</si>
  <si>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</si>
  <si>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</si>
  <si>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</si>
  <si>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</si>
  <si>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</si>
  <si>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</si>
  <si>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</si>
  <si>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</si>
  <si>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</si>
  <si>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</si>
  <si>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</si>
  <si>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</si>
  <si>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</si>
  <si>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</si>
  <si>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</si>
  <si>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</si>
  <si>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</si>
  <si>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</si>
  <si>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</si>
  <si>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</si>
  <si>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</si>
  <si>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</si>
  <si>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</si>
  <si>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</si>
  <si>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</si>
  <si>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</si>
  <si>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</si>
  <si>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</si>
  <si>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</si>
  <si>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</si>
  <si>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</si>
  <si>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</si>
  <si>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</si>
  <si>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</si>
  <si>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</si>
  <si>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</si>
  <si>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</si>
  <si>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</si>
  <si>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</si>
  <si>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</si>
  <si>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</si>
  <si>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</si>
  <si>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</si>
  <si>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</si>
  <si>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</si>
  <si>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</si>
  <si>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</si>
  <si>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</si>
  <si>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</si>
  <si>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</si>
  <si>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</si>
  <si>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</si>
  <si>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</si>
  <si>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</si>
  <si>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</si>
  <si>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</si>
  <si>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</si>
  <si>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</si>
  <si>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</si>
  <si>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</si>
  <si>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</si>
  <si>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</si>
  <si>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</si>
  <si>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</si>
  <si>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</si>
  <si>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</si>
  <si>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</si>
  <si>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</si>
  <si>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</si>
  <si>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</si>
  <si>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</si>
  <si>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</si>
  <si>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</si>
  <si>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</si>
  <si>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</si>
  <si>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</si>
  <si>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</si>
  <si>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</si>
  <si>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</si>
  <si>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</si>
  <si>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</si>
  <si>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</si>
  <si>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</si>
  <si>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</si>
  <si>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</si>
  <si>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</si>
  <si>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</si>
  <si>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</si>
  <si>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</si>
  <si>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</si>
  <si>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</si>
  <si>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</si>
  <si>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</si>
  <si>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</si>
  <si>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</si>
  <si>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</si>
  <si>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</si>
  <si>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</si>
  <si>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</si>
  <si>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</si>
  <si>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</si>
  <si>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</si>
  <si>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</si>
  <si>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</si>
  <si>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</si>
  <si>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核定资产</t>
  </si>
  <si>
    <t>房地产市场价值</t>
  </si>
  <si>
    <t>北京市</t>
  </si>
  <si>
    <t>自然人</t>
  </si>
  <si>
    <t>陈颖</t>
  </si>
  <si>
    <t>利息：取LPR加浮动点数</t>
  </si>
  <si>
    <t>住宅</t>
  </si>
  <si>
    <t>地上</t>
  </si>
  <si>
    <t>是</t>
  </si>
  <si>
    <t>成新度</t>
  </si>
  <si>
    <t>收益法 (元)</t>
  </si>
  <si>
    <t>住宅</t>
    <phoneticPr fontId="7" type="noConversion"/>
  </si>
  <si>
    <t>建成年代</t>
    <phoneticPr fontId="24" type="noConversion"/>
  </si>
  <si>
    <t>正常</t>
  </si>
  <si>
    <t>住宅</t>
    <phoneticPr fontId="24" type="noConversion"/>
  </si>
  <si>
    <t>楼层</t>
    <phoneticPr fontId="24" type="noConversion"/>
  </si>
  <si>
    <t>南北</t>
  </si>
  <si>
    <t>南北</t>
    <phoneticPr fontId="24" type="noConversion"/>
  </si>
  <si>
    <t>南</t>
    <phoneticPr fontId="24" type="noConversion"/>
  </si>
  <si>
    <t>高板</t>
  </si>
  <si>
    <t>高板</t>
    <phoneticPr fontId="24" type="noConversion"/>
  </si>
  <si>
    <t>钢混</t>
  </si>
  <si>
    <t>钢混</t>
    <phoneticPr fontId="24" type="noConversion"/>
  </si>
  <si>
    <t>普通装修</t>
  </si>
  <si>
    <t>普通装修</t>
    <phoneticPr fontId="24" type="noConversion"/>
  </si>
  <si>
    <t>物业公司管理</t>
  </si>
  <si>
    <t>物业公司管理</t>
    <phoneticPr fontId="24" type="noConversion"/>
  </si>
  <si>
    <t>七通</t>
  </si>
  <si>
    <t>七通</t>
    <phoneticPr fontId="24" type="noConversion"/>
  </si>
  <si>
    <t>平层</t>
  </si>
  <si>
    <t>平层</t>
    <phoneticPr fontId="24" type="noConversion"/>
  </si>
  <si>
    <t>较好</t>
  </si>
  <si>
    <t>小高层</t>
    <phoneticPr fontId="24" type="noConversion"/>
  </si>
  <si>
    <t>两梯两户</t>
    <phoneticPr fontId="24" type="noConversion"/>
  </si>
  <si>
    <t>一梯三户</t>
    <phoneticPr fontId="24" type="noConversion"/>
  </si>
  <si>
    <t>押一</t>
  </si>
  <si>
    <t>比较法-住宅</t>
  </si>
  <si>
    <t>售价</t>
  </si>
  <si>
    <t>有</t>
  </si>
  <si>
    <t>城镇住宅用地</t>
  </si>
  <si>
    <t>自定义容积率</t>
  </si>
  <si>
    <t>中心城区以外</t>
  </si>
  <si>
    <t>无</t>
  </si>
  <si>
    <t>1000米以外</t>
  </si>
  <si>
    <t>估价对象所在区域公共配套设施齐备情况较好</t>
    <phoneticPr fontId="40" type="noConversion"/>
  </si>
  <si>
    <t>一般</t>
  </si>
  <si>
    <t>差</t>
  </si>
  <si>
    <t>好</t>
  </si>
  <si>
    <t>按房产原值计税</t>
  </si>
  <si>
    <t>估价对象周边有青荷里晨风园、京城雅居、明德园等社区，综合评价居住社区成熟度较好</t>
    <phoneticPr fontId="40" type="noConversion"/>
  </si>
  <si>
    <t>估价对象紧邻城市支路——天达路，有专171路、411路等多条公共交通线路，距离最近的地铁7号线（郎辛庄站）约0.8公里，综合评价交通便捷度一般</t>
    <phoneticPr fontId="40" type="noConversion"/>
  </si>
  <si>
    <t>区域自然环境：西排干渠；人文环境；豆各庄乡情博物馆；综合评价环境状况一般。</t>
    <phoneticPr fontId="40" type="noConversion"/>
  </si>
  <si>
    <t>朝阳区天达路1号院6号楼23层1单元2303</t>
    <phoneticPr fontId="3" type="noConversion"/>
  </si>
  <si>
    <t>青荷里南山园</t>
    <phoneticPr fontId="3" type="noConversion"/>
  </si>
  <si>
    <t>A</t>
    <phoneticPr fontId="134" type="noConversion"/>
  </si>
  <si>
    <t>B</t>
    <phoneticPr fontId="134" type="noConversion"/>
  </si>
  <si>
    <t>C</t>
    <phoneticPr fontId="134" type="noConversion"/>
  </si>
  <si>
    <t>南</t>
  </si>
  <si>
    <r>
      <t>23/31</t>
    </r>
    <r>
      <rPr>
        <sz val="11"/>
        <color indexed="8"/>
        <rFont val="宋体"/>
        <family val="3"/>
        <charset val="134"/>
      </rPr>
      <t>（高楼层）</t>
    </r>
    <phoneticPr fontId="24" type="noConversion"/>
  </si>
  <si>
    <r>
      <t>15/29</t>
    </r>
    <r>
      <rPr>
        <sz val="11"/>
        <color indexed="8"/>
        <rFont val="宋体"/>
        <family val="3"/>
        <charset val="134"/>
      </rPr>
      <t>（中楼层）</t>
    </r>
    <phoneticPr fontId="24" type="noConversion"/>
  </si>
  <si>
    <r>
      <t>14/29</t>
    </r>
    <r>
      <rPr>
        <sz val="11"/>
        <color indexed="8"/>
        <rFont val="宋体"/>
        <family val="3"/>
        <charset val="134"/>
      </rPr>
      <t>（中楼层）</t>
    </r>
    <phoneticPr fontId="24" type="noConversion"/>
  </si>
  <si>
    <r>
      <t>24/28</t>
    </r>
    <r>
      <rPr>
        <sz val="11"/>
        <color indexed="8"/>
        <rFont val="宋体"/>
        <family val="3"/>
        <charset val="134"/>
      </rPr>
      <t>（高楼层）</t>
    </r>
    <phoneticPr fontId="24" type="noConversion"/>
  </si>
  <si>
    <t>青荷里晨风园</t>
    <phoneticPr fontId="24"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</si>
  <si>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</si>
  <si>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单套模式</t>
  </si>
  <si>
    <t>宁小鳗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</si>
</sst>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58" fontId="4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58" fontId="44" fillId="0" borderId="4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10" fontId="98" fillId="6" borderId="1" xfId="0" applyNumberFormat="1" applyFont="1" applyFill="1" applyBorder="1" applyAlignment="1" applyProtection="1">
      <alignment horizontal="center" vertical="center"/>
      <protection locked="0"/>
    </xf>
    <xf numFmtId="0" fontId="95" fillId="0" borderId="0" xfId="0" applyFont="1">
      <alignment vertical="center"/>
    </xf>
    <xf numFmtId="49" fontId="269" fillId="0" borderId="42" xfId="0" applyNumberFormat="1" applyFont="1" applyFill="1" applyBorder="1" applyAlignment="1" applyProtection="1">
      <alignment vertical="center"/>
      <protection locked="0"/>
    </xf>
    <xf numFmtId="183" fontId="44" fillId="9" borderId="70" xfId="0" applyNumberFormat="1" applyFont="1" applyFill="1" applyBorder="1" applyAlignment="1" applyProtection="1">
      <alignment horizontal="center" vertical="center" wrapText="1"/>
      <protection locked="0"/>
    </xf>
    <xf numFmtId="179" fontId="52" fillId="9" borderId="24" xfId="0" applyNumberFormat="1"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293609</xdr:colOff>
      <xdr:row>30</xdr:row>
      <xdr:rowOff>123167</xdr:rowOff>
    </xdr:to>
    <xdr:pic>
      <xdr:nvPicPr>
        <xdr:cNvPr id="2" name="图片 1">
          <a:extLst>
            <a:ext uri="{FF2B5EF4-FFF2-40B4-BE49-F238E27FC236}">
              <a16:creationId xmlns:a16="http://schemas.microsoft.com/office/drawing/2014/main" id="{2A7DBC4C-9AA9-4294-80E8-9C1E8AF0E2BD}"/>
            </a:ext>
          </a:extLst>
        </xdr:cNvPr>
        <xdr:cNvPicPr>
          <a:picLocks noChangeAspect="1"/>
        </xdr:cNvPicPr>
      </xdr:nvPicPr>
      <xdr:blipFill>
        <a:blip xmlns:r="http://schemas.openxmlformats.org/officeDocument/2006/relationships" r:embed="rId1"/>
        <a:stretch>
          <a:fillRect/>
        </a:stretch>
      </xdr:blipFill>
      <xdr:spPr>
        <a:xfrm>
          <a:off x="0" y="0"/>
          <a:ext cx="13323809" cy="5266667"/>
        </a:xfrm>
        <a:prstGeom prst="rect">
          <a:avLst/>
        </a:prstGeom>
      </xdr:spPr>
    </xdr:pic>
    <xdr:clientData/>
  </xdr:twoCellAnchor>
  <xdr:twoCellAnchor editAs="oneCell">
    <xdr:from>
      <xdr:col>0</xdr:col>
      <xdr:colOff>381000</xdr:colOff>
      <xdr:row>30</xdr:row>
      <xdr:rowOff>123825</xdr:rowOff>
    </xdr:from>
    <xdr:to>
      <xdr:col>20</xdr:col>
      <xdr:colOff>7857</xdr:colOff>
      <xdr:row>60</xdr:row>
      <xdr:rowOff>85087</xdr:rowOff>
    </xdr:to>
    <xdr:pic>
      <xdr:nvPicPr>
        <xdr:cNvPr id="3" name="图片 2">
          <a:extLst>
            <a:ext uri="{FF2B5EF4-FFF2-40B4-BE49-F238E27FC236}">
              <a16:creationId xmlns:a16="http://schemas.microsoft.com/office/drawing/2014/main" id="{2B3DA8E2-2149-49BB-904E-147D6673057E}"/>
            </a:ext>
          </a:extLst>
        </xdr:cNvPr>
        <xdr:cNvPicPr>
          <a:picLocks noChangeAspect="1"/>
        </xdr:cNvPicPr>
      </xdr:nvPicPr>
      <xdr:blipFill>
        <a:blip xmlns:r="http://schemas.openxmlformats.org/officeDocument/2006/relationships" r:embed="rId2"/>
        <a:stretch>
          <a:fillRect/>
        </a:stretch>
      </xdr:blipFill>
      <xdr:spPr>
        <a:xfrm>
          <a:off x="381000" y="5267325"/>
          <a:ext cx="13342857" cy="5104762"/>
        </a:xfrm>
        <a:prstGeom prst="rect">
          <a:avLst/>
        </a:prstGeom>
      </xdr:spPr>
    </xdr:pic>
    <xdr:clientData/>
  </xdr:twoCellAnchor>
  <xdr:twoCellAnchor editAs="oneCell">
    <xdr:from>
      <xdr:col>21</xdr:col>
      <xdr:colOff>0</xdr:colOff>
      <xdr:row>0</xdr:row>
      <xdr:rowOff>0</xdr:rowOff>
    </xdr:from>
    <xdr:to>
      <xdr:col>36</xdr:col>
      <xdr:colOff>646333</xdr:colOff>
      <xdr:row>30</xdr:row>
      <xdr:rowOff>75548</xdr:rowOff>
    </xdr:to>
    <xdr:pic>
      <xdr:nvPicPr>
        <xdr:cNvPr id="4" name="图片 3">
          <a:extLst>
            <a:ext uri="{FF2B5EF4-FFF2-40B4-BE49-F238E27FC236}">
              <a16:creationId xmlns:a16="http://schemas.microsoft.com/office/drawing/2014/main" id="{55A2A63B-1C4E-4FE7-B717-D7DC8FA61AA3}"/>
            </a:ext>
          </a:extLst>
        </xdr:cNvPr>
        <xdr:cNvPicPr>
          <a:picLocks noChangeAspect="1"/>
        </xdr:cNvPicPr>
      </xdr:nvPicPr>
      <xdr:blipFill>
        <a:blip xmlns:r="http://schemas.openxmlformats.org/officeDocument/2006/relationships" r:embed="rId3"/>
        <a:stretch>
          <a:fillRect/>
        </a:stretch>
      </xdr:blipFill>
      <xdr:spPr>
        <a:xfrm>
          <a:off x="14401800" y="0"/>
          <a:ext cx="10933333" cy="5219048"/>
        </a:xfrm>
        <a:prstGeom prst="rect">
          <a:avLst/>
        </a:prstGeom>
      </xdr:spPr>
    </xdr:pic>
    <xdr:clientData/>
  </xdr:twoCellAnchor>
  <xdr:twoCellAnchor editAs="oneCell">
    <xdr:from>
      <xdr:col>29</xdr:col>
      <xdr:colOff>514350</xdr:colOff>
      <xdr:row>0</xdr:row>
      <xdr:rowOff>0</xdr:rowOff>
    </xdr:from>
    <xdr:to>
      <xdr:col>39</xdr:col>
      <xdr:colOff>570636</xdr:colOff>
      <xdr:row>17</xdr:row>
      <xdr:rowOff>75826</xdr:rowOff>
    </xdr:to>
    <xdr:pic>
      <xdr:nvPicPr>
        <xdr:cNvPr id="5" name="图片 4">
          <a:extLst>
            <a:ext uri="{FF2B5EF4-FFF2-40B4-BE49-F238E27FC236}">
              <a16:creationId xmlns:a16="http://schemas.microsoft.com/office/drawing/2014/main" id="{1CC94E66-9A12-431F-8EDC-79125F9DC9A5}"/>
            </a:ext>
          </a:extLst>
        </xdr:cNvPr>
        <xdr:cNvPicPr>
          <a:picLocks noChangeAspect="1"/>
        </xdr:cNvPicPr>
      </xdr:nvPicPr>
      <xdr:blipFill>
        <a:blip xmlns:r="http://schemas.openxmlformats.org/officeDocument/2006/relationships" r:embed="rId4"/>
        <a:stretch>
          <a:fillRect/>
        </a:stretch>
      </xdr:blipFill>
      <xdr:spPr>
        <a:xfrm>
          <a:off x="20402550" y="0"/>
          <a:ext cx="6914286" cy="2990476"/>
        </a:xfrm>
        <a:prstGeom prst="rect">
          <a:avLst/>
        </a:prstGeom>
      </xdr:spPr>
    </xdr:pic>
    <xdr:clientData/>
  </xdr:twoCellAnchor>
  <xdr:twoCellAnchor editAs="oneCell">
    <xdr:from>
      <xdr:col>29</xdr:col>
      <xdr:colOff>466725</xdr:colOff>
      <xdr:row>17</xdr:row>
      <xdr:rowOff>142875</xdr:rowOff>
    </xdr:from>
    <xdr:to>
      <xdr:col>38</xdr:col>
      <xdr:colOff>227858</xdr:colOff>
      <xdr:row>27</xdr:row>
      <xdr:rowOff>18851</xdr:rowOff>
    </xdr:to>
    <xdr:pic>
      <xdr:nvPicPr>
        <xdr:cNvPr id="6" name="图片 5">
          <a:extLst>
            <a:ext uri="{FF2B5EF4-FFF2-40B4-BE49-F238E27FC236}">
              <a16:creationId xmlns:a16="http://schemas.microsoft.com/office/drawing/2014/main" id="{01123854-A3C5-492B-87B0-03F9F0F42871}"/>
            </a:ext>
          </a:extLst>
        </xdr:cNvPr>
        <xdr:cNvPicPr>
          <a:picLocks noChangeAspect="1"/>
        </xdr:cNvPicPr>
      </xdr:nvPicPr>
      <xdr:blipFill>
        <a:blip xmlns:r="http://schemas.openxmlformats.org/officeDocument/2006/relationships" r:embed="rId5"/>
        <a:stretch>
          <a:fillRect/>
        </a:stretch>
      </xdr:blipFill>
      <xdr:spPr>
        <a:xfrm>
          <a:off x="20354925" y="3057525"/>
          <a:ext cx="5933333" cy="1590476"/>
        </a:xfrm>
        <a:prstGeom prst="rect">
          <a:avLst/>
        </a:prstGeom>
      </xdr:spPr>
    </xdr:pic>
    <xdr:clientData/>
  </xdr:twoCellAnchor>
  <xdr:twoCellAnchor editAs="oneCell">
    <xdr:from>
      <xdr:col>38</xdr:col>
      <xdr:colOff>152400</xdr:colOff>
      <xdr:row>0</xdr:row>
      <xdr:rowOff>0</xdr:rowOff>
    </xdr:from>
    <xdr:to>
      <xdr:col>46</xdr:col>
      <xdr:colOff>532667</xdr:colOff>
      <xdr:row>26</xdr:row>
      <xdr:rowOff>85157</xdr:rowOff>
    </xdr:to>
    <xdr:pic>
      <xdr:nvPicPr>
        <xdr:cNvPr id="7" name="图片 6">
          <a:extLst>
            <a:ext uri="{FF2B5EF4-FFF2-40B4-BE49-F238E27FC236}">
              <a16:creationId xmlns:a16="http://schemas.microsoft.com/office/drawing/2014/main" id="{E50F4D15-81F2-40D6-997C-C0C59AB74E33}"/>
            </a:ext>
          </a:extLst>
        </xdr:cNvPr>
        <xdr:cNvPicPr>
          <a:picLocks noChangeAspect="1"/>
        </xdr:cNvPicPr>
      </xdr:nvPicPr>
      <xdr:blipFill>
        <a:blip xmlns:r="http://schemas.openxmlformats.org/officeDocument/2006/relationships" r:embed="rId6"/>
        <a:stretch>
          <a:fillRect/>
        </a:stretch>
      </xdr:blipFill>
      <xdr:spPr>
        <a:xfrm>
          <a:off x="26212800" y="0"/>
          <a:ext cx="5866667" cy="4542857"/>
        </a:xfrm>
        <a:prstGeom prst="rect">
          <a:avLst/>
        </a:prstGeom>
      </xdr:spPr>
    </xdr:pic>
    <xdr:clientData/>
  </xdr:twoCellAnchor>
  <xdr:twoCellAnchor editAs="oneCell">
    <xdr:from>
      <xdr:col>45</xdr:col>
      <xdr:colOff>666750</xdr:colOff>
      <xdr:row>0</xdr:row>
      <xdr:rowOff>0</xdr:rowOff>
    </xdr:from>
    <xdr:to>
      <xdr:col>64</xdr:col>
      <xdr:colOff>588931</xdr:colOff>
      <xdr:row>25</xdr:row>
      <xdr:rowOff>170893</xdr:rowOff>
    </xdr:to>
    <xdr:pic>
      <xdr:nvPicPr>
        <xdr:cNvPr id="8" name="图片 7">
          <a:extLst>
            <a:ext uri="{FF2B5EF4-FFF2-40B4-BE49-F238E27FC236}">
              <a16:creationId xmlns:a16="http://schemas.microsoft.com/office/drawing/2014/main" id="{A883952E-D869-4950-8532-1A34E9A8CF25}"/>
            </a:ext>
          </a:extLst>
        </xdr:cNvPr>
        <xdr:cNvPicPr>
          <a:picLocks noChangeAspect="1"/>
        </xdr:cNvPicPr>
      </xdr:nvPicPr>
      <xdr:blipFill>
        <a:blip xmlns:r="http://schemas.openxmlformats.org/officeDocument/2006/relationships" r:embed="rId7"/>
        <a:stretch>
          <a:fillRect/>
        </a:stretch>
      </xdr:blipFill>
      <xdr:spPr>
        <a:xfrm>
          <a:off x="31527750" y="0"/>
          <a:ext cx="12952381" cy="4457143"/>
        </a:xfrm>
        <a:prstGeom prst="rect">
          <a:avLst/>
        </a:prstGeom>
      </xdr:spPr>
    </xdr:pic>
    <xdr:clientData/>
  </xdr:twoCellAnchor>
  <xdr:twoCellAnchor editAs="oneCell">
    <xdr:from>
      <xdr:col>21</xdr:col>
      <xdr:colOff>9525</xdr:colOff>
      <xdr:row>30</xdr:row>
      <xdr:rowOff>28575</xdr:rowOff>
    </xdr:from>
    <xdr:to>
      <xdr:col>38</xdr:col>
      <xdr:colOff>284258</xdr:colOff>
      <xdr:row>61</xdr:row>
      <xdr:rowOff>66006</xdr:rowOff>
    </xdr:to>
    <xdr:pic>
      <xdr:nvPicPr>
        <xdr:cNvPr id="9" name="图片 8">
          <a:extLst>
            <a:ext uri="{FF2B5EF4-FFF2-40B4-BE49-F238E27FC236}">
              <a16:creationId xmlns:a16="http://schemas.microsoft.com/office/drawing/2014/main" id="{C7C7298B-CBC4-4535-A95C-2DC1913576A2}"/>
            </a:ext>
          </a:extLst>
        </xdr:cNvPr>
        <xdr:cNvPicPr>
          <a:picLocks noChangeAspect="1"/>
        </xdr:cNvPicPr>
      </xdr:nvPicPr>
      <xdr:blipFill>
        <a:blip xmlns:r="http://schemas.openxmlformats.org/officeDocument/2006/relationships" r:embed="rId8"/>
        <a:stretch>
          <a:fillRect/>
        </a:stretch>
      </xdr:blipFill>
      <xdr:spPr>
        <a:xfrm>
          <a:off x="14411325" y="5172075"/>
          <a:ext cx="11933333" cy="5352381"/>
        </a:xfrm>
        <a:prstGeom prst="rect">
          <a:avLst/>
        </a:prstGeom>
      </xdr:spPr>
    </xdr:pic>
    <xdr:clientData/>
  </xdr:twoCellAnchor>
  <xdr:twoCellAnchor editAs="oneCell">
    <xdr:from>
      <xdr:col>29</xdr:col>
      <xdr:colOff>504825</xdr:colOff>
      <xdr:row>30</xdr:row>
      <xdr:rowOff>133350</xdr:rowOff>
    </xdr:from>
    <xdr:to>
      <xdr:col>40</xdr:col>
      <xdr:colOff>551501</xdr:colOff>
      <xdr:row>48</xdr:row>
      <xdr:rowOff>37726</xdr:rowOff>
    </xdr:to>
    <xdr:pic>
      <xdr:nvPicPr>
        <xdr:cNvPr id="10" name="图片 9">
          <a:extLst>
            <a:ext uri="{FF2B5EF4-FFF2-40B4-BE49-F238E27FC236}">
              <a16:creationId xmlns:a16="http://schemas.microsoft.com/office/drawing/2014/main" id="{263899D7-9A68-46FE-A6D5-8BA9D4317F5B}"/>
            </a:ext>
          </a:extLst>
        </xdr:cNvPr>
        <xdr:cNvPicPr>
          <a:picLocks noChangeAspect="1"/>
        </xdr:cNvPicPr>
      </xdr:nvPicPr>
      <xdr:blipFill>
        <a:blip xmlns:r="http://schemas.openxmlformats.org/officeDocument/2006/relationships" r:embed="rId9"/>
        <a:stretch>
          <a:fillRect/>
        </a:stretch>
      </xdr:blipFill>
      <xdr:spPr>
        <a:xfrm>
          <a:off x="20393025" y="5276850"/>
          <a:ext cx="7590476" cy="2990476"/>
        </a:xfrm>
        <a:prstGeom prst="rect">
          <a:avLst/>
        </a:prstGeom>
      </xdr:spPr>
    </xdr:pic>
    <xdr:clientData/>
  </xdr:twoCellAnchor>
  <xdr:twoCellAnchor editAs="oneCell">
    <xdr:from>
      <xdr:col>29</xdr:col>
      <xdr:colOff>514350</xdr:colOff>
      <xdr:row>48</xdr:row>
      <xdr:rowOff>9525</xdr:rowOff>
    </xdr:from>
    <xdr:to>
      <xdr:col>38</xdr:col>
      <xdr:colOff>646912</xdr:colOff>
      <xdr:row>57</xdr:row>
      <xdr:rowOff>75999</xdr:rowOff>
    </xdr:to>
    <xdr:pic>
      <xdr:nvPicPr>
        <xdr:cNvPr id="11" name="图片 10">
          <a:extLst>
            <a:ext uri="{FF2B5EF4-FFF2-40B4-BE49-F238E27FC236}">
              <a16:creationId xmlns:a16="http://schemas.microsoft.com/office/drawing/2014/main" id="{8818C810-047F-4910-A454-4E5A9D23DBE5}"/>
            </a:ext>
          </a:extLst>
        </xdr:cNvPr>
        <xdr:cNvPicPr>
          <a:picLocks noChangeAspect="1"/>
        </xdr:cNvPicPr>
      </xdr:nvPicPr>
      <xdr:blipFill>
        <a:blip xmlns:r="http://schemas.openxmlformats.org/officeDocument/2006/relationships" r:embed="rId10"/>
        <a:stretch>
          <a:fillRect/>
        </a:stretch>
      </xdr:blipFill>
      <xdr:spPr>
        <a:xfrm>
          <a:off x="20402550" y="8239125"/>
          <a:ext cx="6304762" cy="1609524"/>
        </a:xfrm>
        <a:prstGeom prst="rect">
          <a:avLst/>
        </a:prstGeom>
      </xdr:spPr>
    </xdr:pic>
    <xdr:clientData/>
  </xdr:twoCellAnchor>
  <xdr:twoCellAnchor editAs="oneCell">
    <xdr:from>
      <xdr:col>37</xdr:col>
      <xdr:colOff>609600</xdr:colOff>
      <xdr:row>30</xdr:row>
      <xdr:rowOff>19050</xdr:rowOff>
    </xdr:from>
    <xdr:to>
      <xdr:col>46</xdr:col>
      <xdr:colOff>475495</xdr:colOff>
      <xdr:row>56</xdr:row>
      <xdr:rowOff>161350</xdr:rowOff>
    </xdr:to>
    <xdr:pic>
      <xdr:nvPicPr>
        <xdr:cNvPr id="12" name="图片 11">
          <a:extLst>
            <a:ext uri="{FF2B5EF4-FFF2-40B4-BE49-F238E27FC236}">
              <a16:creationId xmlns:a16="http://schemas.microsoft.com/office/drawing/2014/main" id="{33FF1281-B71D-4665-9883-AA7F22FB1078}"/>
            </a:ext>
          </a:extLst>
        </xdr:cNvPr>
        <xdr:cNvPicPr>
          <a:picLocks noChangeAspect="1"/>
        </xdr:cNvPicPr>
      </xdr:nvPicPr>
      <xdr:blipFill>
        <a:blip xmlns:r="http://schemas.openxmlformats.org/officeDocument/2006/relationships" r:embed="rId11"/>
        <a:stretch>
          <a:fillRect/>
        </a:stretch>
      </xdr:blipFill>
      <xdr:spPr>
        <a:xfrm>
          <a:off x="25984200" y="5162550"/>
          <a:ext cx="6038095" cy="4600000"/>
        </a:xfrm>
        <a:prstGeom prst="rect">
          <a:avLst/>
        </a:prstGeom>
      </xdr:spPr>
    </xdr:pic>
    <xdr:clientData/>
  </xdr:twoCellAnchor>
  <xdr:twoCellAnchor editAs="oneCell">
    <xdr:from>
      <xdr:col>0</xdr:col>
      <xdr:colOff>314325</xdr:colOff>
      <xdr:row>61</xdr:row>
      <xdr:rowOff>85725</xdr:rowOff>
    </xdr:from>
    <xdr:to>
      <xdr:col>18</xdr:col>
      <xdr:colOff>236592</xdr:colOff>
      <xdr:row>92</xdr:row>
      <xdr:rowOff>85061</xdr:rowOff>
    </xdr:to>
    <xdr:pic>
      <xdr:nvPicPr>
        <xdr:cNvPr id="13" name="图片 12">
          <a:extLst>
            <a:ext uri="{FF2B5EF4-FFF2-40B4-BE49-F238E27FC236}">
              <a16:creationId xmlns:a16="http://schemas.microsoft.com/office/drawing/2014/main" id="{F0C1588F-AF1F-4750-B93F-9722392F4659}"/>
            </a:ext>
          </a:extLst>
        </xdr:cNvPr>
        <xdr:cNvPicPr>
          <a:picLocks noChangeAspect="1"/>
        </xdr:cNvPicPr>
      </xdr:nvPicPr>
      <xdr:blipFill>
        <a:blip xmlns:r="http://schemas.openxmlformats.org/officeDocument/2006/relationships" r:embed="rId12"/>
        <a:stretch>
          <a:fillRect/>
        </a:stretch>
      </xdr:blipFill>
      <xdr:spPr>
        <a:xfrm>
          <a:off x="314325" y="10544175"/>
          <a:ext cx="12266667" cy="5314286"/>
        </a:xfrm>
        <a:prstGeom prst="rect">
          <a:avLst/>
        </a:prstGeom>
      </xdr:spPr>
    </xdr:pic>
    <xdr:clientData/>
  </xdr:twoCellAnchor>
  <xdr:twoCellAnchor editAs="oneCell">
    <xdr:from>
      <xdr:col>0</xdr:col>
      <xdr:colOff>333375</xdr:colOff>
      <xdr:row>92</xdr:row>
      <xdr:rowOff>66675</xdr:rowOff>
    </xdr:from>
    <xdr:to>
      <xdr:col>10</xdr:col>
      <xdr:colOff>465851</xdr:colOff>
      <xdr:row>109</xdr:row>
      <xdr:rowOff>113930</xdr:rowOff>
    </xdr:to>
    <xdr:pic>
      <xdr:nvPicPr>
        <xdr:cNvPr id="14" name="图片 13">
          <a:extLst>
            <a:ext uri="{FF2B5EF4-FFF2-40B4-BE49-F238E27FC236}">
              <a16:creationId xmlns:a16="http://schemas.microsoft.com/office/drawing/2014/main" id="{66E85CB9-BA27-4BBB-ADC4-F67628EBE702}"/>
            </a:ext>
          </a:extLst>
        </xdr:cNvPr>
        <xdr:cNvPicPr>
          <a:picLocks noChangeAspect="1"/>
        </xdr:cNvPicPr>
      </xdr:nvPicPr>
      <xdr:blipFill>
        <a:blip xmlns:r="http://schemas.openxmlformats.org/officeDocument/2006/relationships" r:embed="rId13"/>
        <a:stretch>
          <a:fillRect/>
        </a:stretch>
      </xdr:blipFill>
      <xdr:spPr>
        <a:xfrm>
          <a:off x="333375" y="15840075"/>
          <a:ext cx="6990476" cy="2961905"/>
        </a:xfrm>
        <a:prstGeom prst="rect">
          <a:avLst/>
        </a:prstGeom>
      </xdr:spPr>
    </xdr:pic>
    <xdr:clientData/>
  </xdr:twoCellAnchor>
  <xdr:twoCellAnchor editAs="oneCell">
    <xdr:from>
      <xdr:col>10</xdr:col>
      <xdr:colOff>438150</xdr:colOff>
      <xdr:row>92</xdr:row>
      <xdr:rowOff>47625</xdr:rowOff>
    </xdr:from>
    <xdr:to>
      <xdr:col>19</xdr:col>
      <xdr:colOff>208807</xdr:colOff>
      <xdr:row>101</xdr:row>
      <xdr:rowOff>95051</xdr:rowOff>
    </xdr:to>
    <xdr:pic>
      <xdr:nvPicPr>
        <xdr:cNvPr id="15" name="图片 14">
          <a:extLst>
            <a:ext uri="{FF2B5EF4-FFF2-40B4-BE49-F238E27FC236}">
              <a16:creationId xmlns:a16="http://schemas.microsoft.com/office/drawing/2014/main" id="{6BE2D3EA-310D-4523-BB51-84EC0ADBBE9D}"/>
            </a:ext>
          </a:extLst>
        </xdr:cNvPr>
        <xdr:cNvPicPr>
          <a:picLocks noChangeAspect="1"/>
        </xdr:cNvPicPr>
      </xdr:nvPicPr>
      <xdr:blipFill>
        <a:blip xmlns:r="http://schemas.openxmlformats.org/officeDocument/2006/relationships" r:embed="rId14"/>
        <a:stretch>
          <a:fillRect/>
        </a:stretch>
      </xdr:blipFill>
      <xdr:spPr>
        <a:xfrm>
          <a:off x="7296150" y="15821025"/>
          <a:ext cx="5942857" cy="1590476"/>
        </a:xfrm>
        <a:prstGeom prst="rect">
          <a:avLst/>
        </a:prstGeom>
      </xdr:spPr>
    </xdr:pic>
    <xdr:clientData/>
  </xdr:twoCellAnchor>
  <xdr:twoCellAnchor editAs="oneCell">
    <xdr:from>
      <xdr:col>10</xdr:col>
      <xdr:colOff>381000</xdr:colOff>
      <xdr:row>101</xdr:row>
      <xdr:rowOff>19050</xdr:rowOff>
    </xdr:from>
    <xdr:to>
      <xdr:col>20</xdr:col>
      <xdr:colOff>665857</xdr:colOff>
      <xdr:row>127</xdr:row>
      <xdr:rowOff>37540</xdr:rowOff>
    </xdr:to>
    <xdr:pic>
      <xdr:nvPicPr>
        <xdr:cNvPr id="16" name="图片 15">
          <a:extLst>
            <a:ext uri="{FF2B5EF4-FFF2-40B4-BE49-F238E27FC236}">
              <a16:creationId xmlns:a16="http://schemas.microsoft.com/office/drawing/2014/main" id="{49D8B3B7-FE55-4B64-B1F8-E1E25113CAF7}"/>
            </a:ext>
          </a:extLst>
        </xdr:cNvPr>
        <xdr:cNvPicPr>
          <a:picLocks noChangeAspect="1"/>
        </xdr:cNvPicPr>
      </xdr:nvPicPr>
      <xdr:blipFill>
        <a:blip xmlns:r="http://schemas.openxmlformats.org/officeDocument/2006/relationships" r:embed="rId15"/>
        <a:stretch>
          <a:fillRect/>
        </a:stretch>
      </xdr:blipFill>
      <xdr:spPr>
        <a:xfrm>
          <a:off x="7239000" y="17335500"/>
          <a:ext cx="7142857" cy="4476190"/>
        </a:xfrm>
        <a:prstGeom prst="rect">
          <a:avLst/>
        </a:prstGeom>
      </xdr:spPr>
    </xdr:pic>
    <xdr:clientData/>
  </xdr:twoCellAnchor>
  <xdr:twoCellAnchor editAs="oneCell">
    <xdr:from>
      <xdr:col>0</xdr:col>
      <xdr:colOff>0</xdr:colOff>
      <xdr:row>127</xdr:row>
      <xdr:rowOff>57150</xdr:rowOff>
    </xdr:from>
    <xdr:to>
      <xdr:col>16</xdr:col>
      <xdr:colOff>436724</xdr:colOff>
      <xdr:row>139</xdr:row>
      <xdr:rowOff>56893</xdr:rowOff>
    </xdr:to>
    <xdr:pic>
      <xdr:nvPicPr>
        <xdr:cNvPr id="17" name="图片 16">
          <a:extLst>
            <a:ext uri="{FF2B5EF4-FFF2-40B4-BE49-F238E27FC236}">
              <a16:creationId xmlns:a16="http://schemas.microsoft.com/office/drawing/2014/main" id="{034FF3EA-5994-4B5A-938E-A80586C045DC}"/>
            </a:ext>
          </a:extLst>
        </xdr:cNvPr>
        <xdr:cNvPicPr>
          <a:picLocks noChangeAspect="1"/>
        </xdr:cNvPicPr>
      </xdr:nvPicPr>
      <xdr:blipFill>
        <a:blip xmlns:r="http://schemas.openxmlformats.org/officeDocument/2006/relationships" r:embed="rId16"/>
        <a:stretch>
          <a:fillRect/>
        </a:stretch>
      </xdr:blipFill>
      <xdr:spPr>
        <a:xfrm>
          <a:off x="0" y="21831300"/>
          <a:ext cx="11409524" cy="20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 ca="1">'预评函-封皮'!B46</f>
        <v>陈颖（注册号：1120060040)、宁小鳗（注册号：1120210056)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估价对象为北京市房地产，为所有。根据《国有土地使用证》[]，估价对象（分摊）出让国有建设用地使用权面积为0平方米，建筑面积为72.16平方米。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估价对象为北京市房地产,属开发建设的，该项目尚在开发建设中。根据《国有土地使用证》[]，估价对象（分摊）出让国有建设用地使用权面积为0平方米，规划建筑面积为72.16平方米。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2023年10月15日（评估专业人员实地查勘之日）</v>
      </c>
    </row>
    <row r="13" spans="1:2" s="1203" customFormat="1">
      <c r="A13" s="1201" t="s">
        <v>529</v>
      </c>
      <c r="B13" s="1202" t="str">
        <f>'预评函-1'!A18</f>
        <v>本次估价的“房地产价值”是指在正常市场情况下，在价值时点2023年10月15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72.16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陈颖</v>
      </c>
    </row>
    <row r="71" spans="1:2">
      <c r="A71" s="1201" t="s">
        <v>563</v>
      </c>
      <c r="B71" s="1202">
        <f ca="1">'预评函-4'!B4</f>
        <v>1120060040</v>
      </c>
    </row>
    <row r="72" spans="1:2">
      <c r="A72" s="1201" t="s">
        <v>564</v>
      </c>
      <c r="B72" s="1210" t="str">
        <f>'预评函-4'!A5</f>
        <v>宁小鳗</v>
      </c>
    </row>
    <row r="73" spans="1:2" s="1197" customFormat="1" ht="15" thickBot="1">
      <c r="A73" s="1204" t="s">
        <v>565</v>
      </c>
      <c r="B73" s="1205">
        <f>'预评函-4'!B5</f>
        <v>1120210056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2577</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2578</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2290</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4"/>
      <c r="B54" s="1554" t="s">
        <v>385</v>
      </c>
      <c r="C54" s="1551" t="s">
        <v>583</v>
      </c>
    </row>
    <row r="55" spans="1:4">
      <c r="A55" s="3504"/>
      <c r="B55" s="1554" t="s">
        <v>386</v>
      </c>
      <c r="C55" s="1551" t="s">
        <v>584</v>
      </c>
    </row>
    <row r="56" spans="1:4">
      <c r="A56" s="3504"/>
      <c r="B56" s="1554" t="s">
        <v>387</v>
      </c>
      <c r="C56" s="1551" t="s">
        <v>588</v>
      </c>
    </row>
    <row r="57" spans="1:4">
      <c r="A57" s="350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05" t="s">
        <v>2580</v>
      </c>
      <c r="J2" s="3505"/>
      <c r="K2" s="3505"/>
      <c r="L2" s="3505"/>
      <c r="M2" s="3505"/>
      <c r="N2" s="3505"/>
      <c r="O2" s="3505"/>
      <c r="P2" s="3505"/>
      <c r="Q2" s="3505"/>
      <c r="R2" s="3505"/>
    </row>
    <row r="3" spans="1:18">
      <c r="A3" s="3019" t="s">
        <v>2501</v>
      </c>
      <c r="B3" s="3020">
        <f>项目基本情况!D3</f>
        <v>45214</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3.18</v>
      </c>
      <c r="D5" s="3024">
        <f>IF(ISERROR(ROUND(POWER(1+E5,A5-C5)*(POWER(1+E5,C5)-1)/(POWER(1+E5,A5)-1),3)),0,ROUND(POWER(1+E5,A5-C5)*(POWER(1+E5,C5)-1)/(POWER(1+E5,A5)-1),4))</f>
        <v>0.14810000000000001</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13.18</v>
      </c>
      <c r="D6" s="3024">
        <f>IF(ISERROR(ROUND(POWER(1+E6,A6-C6)*(POWER(1+E6,C6)-1)/(POWER(1+E6,A6)-1),3)),0,ROUND(POWER(1+E6,A6-C6)*(POWER(1+E6,C6)-1)/(POWER(1+E6,A6)-1),4))</f>
        <v>0.4698</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33.200000000000003</v>
      </c>
      <c r="D7" s="3024">
        <f>IF(ISERROR(ROUND(POWER(1+E7,A7-C7)*(POWER(1+E7,C7)-1)/(POWER(1+E7,A7)-1),3)),0,ROUND(POWER(1+E7,A7-C7)*(POWER(1+E7,C7)-1)/(POWER(1+E7,A7)-1),4))</f>
        <v>0.77800000000000002</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3">
      <c r="A17" s="3019" t="s">
        <v>2517</v>
      </c>
      <c r="B17" s="3028">
        <v>4810</v>
      </c>
      <c r="C17" s="3021"/>
      <c r="D17" s="3017"/>
      <c r="E17" s="3017"/>
      <c r="F17" s="3018"/>
    </row>
    <row r="18" spans="1:13" ht="14.25" thickBot="1">
      <c r="A18" s="3030" t="s">
        <v>2516</v>
      </c>
      <c r="B18" s="3031">
        <f>ROUND(B17*F11/F12,2)</f>
        <v>5541.87</v>
      </c>
      <c r="C18" s="3031">
        <f>ROUND(F11/F12,4)</f>
        <v>1.1521999999999999</v>
      </c>
      <c r="D18" s="3032"/>
      <c r="E18" s="3032"/>
      <c r="F18" s="3033"/>
    </row>
    <row r="19" spans="1:13" ht="14.25" thickBot="1"/>
    <row r="20" spans="1:13" s="3068" customFormat="1" ht="14.25" thickTop="1">
      <c r="A20" s="3065" t="s">
        <v>2519</v>
      </c>
      <c r="B20" s="3066"/>
      <c r="C20" s="3066"/>
      <c r="D20" s="3066"/>
      <c r="E20" s="3066"/>
      <c r="F20" s="3066"/>
      <c r="G20" s="3067"/>
      <c r="I20" s="3069" t="s">
        <v>2564</v>
      </c>
      <c r="J20" s="3069" t="s">
        <v>2569</v>
      </c>
      <c r="K20" s="3069"/>
      <c r="L20" s="3069"/>
      <c r="M20" s="3069"/>
    </row>
    <row r="21" spans="1:13">
      <c r="A21" s="3034"/>
      <c r="B21" s="3035" t="s">
        <v>2520</v>
      </c>
      <c r="C21" s="3035" t="s">
        <v>2521</v>
      </c>
      <c r="D21" s="3035" t="s">
        <v>2522</v>
      </c>
      <c r="E21" s="3035" t="s">
        <v>2523</v>
      </c>
      <c r="F21" s="3035" t="s">
        <v>2524</v>
      </c>
      <c r="G21" s="3036" t="s">
        <v>2525</v>
      </c>
      <c r="I21" s="3057">
        <v>5</v>
      </c>
      <c r="J21" s="3057">
        <v>54.2</v>
      </c>
    </row>
    <row r="22" spans="1:13">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M23" s="3057" t="s">
        <v>2568</v>
      </c>
    </row>
    <row r="24" spans="1:13">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M24" s="3057">
        <v>10</v>
      </c>
    </row>
    <row r="25" spans="1:13">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M25" s="3057">
        <v>8</v>
      </c>
    </row>
    <row r="26" spans="1:13">
      <c r="A26" s="3039"/>
      <c r="B26" s="3040"/>
      <c r="C26" s="3040"/>
      <c r="D26" s="3040"/>
      <c r="E26" s="3040"/>
      <c r="F26" s="3040"/>
      <c r="G26" s="3041"/>
      <c r="I26" s="3057">
        <v>30</v>
      </c>
      <c r="J26" s="3057">
        <v>90.5</v>
      </c>
      <c r="K26" s="3057">
        <f t="shared" si="2"/>
        <v>4.2000000000000028</v>
      </c>
      <c r="L26" s="3057" t="s">
        <v>2571</v>
      </c>
      <c r="M26" s="3057">
        <v>5</v>
      </c>
    </row>
    <row r="27" spans="1:13">
      <c r="A27" s="3039" t="s">
        <v>2530</v>
      </c>
      <c r="B27" s="3040"/>
      <c r="C27" s="3040"/>
      <c r="D27" s="3040"/>
      <c r="E27" s="3040"/>
      <c r="F27" s="3040"/>
      <c r="G27" s="3041"/>
      <c r="I27" s="3057">
        <v>35</v>
      </c>
      <c r="J27" s="3057">
        <v>93.8</v>
      </c>
      <c r="K27" s="3057">
        <f t="shared" si="2"/>
        <v>3.2999999999999972</v>
      </c>
      <c r="L27" s="3057" t="s">
        <v>2572</v>
      </c>
      <c r="M27" s="3057">
        <v>3</v>
      </c>
    </row>
    <row r="28" spans="1:13">
      <c r="A28" s="3039" t="s">
        <v>2531</v>
      </c>
      <c r="B28" s="3040"/>
      <c r="C28" s="3040"/>
      <c r="D28" s="3040"/>
      <c r="E28" s="3040"/>
      <c r="F28" s="3040"/>
      <c r="G28" s="3041"/>
      <c r="I28" s="3057">
        <v>40</v>
      </c>
      <c r="J28" s="3057">
        <v>96.4</v>
      </c>
      <c r="K28" s="3057">
        <f t="shared" si="2"/>
        <v>2.6000000000000085</v>
      </c>
      <c r="L28" s="3057" t="s">
        <v>2573</v>
      </c>
      <c r="M28" s="3057">
        <v>2</v>
      </c>
    </row>
    <row r="29" spans="1:13">
      <c r="A29" s="3039" t="s">
        <v>2532</v>
      </c>
      <c r="B29" s="3040"/>
      <c r="C29" s="3040"/>
      <c r="D29" s="3040"/>
      <c r="E29" s="3040"/>
      <c r="F29" s="3040"/>
      <c r="G29" s="3041"/>
      <c r="I29" s="3057">
        <v>45</v>
      </c>
      <c r="J29" s="3057">
        <v>98.4</v>
      </c>
      <c r="K29" s="3057">
        <f t="shared" si="2"/>
        <v>2</v>
      </c>
    </row>
    <row r="30" spans="1:13">
      <c r="A30" s="3039" t="s">
        <v>2533</v>
      </c>
      <c r="B30" s="3040"/>
      <c r="C30" s="3040"/>
      <c r="D30" s="3040"/>
      <c r="E30" s="3040"/>
      <c r="F30" s="3040"/>
      <c r="G30" s="3041"/>
      <c r="I30" s="3057">
        <v>50</v>
      </c>
      <c r="J30" s="3057">
        <v>100</v>
      </c>
      <c r="K30" s="3057">
        <f t="shared" si="2"/>
        <v>1.5999999999999943</v>
      </c>
    </row>
    <row r="31" spans="1:13">
      <c r="A31" s="3039" t="s">
        <v>2534</v>
      </c>
      <c r="B31" s="3040"/>
      <c r="C31" s="3040"/>
      <c r="D31" s="3040"/>
      <c r="E31" s="3040"/>
      <c r="F31" s="3040"/>
      <c r="G31" s="3041"/>
      <c r="I31" s="3057" t="s">
        <v>2565</v>
      </c>
    </row>
    <row r="32" spans="1:13">
      <c r="A32" s="3039" t="s">
        <v>2535</v>
      </c>
      <c r="B32" s="3040"/>
      <c r="C32" s="3040"/>
      <c r="D32" s="3040"/>
      <c r="E32" s="3040"/>
      <c r="F32" s="3040"/>
      <c r="G32" s="3041"/>
    </row>
    <row r="33" spans="1:13">
      <c r="A33" s="3039" t="s">
        <v>2536</v>
      </c>
      <c r="B33" s="3040"/>
      <c r="C33" s="3040"/>
      <c r="D33" s="3040"/>
      <c r="E33" s="3040"/>
      <c r="F33" s="3040"/>
      <c r="G33" s="3041"/>
      <c r="I33" s="3057" t="s">
        <v>2564</v>
      </c>
      <c r="J33" s="3057" t="s">
        <v>2574</v>
      </c>
    </row>
    <row r="34" spans="1:13">
      <c r="A34" s="3039" t="s">
        <v>2537</v>
      </c>
      <c r="B34" s="3040"/>
      <c r="C34" s="3040"/>
      <c r="D34" s="3040"/>
      <c r="E34" s="3040"/>
      <c r="F34" s="3040"/>
      <c r="G34" s="3041"/>
      <c r="I34" s="3057">
        <v>5</v>
      </c>
      <c r="J34" s="3057">
        <v>55.1</v>
      </c>
    </row>
    <row r="35" spans="1:13">
      <c r="A35" s="3039" t="s">
        <v>2538</v>
      </c>
      <c r="B35" s="3040"/>
      <c r="C35" s="3040"/>
      <c r="D35" s="3040"/>
      <c r="E35" s="3040"/>
      <c r="F35" s="3040"/>
      <c r="G35" s="3041"/>
      <c r="I35" s="3057">
        <v>10</v>
      </c>
      <c r="J35" s="3057">
        <v>67</v>
      </c>
      <c r="K35" s="3057">
        <f>J35-J34</f>
        <v>11.899999999999999</v>
      </c>
    </row>
    <row r="36" spans="1:13">
      <c r="A36" s="3039" t="s">
        <v>2539</v>
      </c>
      <c r="B36" s="3040"/>
      <c r="C36" s="3040"/>
      <c r="D36" s="3040"/>
      <c r="E36" s="3040"/>
      <c r="F36" s="3040"/>
      <c r="G36" s="3041"/>
      <c r="I36" s="3057">
        <v>15</v>
      </c>
      <c r="J36" s="3057">
        <v>76.3</v>
      </c>
      <c r="K36" s="3057">
        <f t="shared" ref="K36:K41" si="3">J36-J35</f>
        <v>9.2999999999999972</v>
      </c>
      <c r="L36" s="3057" t="s">
        <v>2567</v>
      </c>
      <c r="M36" s="3057" t="s">
        <v>2568</v>
      </c>
    </row>
    <row r="37" spans="1:13">
      <c r="A37" s="3039" t="s">
        <v>2540</v>
      </c>
      <c r="B37" s="3040"/>
      <c r="C37" s="3040"/>
      <c r="D37" s="3040"/>
      <c r="E37" s="3040"/>
      <c r="F37" s="3040"/>
      <c r="G37" s="3041"/>
      <c r="I37" s="3057">
        <v>20</v>
      </c>
      <c r="J37" s="3057">
        <v>83.6</v>
      </c>
      <c r="K37" s="3057">
        <f t="shared" si="3"/>
        <v>7.2999999999999972</v>
      </c>
      <c r="L37" s="3057" t="s">
        <v>2566</v>
      </c>
      <c r="M37" s="3057">
        <v>10</v>
      </c>
    </row>
    <row r="38" spans="1:13">
      <c r="A38" s="3039" t="s">
        <v>2541</v>
      </c>
      <c r="B38" s="3040"/>
      <c r="C38" s="3040"/>
      <c r="D38" s="3040"/>
      <c r="E38" s="3040"/>
      <c r="F38" s="3040"/>
      <c r="G38" s="3041"/>
      <c r="I38" s="3057">
        <v>25</v>
      </c>
      <c r="J38" s="3057">
        <v>89.3</v>
      </c>
      <c r="K38" s="3057">
        <f t="shared" si="3"/>
        <v>5.7000000000000028</v>
      </c>
      <c r="L38" s="3057" t="s">
        <v>2570</v>
      </c>
      <c r="M38" s="3057">
        <v>8</v>
      </c>
    </row>
    <row r="39" spans="1:13">
      <c r="A39" s="3039"/>
      <c r="B39" s="3040"/>
      <c r="C39" s="3040"/>
      <c r="D39" s="3040"/>
      <c r="E39" s="3040"/>
      <c r="F39" s="3040"/>
      <c r="G39" s="3041"/>
      <c r="I39" s="3057">
        <v>30</v>
      </c>
      <c r="J39" s="3057">
        <v>93.8</v>
      </c>
      <c r="K39" s="3057">
        <f t="shared" si="3"/>
        <v>4.5</v>
      </c>
      <c r="L39" s="3057" t="s">
        <v>2571</v>
      </c>
      <c r="M39" s="3057">
        <v>6</v>
      </c>
    </row>
    <row r="40" spans="1:13">
      <c r="A40" s="3042" t="s">
        <v>2542</v>
      </c>
      <c r="B40" s="3043"/>
      <c r="C40" s="3043"/>
      <c r="D40" s="3043"/>
      <c r="E40" s="3043"/>
      <c r="F40" s="3043"/>
      <c r="G40" s="3044"/>
      <c r="I40" s="3057">
        <v>35</v>
      </c>
      <c r="J40" s="3057">
        <v>97.2</v>
      </c>
      <c r="K40" s="3057">
        <f t="shared" si="3"/>
        <v>3.4000000000000057</v>
      </c>
      <c r="L40" s="3057" t="s">
        <v>2572</v>
      </c>
      <c r="M40" s="3057">
        <v>3</v>
      </c>
    </row>
    <row r="41" spans="1:13">
      <c r="A41" s="3045" t="s">
        <v>2543</v>
      </c>
      <c r="B41" s="3046" t="s">
        <v>2544</v>
      </c>
      <c r="C41" s="3047" t="s">
        <v>2545</v>
      </c>
      <c r="D41" s="3047" t="s">
        <v>2546</v>
      </c>
      <c r="E41" s="3048"/>
      <c r="F41" s="3049"/>
      <c r="G41" s="3050"/>
      <c r="I41" s="3057">
        <v>40</v>
      </c>
      <c r="J41" s="3057">
        <v>100</v>
      </c>
      <c r="K41" s="3057">
        <f t="shared" si="3"/>
        <v>2.7999999999999972</v>
      </c>
    </row>
    <row r="42" spans="1:13">
      <c r="A42" s="3045" t="s">
        <v>2547</v>
      </c>
      <c r="B42" s="3046" t="s">
        <v>2548</v>
      </c>
      <c r="C42" s="3047" t="s">
        <v>2549</v>
      </c>
      <c r="D42" s="3051" t="s">
        <v>2550</v>
      </c>
      <c r="E42" s="3043" t="s">
        <v>2551</v>
      </c>
      <c r="F42" s="3043"/>
      <c r="G42" s="3044"/>
    </row>
    <row r="43" spans="1:13">
      <c r="A43" s="3045" t="s">
        <v>2552</v>
      </c>
      <c r="B43" s="3046" t="s">
        <v>2553</v>
      </c>
      <c r="C43" s="3047" t="s">
        <v>2554</v>
      </c>
      <c r="D43" s="3047" t="s">
        <v>2555</v>
      </c>
      <c r="E43" s="3048" t="s">
        <v>2556</v>
      </c>
      <c r="F43" s="3049"/>
      <c r="G43" s="3050"/>
      <c r="I43" s="3057" t="s">
        <v>2564</v>
      </c>
      <c r="J43" s="3057" t="s">
        <v>2575</v>
      </c>
    </row>
    <row r="44" spans="1:13">
      <c r="A44" s="3045" t="s">
        <v>2557</v>
      </c>
      <c r="B44" s="3046" t="s">
        <v>2558</v>
      </c>
      <c r="C44" s="3047" t="s">
        <v>2559</v>
      </c>
      <c r="D44" s="3051">
        <v>0.5</v>
      </c>
      <c r="E44" s="3048" t="s">
        <v>2560</v>
      </c>
      <c r="F44" s="3049"/>
      <c r="G44" s="3050"/>
      <c r="I44" s="3057">
        <v>30</v>
      </c>
      <c r="J44" s="3057">
        <v>81.7</v>
      </c>
    </row>
    <row r="45" spans="1:13" ht="14.25" thickBot="1">
      <c r="A45" s="3052" t="s">
        <v>2561</v>
      </c>
      <c r="B45" s="3053" t="s">
        <v>2548</v>
      </c>
      <c r="C45" s="3054" t="s">
        <v>2548</v>
      </c>
      <c r="D45" s="3054" t="s">
        <v>2562</v>
      </c>
      <c r="E45" s="3055" t="s">
        <v>2563</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Normal="100" zoomScaleSheetLayoutView="100" workbookViewId="0">
      <selection activeCell="F30" sqref="F3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06" t="str">
        <f>IF(B10="北京市","北京市",C10)&amp;F10&amp;IF(结果表!G1="在建","出让国有建设用地使用权及在建建筑物",IF(结果表!G1="土地","出让国有建设用地使用权",))&amp;B9&amp;"预评估"</f>
        <v>北京市房地产市场价值预评估</v>
      </c>
      <c r="C1" s="3507"/>
      <c r="D1" s="3507"/>
      <c r="E1" s="3507"/>
      <c r="F1" s="3507"/>
      <c r="G1" s="3507"/>
      <c r="H1" s="3507"/>
      <c r="I1" s="3508"/>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2168</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f>D3</f>
        <v>45214</v>
      </c>
      <c r="C3" s="2374" t="s">
        <v>2170</v>
      </c>
      <c r="D3" s="2373">
        <v>45214</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3382</v>
      </c>
      <c r="C4" s="2376">
        <f ca="1">SUMIF(注册房地产估价师,B4,估价师及机构信息!B3:B24)</f>
        <v>1120060040</v>
      </c>
      <c r="D4" s="2375" t="s">
        <v>3443</v>
      </c>
      <c r="E4" s="2377">
        <f>SUMIF(注册房地产估价师,D4,估价师及机构信息!B3:B24)</f>
        <v>1120210056</v>
      </c>
      <c r="F4" s="2375"/>
      <c r="G4" s="2377">
        <f>SUMIF(注册房地产估价师,F4,估价师及机构信息!B3:B24)</f>
        <v>0</v>
      </c>
      <c r="H4" s="2375"/>
      <c r="I4" s="2377">
        <f>SUMIF(注册房地产估价师,H4,估价师及机构信息!B3:B24)</f>
        <v>0</v>
      </c>
      <c r="J4" s="2439"/>
      <c r="K4" s="2378" t="str">
        <f ca="1">CONCATENATE(B4,"（注册号：",C4,")、",D4,"（注册号：",E4,")")</f>
        <v>陈颖（注册号：1120060040)、宁小鳗（注册号：1120210056)</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3"/>
      <c r="F5" s="2663"/>
      <c r="G5" s="2663"/>
      <c r="H5" s="2663"/>
      <c r="I5" s="2663"/>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1"/>
      <c r="F6" s="2663"/>
      <c r="G6" s="2663"/>
      <c r="H6" s="2663"/>
      <c r="I6" s="2663"/>
      <c r="J6" s="2439"/>
      <c r="K6" s="2614" t="str">
        <f>IF(COUNTIF(B6,"*上海银行*"),"上海银行","")</f>
        <v/>
      </c>
      <c r="L6" s="2612"/>
      <c r="M6" s="2612"/>
      <c r="N6" s="2439"/>
      <c r="O6" s="2450"/>
      <c r="P6" s="2439"/>
      <c r="Q6" s="2439"/>
      <c r="R6" s="2439"/>
    </row>
    <row r="7" spans="1:30">
      <c r="A7" s="2383" t="s">
        <v>2174</v>
      </c>
      <c r="B7" s="2387"/>
      <c r="C7" s="2385"/>
      <c r="D7" s="2386"/>
      <c r="E7" s="2661"/>
      <c r="F7" s="2663"/>
      <c r="G7" s="2663"/>
      <c r="H7" s="2663"/>
      <c r="I7" s="2663"/>
      <c r="J7" s="2439"/>
      <c r="K7" s="2615"/>
      <c r="L7" s="2612"/>
      <c r="M7" s="2612"/>
      <c r="N7" s="2439"/>
      <c r="O7" s="2450"/>
      <c r="P7" s="2439"/>
      <c r="Q7" s="2439"/>
      <c r="R7" s="2439"/>
    </row>
    <row r="8" spans="1:30">
      <c r="A8" s="2388" t="s">
        <v>2175</v>
      </c>
      <c r="B8" s="2389" t="s">
        <v>3378</v>
      </c>
      <c r="C8" s="2390"/>
      <c r="D8" s="3509" t="s">
        <v>2176</v>
      </c>
      <c r="E8" s="2391"/>
      <c r="F8" s="2392"/>
      <c r="G8" s="2662"/>
      <c r="H8" s="2662"/>
      <c r="I8" s="2662"/>
      <c r="J8" s="2439"/>
      <c r="K8" s="2613"/>
      <c r="L8" s="2612"/>
      <c r="M8" s="2612"/>
      <c r="N8" s="2439"/>
      <c r="O8" s="2450"/>
      <c r="P8" s="2439"/>
      <c r="Q8" s="2439"/>
      <c r="R8" s="2439"/>
    </row>
    <row r="9" spans="1:30" ht="13.5" thickBot="1">
      <c r="A9" s="2393" t="s">
        <v>2177</v>
      </c>
      <c r="B9" s="2394" t="s">
        <v>3379</v>
      </c>
      <c r="C9" s="2395"/>
      <c r="D9" s="3510"/>
      <c r="E9" s="2394"/>
      <c r="F9" s="2396"/>
      <c r="G9" s="2664"/>
      <c r="H9" s="2664"/>
      <c r="I9" s="2664"/>
      <c r="J9" s="2439"/>
      <c r="K9" s="2615"/>
      <c r="L9" s="2612"/>
      <c r="M9" s="2612"/>
      <c r="N9" s="2439"/>
      <c r="O9" s="2450"/>
      <c r="P9" s="2439"/>
      <c r="Q9" s="2439"/>
      <c r="R9" s="2439"/>
    </row>
    <row r="10" spans="1:30" ht="13.5" thickTop="1">
      <c r="A10" s="2397" t="s">
        <v>2178</v>
      </c>
      <c r="B10" s="2398" t="s">
        <v>3380</v>
      </c>
      <c r="C10" s="2399"/>
      <c r="D10" s="2382"/>
      <c r="E10" s="2400" t="s">
        <v>2179</v>
      </c>
      <c r="F10" s="2665"/>
      <c r="G10" s="2666"/>
      <c r="H10" s="2667"/>
      <c r="I10" s="2668"/>
      <c r="J10" s="2439"/>
      <c r="K10" s="2615"/>
      <c r="L10" s="2612"/>
      <c r="M10" s="2612"/>
      <c r="N10" s="2439"/>
      <c r="O10" s="2450"/>
      <c r="P10" s="2439"/>
      <c r="Q10" s="2439"/>
      <c r="R10" s="2439"/>
    </row>
    <row r="11" spans="1:30">
      <c r="A11" s="2401" t="s">
        <v>2180</v>
      </c>
      <c r="B11" s="2402" t="s">
        <v>3381</v>
      </c>
      <c r="C11" s="2403"/>
      <c r="D11" s="2404"/>
      <c r="E11" s="2370"/>
      <c r="F11" s="2370"/>
      <c r="G11" s="2370"/>
      <c r="H11" s="2370"/>
      <c r="I11" s="2370"/>
      <c r="J11" s="3060"/>
      <c r="K11" s="3059"/>
      <c r="L11" s="2612"/>
      <c r="M11" s="2612"/>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8" t="s">
        <v>2576</v>
      </c>
      <c r="J12" s="3061"/>
      <c r="K12" s="2612"/>
      <c r="L12" s="2612"/>
      <c r="M12" s="2439"/>
      <c r="N12" s="2450"/>
      <c r="O12" s="2439"/>
      <c r="P12" s="2439"/>
      <c r="Q12" s="2439"/>
      <c r="AD12" s="1745"/>
    </row>
    <row r="13" spans="1:30">
      <c r="A13" s="3422" t="s">
        <v>3331</v>
      </c>
      <c r="B13" s="2407" t="s">
        <v>2189</v>
      </c>
      <c r="C13" s="856">
        <v>69305</v>
      </c>
      <c r="D13" s="856"/>
      <c r="E13" s="856"/>
      <c r="F13" s="856"/>
      <c r="G13" s="856"/>
      <c r="H13" s="856"/>
      <c r="I13" s="856"/>
      <c r="J13" s="3061"/>
      <c r="K13" s="2612"/>
      <c r="L13" s="2612"/>
      <c r="M13" s="2439"/>
      <c r="N13" s="2450"/>
      <c r="O13" s="2439"/>
      <c r="P13" s="2439"/>
      <c r="Q13" s="2439"/>
      <c r="AD13" s="1745"/>
    </row>
    <row r="14" spans="1:30">
      <c r="A14" s="1081"/>
      <c r="B14" s="2407" t="s">
        <v>2190</v>
      </c>
      <c r="C14" s="2408">
        <v>70</v>
      </c>
      <c r="D14" s="2408"/>
      <c r="E14" s="2408"/>
      <c r="F14" s="2408"/>
      <c r="G14" s="2408"/>
      <c r="H14" s="2408"/>
      <c r="I14" s="2408"/>
      <c r="J14" s="3062"/>
      <c r="K14" s="2612"/>
      <c r="L14" s="2612"/>
      <c r="M14" s="2439"/>
      <c r="N14" s="2450"/>
      <c r="O14" s="2439"/>
      <c r="P14" s="2439"/>
      <c r="Q14" s="2439"/>
      <c r="AD14" s="1745"/>
    </row>
    <row r="15" spans="1:30">
      <c r="A15" s="320"/>
      <c r="B15" s="2409" t="s">
        <v>2191</v>
      </c>
      <c r="C15" s="2410">
        <f>IF(A13="出让",IF(C13="","",ROUNDDOWN(MIN((C13-$D$3)/365,C14),2)),C14)</f>
        <v>66</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8"/>
      <c r="N15" s="2451"/>
      <c r="O15" s="2508"/>
      <c r="P15" s="2439"/>
      <c r="Q15" s="2439"/>
      <c r="AD15" s="1745"/>
    </row>
    <row r="16" spans="1:30">
      <c r="A16" s="2400" t="s">
        <v>2192</v>
      </c>
      <c r="B16" s="3516"/>
      <c r="C16" s="3517"/>
      <c r="D16" s="3518"/>
      <c r="E16" s="2413" t="s">
        <v>2193</v>
      </c>
      <c r="F16" s="3519"/>
      <c r="G16" s="3520"/>
      <c r="H16" s="3520"/>
      <c r="I16" s="3521"/>
      <c r="J16" s="2439"/>
      <c r="K16" s="2616"/>
      <c r="L16" s="2451"/>
      <c r="M16" s="2451"/>
      <c r="N16" s="2508"/>
      <c r="O16" s="2451"/>
      <c r="P16" s="2508"/>
      <c r="Q16" s="2439"/>
      <c r="R16" s="2439"/>
    </row>
    <row r="17" spans="1:28">
      <c r="A17" s="313" t="s">
        <v>2194</v>
      </c>
      <c r="B17" s="302" t="s">
        <v>2195</v>
      </c>
      <c r="C17" s="8">
        <f>'数据-汇总表'!E3</f>
        <v>72.16</v>
      </c>
      <c r="D17" s="2322" t="s">
        <v>2196</v>
      </c>
      <c r="E17" s="3522" t="s">
        <v>2197</v>
      </c>
      <c r="F17" s="3523"/>
      <c r="G17" s="3523"/>
      <c r="H17" s="3523"/>
      <c r="I17" s="3524"/>
      <c r="J17" s="2439"/>
      <c r="K17" s="2617"/>
      <c r="L17" s="2451"/>
      <c r="M17" s="2451"/>
      <c r="N17" s="2508"/>
      <c r="O17" s="2451"/>
      <c r="P17" s="2508"/>
      <c r="Q17" s="2439"/>
      <c r="R17" s="2439"/>
      <c r="S17" s="2439"/>
      <c r="T17" s="2439"/>
      <c r="U17" s="2439"/>
      <c r="V17" s="2439"/>
    </row>
    <row r="18" spans="1:28" ht="24.75" thickBot="1">
      <c r="A18" s="2414" t="s">
        <v>2198</v>
      </c>
      <c r="B18" s="1090" t="s">
        <v>2199</v>
      </c>
      <c r="C18" s="2415">
        <f>'数据-汇总表'!D3</f>
        <v>0</v>
      </c>
      <c r="D18" s="1092" t="s">
        <v>2200</v>
      </c>
      <c r="E18" s="3525" t="s">
        <v>2201</v>
      </c>
      <c r="F18" s="3526"/>
      <c r="G18" s="3526"/>
      <c r="H18" s="3526"/>
      <c r="I18" s="3527"/>
      <c r="J18" s="2439"/>
      <c r="K18" s="2617"/>
      <c r="L18" s="2451"/>
      <c r="M18" s="2451"/>
      <c r="N18" s="2508"/>
      <c r="O18" s="2451"/>
      <c r="P18" s="2508"/>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3"/>
      <c r="I19" s="2663"/>
      <c r="J19" s="2439"/>
      <c r="K19" s="2615"/>
      <c r="L19" s="2612"/>
      <c r="M19" s="2612"/>
      <c r="N19" s="2508"/>
      <c r="O19" s="2451"/>
      <c r="P19" s="2508"/>
      <c r="Q19" s="2439"/>
      <c r="R19" s="2439"/>
      <c r="S19" s="2439"/>
      <c r="T19" s="2439"/>
      <c r="U19" s="2439"/>
      <c r="V19" s="2439"/>
    </row>
    <row r="20" spans="1:28">
      <c r="A20" s="2631" t="s">
        <v>2204</v>
      </c>
      <c r="B20" s="3512" t="s">
        <v>2205</v>
      </c>
      <c r="C20" s="3513"/>
      <c r="D20" s="3514" t="s">
        <v>2206</v>
      </c>
      <c r="E20" s="3515"/>
      <c r="F20" s="2646" t="s">
        <v>1056</v>
      </c>
      <c r="G20" s="2663"/>
      <c r="H20" s="2663"/>
      <c r="I20" s="2663"/>
      <c r="J20" s="2439"/>
      <c r="K20" s="3511"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1"/>
      <c r="B21" s="2632" t="s">
        <v>2208</v>
      </c>
      <c r="C21" s="2633" t="s">
        <v>1057</v>
      </c>
      <c r="D21" s="1568" t="s">
        <v>2209</v>
      </c>
      <c r="E21" s="2634" t="s">
        <v>1057</v>
      </c>
      <c r="F21" s="2647"/>
      <c r="G21" s="2663"/>
      <c r="H21" s="2663"/>
      <c r="I21" s="2663"/>
      <c r="J21" s="2439"/>
      <c r="K21" s="351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1"/>
      <c r="B22" s="2635" t="s">
        <v>2210</v>
      </c>
      <c r="C22" s="2633" t="s">
        <v>1058</v>
      </c>
      <c r="D22" s="2662"/>
      <c r="E22" s="2662"/>
      <c r="F22" s="2662"/>
      <c r="G22" s="2663"/>
      <c r="H22" s="2663"/>
      <c r="I22" s="2663"/>
      <c r="J22" s="2439"/>
      <c r="K22" s="351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6" t="s">
        <v>2211</v>
      </c>
      <c r="B23" s="2501" t="s">
        <v>2212</v>
      </c>
      <c r="C23" s="2637"/>
      <c r="D23" s="2638" t="s">
        <v>2212</v>
      </c>
      <c r="E23" s="2639"/>
      <c r="F23" s="2662"/>
      <c r="G23" s="2663"/>
      <c r="H23" s="2663"/>
      <c r="I23" s="2663"/>
      <c r="J23" s="2439"/>
      <c r="K23" s="2618"/>
      <c r="L23" s="2474"/>
      <c r="M23" s="2612"/>
      <c r="N23" s="2508"/>
      <c r="O23" s="2451"/>
      <c r="P23" s="2508"/>
      <c r="Q23" s="2439"/>
      <c r="R23" s="2439"/>
      <c r="S23" s="2439"/>
      <c r="T23" s="2439"/>
      <c r="U23" s="2439"/>
      <c r="V23" s="2439"/>
    </row>
    <row r="24" spans="1:28">
      <c r="A24" s="2636"/>
      <c r="B24" s="2501" t="s">
        <v>1059</v>
      </c>
      <c r="C24" s="2640"/>
      <c r="D24" s="2636" t="s">
        <v>1059</v>
      </c>
      <c r="E24" s="2641"/>
      <c r="F24" s="2662"/>
      <c r="G24" s="2663"/>
      <c r="H24" s="2663"/>
      <c r="I24" s="2663"/>
      <c r="J24" s="2439"/>
      <c r="K24" s="2618"/>
      <c r="L24" s="2474"/>
      <c r="M24" s="2612"/>
      <c r="N24" s="2508"/>
      <c r="O24" s="2451"/>
      <c r="P24" s="2508"/>
      <c r="Q24" s="2439"/>
      <c r="R24" s="2439"/>
      <c r="S24" s="2439"/>
      <c r="T24" s="2439"/>
      <c r="U24" s="2439"/>
      <c r="V24" s="2439"/>
    </row>
    <row r="25" spans="1:28">
      <c r="A25" s="2636"/>
      <c r="B25" s="2501" t="s">
        <v>1060</v>
      </c>
      <c r="C25" s="2640"/>
      <c r="D25" s="2636" t="s">
        <v>1060</v>
      </c>
      <c r="E25" s="2641"/>
      <c r="F25" s="2662"/>
      <c r="G25" s="2663"/>
      <c r="H25" s="2663"/>
      <c r="I25" s="2663"/>
      <c r="J25" s="2439"/>
      <c r="K25" s="2615"/>
      <c r="L25" s="2612"/>
      <c r="M25" s="2612"/>
      <c r="N25" s="2508"/>
      <c r="O25" s="2451"/>
      <c r="P25" s="2508"/>
      <c r="Q25" s="2439"/>
      <c r="R25" s="2439"/>
      <c r="S25" s="2439"/>
      <c r="T25" s="2439"/>
      <c r="U25" s="2439"/>
      <c r="V25" s="2439"/>
    </row>
    <row r="26" spans="1:28" ht="13.5" thickBot="1">
      <c r="A26" s="2642"/>
      <c r="B26" s="2643" t="s">
        <v>1061</v>
      </c>
      <c r="C26" s="2644"/>
      <c r="D26" s="2642" t="s">
        <v>1061</v>
      </c>
      <c r="E26" s="2645"/>
      <c r="F26" s="2664"/>
      <c r="G26" s="2664"/>
      <c r="H26" s="2664"/>
      <c r="I26" s="2664"/>
      <c r="J26" s="2439"/>
      <c r="K26" s="2615"/>
      <c r="L26" s="2612"/>
      <c r="M26" s="2612"/>
      <c r="N26" s="2508"/>
      <c r="O26" s="2451"/>
      <c r="P26" s="2508"/>
      <c r="Q26" s="2439"/>
      <c r="R26" s="2439"/>
      <c r="S26" s="2439"/>
      <c r="T26" s="2439"/>
      <c r="U26" s="2439"/>
      <c r="V26" s="2439"/>
    </row>
    <row r="27" spans="1:28" ht="13.5" thickTop="1">
      <c r="A27" s="3529" t="s">
        <v>2213</v>
      </c>
      <c r="B27" s="320" t="s">
        <v>2214</v>
      </c>
      <c r="C27" s="2416"/>
      <c r="D27" s="2417"/>
      <c r="E27" s="2663"/>
      <c r="F27" s="2663"/>
      <c r="G27" s="2663"/>
      <c r="H27" s="2663"/>
      <c r="I27" s="2663"/>
      <c r="J27" s="2439"/>
      <c r="K27" s="2616"/>
      <c r="L27" s="2451"/>
      <c r="M27" s="2451"/>
      <c r="N27" s="2508"/>
      <c r="O27" s="2451"/>
      <c r="P27" s="2508"/>
      <c r="Q27" s="2439"/>
      <c r="R27" s="2439"/>
      <c r="S27" s="2439"/>
      <c r="T27" s="2439"/>
      <c r="U27" s="2439"/>
      <c r="V27" s="2439"/>
    </row>
    <row r="28" spans="1:28">
      <c r="A28" s="3529"/>
      <c r="B28" s="302" t="s">
        <v>2215</v>
      </c>
      <c r="C28" s="2418"/>
      <c r="D28" s="2419"/>
      <c r="E28" s="2663"/>
      <c r="F28" s="2663"/>
      <c r="G28" s="2663"/>
      <c r="H28" s="2663"/>
      <c r="I28" s="2663"/>
      <c r="J28" s="2439"/>
      <c r="K28" s="2615"/>
      <c r="L28" s="2612"/>
      <c r="M28" s="2612"/>
      <c r="N28" s="2439"/>
      <c r="O28" s="2450"/>
      <c r="P28" s="2439"/>
      <c r="Q28" s="2439"/>
      <c r="R28" s="2439"/>
      <c r="S28" s="2439"/>
      <c r="T28" s="2439"/>
      <c r="U28" s="2439"/>
      <c r="V28" s="2439"/>
    </row>
    <row r="29" spans="1:28">
      <c r="A29" s="3529"/>
      <c r="B29" s="302" t="s">
        <v>2216</v>
      </c>
      <c r="C29" s="2420"/>
      <c r="D29" s="2421"/>
      <c r="E29" s="2663"/>
      <c r="F29" s="2663"/>
      <c r="G29" s="2663"/>
      <c r="H29" s="2663"/>
      <c r="I29" s="2663"/>
      <c r="J29" s="2439"/>
      <c r="K29" s="2615"/>
      <c r="L29" s="2612"/>
      <c r="M29" s="2612"/>
      <c r="N29" s="2439"/>
      <c r="O29" s="2450"/>
      <c r="P29" s="2439"/>
      <c r="Q29" s="2439"/>
      <c r="R29" s="2439"/>
      <c r="S29" s="2439"/>
      <c r="T29" s="2439"/>
      <c r="U29" s="2439"/>
      <c r="V29" s="2439"/>
    </row>
    <row r="30" spans="1:28">
      <c r="A30" s="3530"/>
      <c r="B30" s="302" t="s">
        <v>2217</v>
      </c>
      <c r="C30" s="3531"/>
      <c r="D30" s="3532"/>
      <c r="E30" s="2663"/>
      <c r="F30" s="2663"/>
      <c r="G30" s="2663"/>
      <c r="H30" s="2663"/>
      <c r="I30" s="2663"/>
      <c r="J30" s="2439"/>
      <c r="K30" s="2615"/>
      <c r="L30" s="2612"/>
      <c r="M30" s="2612"/>
      <c r="N30" s="2439"/>
      <c r="O30" s="2450"/>
      <c r="P30" s="2439"/>
      <c r="Q30" s="2439"/>
      <c r="R30" s="2439"/>
      <c r="S30" s="2439"/>
      <c r="T30" s="2439"/>
      <c r="U30" s="2439"/>
      <c r="V30" s="2439"/>
    </row>
    <row r="31" spans="1:28">
      <c r="A31" s="3533" t="s">
        <v>2218</v>
      </c>
      <c r="B31" s="2422"/>
      <c r="C31" s="2323" t="str">
        <f>IF(B31="现房","成新及维护状况正常否",IF(B31="在建","工程状态是否正常",IF(B31="土地","是否闲置","-")))</f>
        <v>-</v>
      </c>
      <c r="D31" s="1373"/>
      <c r="E31" s="2423"/>
      <c r="F31" s="2663"/>
      <c r="G31" s="2663"/>
      <c r="H31" s="2663"/>
      <c r="I31" s="2663"/>
      <c r="J31" s="2439"/>
      <c r="K31" s="2614"/>
      <c r="L31" s="2612"/>
      <c r="M31" s="2612"/>
      <c r="N31" s="2439"/>
      <c r="O31" s="2450"/>
      <c r="P31" s="2439"/>
      <c r="Q31" s="2439"/>
      <c r="R31" s="2439"/>
      <c r="S31" s="2439"/>
      <c r="T31" s="2439"/>
      <c r="U31" s="2439"/>
      <c r="V31" s="2439"/>
    </row>
    <row r="32" spans="1:28">
      <c r="A32" s="3534"/>
      <c r="B32" s="2422"/>
      <c r="C32" s="2323" t="str">
        <f>IF(B32="现房","成新及维护状况是否正常",IF(B32="在建","工程状态是否正常",IF(B32="土地","是否闲置","-")))</f>
        <v>-</v>
      </c>
      <c r="D32" s="1373"/>
      <c r="E32" s="2423"/>
      <c r="F32" s="2663"/>
      <c r="G32" s="2663"/>
      <c r="H32" s="2663"/>
      <c r="I32" s="2663"/>
      <c r="J32" s="2439"/>
      <c r="K32" s="2615"/>
      <c r="L32" s="2612"/>
      <c r="M32" s="2612"/>
      <c r="N32" s="2439"/>
      <c r="O32" s="2450"/>
      <c r="P32" s="2439"/>
      <c r="Q32" s="2439"/>
      <c r="R32" s="2439"/>
      <c r="S32" s="2439"/>
      <c r="T32" s="2439"/>
      <c r="U32" s="2439"/>
      <c r="V32" s="2439"/>
    </row>
    <row r="33" spans="1:30">
      <c r="A33" s="3534"/>
      <c r="B33" s="2425"/>
      <c r="C33" s="1590" t="str">
        <f>IF(B33="现房","成新及维护状况是否正常",IF(B33="在建","工程状态是否正常",IF(B33="土地","是否闲置","-")))</f>
        <v>-</v>
      </c>
      <c r="D33" s="1365"/>
      <c r="E33" s="2426"/>
      <c r="F33" s="2663"/>
      <c r="G33" s="2663"/>
      <c r="H33" s="2663"/>
      <c r="I33" s="2663"/>
      <c r="J33" s="2439"/>
      <c r="K33" s="2615"/>
      <c r="L33" s="2612"/>
      <c r="M33" s="2612"/>
      <c r="N33" s="2439"/>
      <c r="O33" s="2450"/>
      <c r="P33" s="2439"/>
      <c r="Q33" s="2439"/>
      <c r="R33" s="2439"/>
      <c r="S33" s="2439"/>
      <c r="T33" s="2439"/>
      <c r="U33" s="2439"/>
      <c r="V33" s="2439"/>
    </row>
    <row r="34" spans="1:30">
      <c r="A34" s="302" t="s">
        <v>2219</v>
      </c>
      <c r="B34" s="2026"/>
      <c r="C34" s="2026"/>
      <c r="D34" s="2026"/>
      <c r="E34" s="2026"/>
      <c r="F34" s="2026"/>
      <c r="G34" s="2026"/>
      <c r="H34" s="2026"/>
      <c r="I34" s="2663"/>
      <c r="J34" s="2439"/>
      <c r="K34" s="2427">
        <f>COUNTIF(B34:H34,"——")</f>
        <v>0</v>
      </c>
      <c r="L34" s="323" t="s">
        <v>2220</v>
      </c>
      <c r="M34" s="323" t="s">
        <v>2221</v>
      </c>
      <c r="N34" s="323" t="s">
        <v>2222</v>
      </c>
      <c r="O34" s="323" t="s">
        <v>2223</v>
      </c>
      <c r="P34" s="323" t="s">
        <v>2224</v>
      </c>
      <c r="Q34" s="323" t="s">
        <v>2225</v>
      </c>
      <c r="R34" s="323" t="s">
        <v>2226</v>
      </c>
      <c r="S34" s="3528" t="s">
        <v>2227</v>
      </c>
      <c r="T34" s="2428" t="str">
        <f>NUMBERSTRING(7-K34,1)&amp;"通"</f>
        <v>七通</v>
      </c>
      <c r="U34" s="2439"/>
      <c r="V34" s="2439"/>
    </row>
    <row r="35" spans="1:30">
      <c r="A35" s="2429"/>
      <c r="B35" s="3535" t="s">
        <v>2228</v>
      </c>
      <c r="C35" s="3535"/>
      <c r="D35" s="3535"/>
      <c r="E35" s="3535"/>
      <c r="F35" s="664">
        <f>C10</f>
        <v>0</v>
      </c>
      <c r="G35" s="2663"/>
      <c r="H35" s="2663"/>
      <c r="I35" s="2663"/>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8"/>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4" t="s">
        <v>2579</v>
      </c>
      <c r="G36" s="2663"/>
      <c r="H36" s="2663"/>
      <c r="I36" s="2663"/>
      <c r="J36" s="2439"/>
      <c r="K36" s="2615"/>
      <c r="L36" s="2612"/>
      <c r="M36" s="2612"/>
      <c r="N36" s="2439"/>
      <c r="O36" s="2450"/>
      <c r="P36" s="2439"/>
      <c r="Q36" s="2439"/>
      <c r="R36" s="2439"/>
      <c r="S36" s="2439"/>
      <c r="T36" s="2439"/>
      <c r="U36" s="2439"/>
      <c r="V36" s="2439"/>
    </row>
    <row r="37" spans="1:30">
      <c r="A37" s="2629" t="s">
        <v>2229</v>
      </c>
      <c r="B37" s="2431"/>
      <c r="C37" s="2431"/>
      <c r="D37" s="2431" t="s">
        <v>29</v>
      </c>
      <c r="E37" s="2431"/>
      <c r="F37" s="2431"/>
      <c r="G37" s="2663"/>
      <c r="H37" s="2663"/>
      <c r="I37" s="2663"/>
      <c r="J37" s="2439"/>
      <c r="K37" s="2615"/>
      <c r="L37" s="2612"/>
      <c r="M37" s="2612"/>
      <c r="N37" s="2439"/>
      <c r="O37" s="2450"/>
      <c r="P37" s="2439"/>
      <c r="Q37" s="2439"/>
      <c r="R37" s="2439"/>
      <c r="S37" s="2439"/>
      <c r="T37" s="2439"/>
      <c r="U37" s="2439"/>
      <c r="V37" s="2439"/>
    </row>
    <row r="38" spans="1:30" ht="13.5" thickBot="1">
      <c r="A38" s="2630" t="s">
        <v>2230</v>
      </c>
      <c r="B38" s="2432"/>
      <c r="C38" s="2432"/>
      <c r="D38" s="2432" t="s">
        <v>234</v>
      </c>
      <c r="E38" s="2432"/>
      <c r="F38" s="2432"/>
      <c r="G38" s="2664"/>
      <c r="H38" s="2664"/>
      <c r="I38" s="2664"/>
      <c r="J38" s="2439"/>
      <c r="K38" s="2615"/>
      <c r="L38" s="2612"/>
      <c r="M38" s="2612"/>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1"/>
      <c r="M40" s="2451"/>
      <c r="N40" s="2508"/>
      <c r="O40" s="2451"/>
      <c r="P40" s="2439"/>
      <c r="Q40" s="2439"/>
      <c r="R40" s="2439"/>
      <c r="S40" s="2439"/>
      <c r="T40" s="2439"/>
      <c r="U40" s="2439"/>
      <c r="V40" s="2439"/>
    </row>
    <row r="41" spans="1:30">
      <c r="A41" s="2436" t="s">
        <v>2232</v>
      </c>
      <c r="B41" s="1757"/>
      <c r="C41" s="1373"/>
      <c r="D41" s="2370"/>
      <c r="E41" s="2370"/>
      <c r="F41" s="2370"/>
      <c r="G41" s="2370"/>
      <c r="H41" s="2370"/>
      <c r="I41" s="1576"/>
      <c r="J41" s="2439"/>
      <c r="K41" s="2615"/>
      <c r="L41" s="2612"/>
      <c r="M41" s="2612"/>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72.16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72.16</v>
      </c>
      <c r="H5" s="13">
        <f t="shared" ref="H5:AT5" si="0">SUM(H13:H656)</f>
        <v>72.16</v>
      </c>
      <c r="I5" s="13">
        <f t="shared" si="0"/>
        <v>72.16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72.16</v>
      </c>
      <c r="BA5" s="15">
        <f t="shared" si="1"/>
        <v>72.16</v>
      </c>
      <c r="BB5" s="15">
        <f t="shared" si="1"/>
        <v>72.16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3386</v>
      </c>
      <c r="E13" s="13">
        <f>IF($C$3="是",ROUND($A$3*G13/$B$3,2),ROUND($A$3*(G13-AT13)/$B$3,2))</f>
        <v>0</v>
      </c>
      <c r="F13" s="29"/>
      <c r="G13" s="30">
        <f>H13+AC13+AT13</f>
        <v>72.16</v>
      </c>
      <c r="H13" s="17">
        <f>SUMIF(I$12:AB$12,"总值",I13:AB13)</f>
        <v>72.16</v>
      </c>
      <c r="I13" s="1626">
        <v>72.16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72.16</v>
      </c>
      <c r="BA13" s="13">
        <f>SUM(BB13:BK13)</f>
        <v>72.16</v>
      </c>
      <c r="BB13" s="13">
        <f>IF($D13="是",I13-J13,0)</f>
        <v>72.16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5" t="s">
        <v>1131</v>
      </c>
      <c r="B2" s="3545"/>
      <c r="C2" s="3545"/>
      <c r="D2" s="796" t="s">
        <v>1107</v>
      </c>
      <c r="E2" s="1639" t="s">
        <v>1108</v>
      </c>
      <c r="F2" s="2658"/>
      <c r="G2" s="2649"/>
      <c r="H2" s="2650"/>
      <c r="I2" s="2325" t="s">
        <v>1132</v>
      </c>
      <c r="J2" s="2658"/>
      <c r="K2" s="2658"/>
      <c r="L2" s="2658"/>
      <c r="M2" s="2658"/>
      <c r="N2" s="2660"/>
      <c r="O2" s="2658"/>
      <c r="P2" s="2658"/>
    </row>
    <row r="3" spans="1:16" ht="15.75" thickBot="1">
      <c r="A3" s="3546" t="s">
        <v>1105</v>
      </c>
      <c r="B3" s="3546"/>
      <c r="C3" s="3546"/>
      <c r="D3" s="43">
        <f>'数据-基础表'!AY6</f>
        <v>0</v>
      </c>
      <c r="E3" s="43">
        <f>'数据-基础表'!AZ5</f>
        <v>72.16</v>
      </c>
      <c r="F3" s="2658"/>
      <c r="G3" s="1145"/>
      <c r="H3" s="1026" t="s">
        <v>1106</v>
      </c>
      <c r="I3" s="855" t="e">
        <f>ROUND('数据-基础表'!B3/'数据-基础表'!A3,2)</f>
        <v>#DIV/0!</v>
      </c>
      <c r="J3" s="2658"/>
      <c r="K3" s="2658"/>
      <c r="L3" s="2658"/>
      <c r="M3" s="2658"/>
      <c r="N3" s="2660"/>
      <c r="O3" s="2658"/>
      <c r="P3" s="2658"/>
    </row>
    <row r="4" spans="1:16" ht="15">
      <c r="A4" s="3547"/>
      <c r="B4" s="3548"/>
      <c r="C4" s="3549"/>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50" t="s">
        <v>1110</v>
      </c>
      <c r="C5" s="3550"/>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50" t="s">
        <v>1111</v>
      </c>
      <c r="C6" s="3550"/>
      <c r="D6" s="45">
        <f>ROUND($D$3*E6/$E$3,2)</f>
        <v>0</v>
      </c>
      <c r="E6" s="46">
        <f>E3-E5</f>
        <v>72.16</v>
      </c>
      <c r="F6" s="2658"/>
      <c r="G6" s="2652" t="s">
        <v>1112</v>
      </c>
      <c r="H6" s="1146" t="s">
        <v>1113</v>
      </c>
      <c r="I6" s="2653" t="e">
        <f>ROUND(F31/D31,2)</f>
        <v>#DIV/0!</v>
      </c>
      <c r="J6" s="2658"/>
      <c r="K6" s="2658"/>
      <c r="L6" s="2658"/>
      <c r="M6" s="2658"/>
      <c r="N6" s="2658"/>
      <c r="O6" s="2658"/>
      <c r="P6" s="2658"/>
    </row>
    <row r="7" spans="1:16" ht="15.75" thickBot="1">
      <c r="A7" s="3542"/>
      <c r="B7" s="3543"/>
      <c r="C7" s="3544"/>
      <c r="D7" s="1641" t="s">
        <v>1107</v>
      </c>
      <c r="E7" s="1645" t="s">
        <v>1114</v>
      </c>
      <c r="F7" s="2658"/>
      <c r="G7" s="2654" t="s">
        <v>1115</v>
      </c>
      <c r="H7" s="2655"/>
      <c r="I7" s="2656">
        <v>2.5</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72.16</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72.16</v>
      </c>
      <c r="F16" s="2658"/>
      <c r="G16" s="2659"/>
      <c r="H16" s="1648" t="s">
        <v>1135</v>
      </c>
      <c r="I16" s="1649"/>
      <c r="J16" s="1139"/>
      <c r="K16" s="3539" t="s">
        <v>1135</v>
      </c>
      <c r="L16" s="3540"/>
      <c r="M16" s="3540"/>
      <c r="N16" s="3540"/>
      <c r="O16" s="3540"/>
      <c r="P16" s="3541"/>
    </row>
    <row r="17" spans="1:19" ht="15">
      <c r="A17" s="1650" t="s">
        <v>1136</v>
      </c>
      <c r="B17" s="1651" t="s">
        <v>1137</v>
      </c>
      <c r="C17" s="1652" t="s">
        <v>1138</v>
      </c>
      <c r="D17" s="1653" t="s">
        <v>1126</v>
      </c>
      <c r="E17" s="1654" t="s">
        <v>1127</v>
      </c>
      <c r="F17" s="1655"/>
      <c r="G17" s="1656"/>
      <c r="H17" s="1657" t="s">
        <v>1139</v>
      </c>
      <c r="I17" s="1658" t="s">
        <v>1124</v>
      </c>
      <c r="J17" s="1139"/>
      <c r="K17" s="3536" t="s">
        <v>1140</v>
      </c>
      <c r="L17" s="3537"/>
      <c r="M17" s="3538"/>
      <c r="N17" s="3536" t="s">
        <v>1141</v>
      </c>
      <c r="O17" s="3537"/>
      <c r="P17" s="353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3389</v>
      </c>
      <c r="D19" s="45">
        <f>ROUND($D$3*E19/$E$3,2)</f>
        <v>0</v>
      </c>
      <c r="E19" s="53">
        <f t="shared" ref="E19:E26" si="1">SUM(F19:G19)</f>
        <v>72.16</v>
      </c>
      <c r="F19" s="2794">
        <f>'数据-基础表'!I13</f>
        <v>72.16</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72.16</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72.16</v>
      </c>
      <c r="F27" s="1140">
        <f>IF(SUM(F19:F26)=E8,SUM(F19:F26),"地上面积有误")</f>
        <v>72.16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72.16</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72.16</v>
      </c>
      <c r="F31" s="677">
        <f>F27+F30</f>
        <v>72.16</v>
      </c>
      <c r="G31" s="678">
        <f>G27+G30</f>
        <v>0</v>
      </c>
      <c r="H31" s="2658"/>
      <c r="I31" s="2658"/>
      <c r="J31" s="2658"/>
      <c r="K31" s="2658"/>
      <c r="L31" s="2658"/>
      <c r="M31" s="2658"/>
      <c r="N31" s="2658"/>
      <c r="O31" s="2658"/>
      <c r="P31" s="2658"/>
    </row>
    <row r="32" spans="1:19">
      <c r="A32" s="1643"/>
      <c r="B32" s="1643" t="s">
        <v>1159</v>
      </c>
      <c r="C32" s="1643"/>
      <c r="D32" s="1643"/>
      <c r="E32" s="1053">
        <f>SUMIF(C19:C26,"*住宅*",E19:E26)</f>
        <v>72.16</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I27" activePane="bottomRight" state="frozen"/>
      <selection activeCell="C50" sqref="C50"/>
      <selection pane="topRight" activeCell="C50" sqref="C50"/>
      <selection pane="bottomLeft" activeCell="C50" sqref="C50"/>
      <selection pane="bottomRight" activeCell="L41" sqref="L4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45214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3384</v>
      </c>
      <c r="D6" s="858">
        <f>SUMIF(项目基本情况!C$12:I$12,C6,项目基本情况!C$14:I$14)</f>
        <v>70</v>
      </c>
      <c r="E6" s="857">
        <f>IF(B6="","",SUMIF(项目基本情况!C$12:I$12,C6,项目基本情况!C$13:I$13))</f>
        <v>69305</v>
      </c>
      <c r="F6" s="64">
        <f>SUMIF(项目基本情况!C$12:I$12,C6,项目基本情况!C$15:I$15)</f>
        <v>66</v>
      </c>
      <c r="G6" s="65">
        <f>IF(ISERROR(ROUND(POWER(1+H6,D6-F6)*(POWER(1+H6,F6)-1)/(POWER(1+H6,D6)-1),3)),0,ROUND(POWER(1+H6,D6-F6)*(POWER(1+H6,F6)-1)/(POWER(1+H6,D6)-1),3))</f>
        <v>0</v>
      </c>
      <c r="H6" s="732"/>
      <c r="I6" s="732">
        <v>4.4999999999999998E-2</v>
      </c>
      <c r="J6" s="66"/>
      <c r="K6" s="1030">
        <f>SUMIF('数据-汇总表'!C$19:C$33,A6,'数据-汇总表'!E$19:E$33)</f>
        <v>72.16</v>
      </c>
      <c r="L6" s="733">
        <v>3500</v>
      </c>
      <c r="M6" s="67">
        <f t="shared" ref="M6:M14" si="0">ROUND(K6*L6/10000,0)</f>
        <v>25</v>
      </c>
      <c r="N6" s="731">
        <v>0.85</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7">
        <v>67</v>
      </c>
      <c r="V6" s="70">
        <v>3.5000000000000003E-2</v>
      </c>
      <c r="W6" s="70">
        <v>0.1</v>
      </c>
      <c r="X6" s="1040"/>
      <c r="Y6" s="71">
        <f>N6</f>
        <v>0.85</v>
      </c>
      <c r="Z6" s="72"/>
      <c r="AA6" s="66"/>
      <c r="AB6" s="66"/>
      <c r="AC6" s="1040"/>
      <c r="AD6" s="73"/>
      <c r="AE6" s="1041">
        <f ca="1">IF(AN6="",0,SUMIF(INDIRECT("'"&amp;AN6&amp;"'"&amp;"!E:E"),$AE$5,INDIRECT("'"&amp;AN6&amp;"'"&amp;"!F:F")))</f>
        <v>66</v>
      </c>
      <c r="AF6" s="1348"/>
      <c r="AG6" s="138">
        <f>IF(AF6="",0,AE6-AF6)</f>
        <v>0</v>
      </c>
      <c r="AH6" s="74">
        <f>'数据-汇总表'!F19</f>
        <v>72.16</v>
      </c>
      <c r="AI6" s="76">
        <v>12</v>
      </c>
      <c r="AJ6" s="77"/>
      <c r="AK6" s="78">
        <v>5.0000000000000001E-3</v>
      </c>
      <c r="AL6" s="79">
        <v>1E-3</v>
      </c>
      <c r="AM6" s="80">
        <v>0.01</v>
      </c>
      <c r="AN6" s="1715" t="s">
        <v>3388</v>
      </c>
      <c r="AO6" s="52">
        <f ca="1">SUMIF(INDIRECT("'"&amp;AN6&amp;"'"&amp;"!A:A"),"总价",INDIRECT("'"&amp;AN6&amp;"'"&amp;"!B:B"))</f>
        <v>225.3511</v>
      </c>
      <c r="AP6" s="1716">
        <f>IF(C6="住宅",K6*L6,0)</f>
        <v>252560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72.16</v>
      </c>
      <c r="L16" s="93">
        <f>ROUND(M16*10000/SUM(K6:K14),0)</f>
        <v>3465</v>
      </c>
      <c r="M16" s="93">
        <f>SUM(M6:M14)</f>
        <v>25</v>
      </c>
      <c r="N16" s="94">
        <f>ROUND(SUMPRODUCT(M6:M14,N6:N14)/M16,3)</f>
        <v>0.85</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c r="C19" s="2798" t="s">
        <v>2302</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2300</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160</v>
      </c>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2291</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2292</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0.1</v>
      </c>
      <c r="C34" s="2802" t="s">
        <v>2293</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2294</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2295</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2296</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2296</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3383</v>
      </c>
      <c r="B40" s="1078">
        <f ca="1">IF(A40="利息：取LPR",存贷款利率!G1,存贷款利率!G1+C40)</f>
        <v>4.7500000000000001E-2</v>
      </c>
      <c r="C40" s="2813">
        <v>1.2999999999999999E-2</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2305</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2306</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7" customFormat="1" ht="18.75" thickBot="1">
      <c r="A1" s="3551" t="s">
        <v>2283</v>
      </c>
      <c r="B1" s="3552"/>
      <c r="C1" s="3552"/>
      <c r="D1" s="3552"/>
      <c r="E1" s="3552"/>
      <c r="F1" s="3552"/>
      <c r="G1" s="355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2279</v>
      </c>
      <c r="D2" s="2461"/>
      <c r="E2" s="2458"/>
      <c r="F2" s="2462"/>
      <c r="G2" s="2460" t="s">
        <v>2280</v>
      </c>
      <c r="H2" s="799"/>
      <c r="I2" s="799"/>
      <c r="J2" s="799"/>
      <c r="K2" s="799"/>
      <c r="L2" s="799"/>
      <c r="M2" s="799"/>
      <c r="N2" s="799"/>
      <c r="O2" s="799"/>
      <c r="P2" s="799"/>
      <c r="Q2" s="799"/>
      <c r="R2" s="799"/>
    </row>
    <row r="3" spans="1:29" ht="36">
      <c r="A3" s="2441" t="s">
        <v>2281</v>
      </c>
      <c r="B3" s="2463" t="s">
        <v>2251</v>
      </c>
      <c r="C3" s="3456" t="s">
        <v>3427</v>
      </c>
      <c r="D3" s="2464"/>
      <c r="E3" s="2442" t="s">
        <v>2281</v>
      </c>
      <c r="F3" s="2465" t="s">
        <v>2252</v>
      </c>
      <c r="G3" s="2466" t="s">
        <v>2282</v>
      </c>
      <c r="H3" s="799"/>
      <c r="I3" s="799"/>
      <c r="J3" s="799"/>
      <c r="K3" s="799"/>
      <c r="L3" s="799"/>
      <c r="M3" s="799"/>
      <c r="N3" s="799"/>
      <c r="O3" s="799"/>
      <c r="P3" s="799"/>
      <c r="Q3" s="799"/>
      <c r="R3" s="799"/>
    </row>
    <row r="4" spans="1:29" ht="36.75">
      <c r="A4" s="2442"/>
      <c r="B4" s="323" t="s">
        <v>2253</v>
      </c>
      <c r="C4" s="2467" t="s">
        <v>2254</v>
      </c>
      <c r="D4" s="2464"/>
      <c r="E4" s="2468"/>
      <c r="F4" s="1373" t="s">
        <v>2255</v>
      </c>
      <c r="G4" s="2469" t="s">
        <v>2256</v>
      </c>
      <c r="H4" s="799"/>
      <c r="I4" s="799"/>
      <c r="J4" s="799"/>
      <c r="K4" s="799"/>
      <c r="L4" s="799"/>
      <c r="M4" s="799"/>
      <c r="N4" s="799"/>
      <c r="O4" s="799"/>
      <c r="P4" s="799"/>
      <c r="Q4" s="799"/>
      <c r="R4" s="799"/>
    </row>
    <row r="5" spans="1:29" ht="36.75">
      <c r="A5" s="2442"/>
      <c r="B5" s="323" t="s">
        <v>2257</v>
      </c>
      <c r="C5" s="2467" t="s">
        <v>2258</v>
      </c>
      <c r="D5" s="2464"/>
      <c r="E5" s="2468"/>
      <c r="F5" s="323" t="s">
        <v>2259</v>
      </c>
      <c r="G5" s="2469" t="s">
        <v>2260</v>
      </c>
      <c r="H5" s="799"/>
      <c r="I5" s="799"/>
      <c r="J5" s="799"/>
      <c r="K5" s="799"/>
      <c r="L5" s="799"/>
      <c r="M5" s="799"/>
      <c r="N5" s="799"/>
      <c r="O5" s="799"/>
      <c r="P5" s="799"/>
      <c r="Q5" s="799"/>
      <c r="R5" s="799"/>
    </row>
    <row r="6" spans="1:29" ht="60">
      <c r="A6" s="2442"/>
      <c r="B6" s="323" t="s">
        <v>2261</v>
      </c>
      <c r="C6" s="3457" t="s">
        <v>3428</v>
      </c>
      <c r="D6" s="2464"/>
      <c r="E6" s="2468"/>
      <c r="F6" s="323" t="s">
        <v>2262</v>
      </c>
      <c r="G6" s="2469" t="s">
        <v>2263</v>
      </c>
      <c r="H6" s="799"/>
      <c r="I6" s="799"/>
      <c r="J6" s="799"/>
      <c r="K6" s="799"/>
      <c r="L6" s="799"/>
      <c r="M6" s="799"/>
      <c r="N6" s="799"/>
      <c r="O6" s="799"/>
      <c r="P6" s="799"/>
      <c r="Q6" s="799"/>
      <c r="R6" s="799"/>
    </row>
    <row r="7" spans="1:29" ht="29.25" customHeight="1" thickBot="1">
      <c r="A7" s="2442"/>
      <c r="B7" s="323" t="s">
        <v>2259</v>
      </c>
      <c r="C7" s="3457" t="s">
        <v>3422</v>
      </c>
      <c r="D7" s="2470"/>
      <c r="E7" s="2471"/>
      <c r="F7" s="2472" t="s">
        <v>2264</v>
      </c>
      <c r="G7" s="2473" t="s">
        <v>2265</v>
      </c>
      <c r="H7" s="799"/>
      <c r="I7" s="799"/>
      <c r="J7" s="799"/>
      <c r="K7" s="799"/>
      <c r="L7" s="799"/>
      <c r="M7" s="799"/>
      <c r="N7" s="799"/>
      <c r="O7" s="799"/>
      <c r="P7" s="799"/>
      <c r="Q7" s="799"/>
      <c r="R7" s="799"/>
    </row>
    <row r="8" spans="1:29" ht="27.75" customHeight="1">
      <c r="A8" s="2442"/>
      <c r="B8" s="323" t="s">
        <v>2262</v>
      </c>
      <c r="C8" s="3457" t="s">
        <v>3406</v>
      </c>
      <c r="D8" s="2470"/>
      <c r="E8" s="2470"/>
      <c r="F8" s="2474"/>
      <c r="G8" s="2474"/>
      <c r="H8" s="799"/>
      <c r="I8" s="799"/>
      <c r="J8" s="799"/>
      <c r="K8" s="799"/>
      <c r="L8" s="799"/>
      <c r="M8" s="799"/>
      <c r="N8" s="799"/>
      <c r="O8" s="799"/>
      <c r="P8" s="799"/>
      <c r="Q8" s="799"/>
      <c r="R8" s="799"/>
    </row>
    <row r="9" spans="1:29" ht="36">
      <c r="A9" s="2442"/>
      <c r="B9" s="323" t="s">
        <v>2266</v>
      </c>
      <c r="C9" s="3458" t="s">
        <v>3429</v>
      </c>
      <c r="D9" s="2464"/>
      <c r="E9" s="2470"/>
      <c r="F9" s="2474"/>
      <c r="G9" s="2474"/>
      <c r="H9" s="799"/>
      <c r="I9" s="799"/>
      <c r="J9" s="799"/>
      <c r="K9" s="799"/>
      <c r="L9" s="799"/>
      <c r="M9" s="799"/>
      <c r="N9" s="799"/>
      <c r="O9" s="799"/>
      <c r="P9" s="799"/>
      <c r="Q9" s="799"/>
      <c r="R9" s="799"/>
    </row>
    <row r="10" spans="1:29" s="2480" customFormat="1" ht="15" thickBot="1">
      <c r="A10" s="2443"/>
      <c r="B10" s="2475" t="s">
        <v>2267</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7" customFormat="1" ht="18">
      <c r="A12" s="2481"/>
      <c r="B12" s="2470"/>
      <c r="C12" s="2464"/>
      <c r="D12" s="2483"/>
      <c r="E12" s="2464"/>
      <c r="F12" s="2470"/>
      <c r="G12" s="2482"/>
      <c r="H12" s="2484"/>
      <c r="I12" s="2485"/>
      <c r="J12" s="2484"/>
      <c r="K12" s="2484"/>
      <c r="L12" s="2486"/>
      <c r="M12" s="2484"/>
      <c r="N12" s="2487"/>
      <c r="O12" s="2488"/>
      <c r="P12" s="2487"/>
      <c r="Q12" s="2487"/>
      <c r="R12" s="2455"/>
      <c r="S12" s="2456"/>
      <c r="T12" s="2456"/>
      <c r="U12" s="2456"/>
      <c r="V12" s="2456"/>
      <c r="W12" s="2456"/>
      <c r="X12" s="2456"/>
      <c r="Y12" s="2456"/>
      <c r="Z12" s="2456"/>
      <c r="AA12" s="2456"/>
      <c r="AB12" s="2456"/>
      <c r="AC12" s="2456"/>
    </row>
    <row r="13" spans="1:29" ht="15.75" thickBot="1">
      <c r="A13" s="2489" t="s">
        <v>2284</v>
      </c>
      <c r="B13" s="2483"/>
      <c r="C13" s="2483"/>
      <c r="D13" s="2481"/>
      <c r="E13" s="2483"/>
      <c r="F13" s="2483"/>
      <c r="G13" s="2483"/>
    </row>
    <row r="14" spans="1:29" ht="15" thickBot="1">
      <c r="A14" s="2493"/>
      <c r="B14" s="2493"/>
      <c r="C14" s="2494" t="s">
        <v>2268</v>
      </c>
      <c r="D14" s="2464"/>
      <c r="E14" s="2495"/>
      <c r="F14" s="2495"/>
      <c r="G14" s="2460" t="s">
        <v>2269</v>
      </c>
    </row>
    <row r="15" spans="1:29" ht="38.25">
      <c r="A15" s="2444" t="s">
        <v>2270</v>
      </c>
      <c r="B15" s="2496" t="s">
        <v>2251</v>
      </c>
      <c r="C15" s="2497" t="str">
        <f>C3</f>
        <v>估价对象周边有青荷里晨风园、京城雅居、明德园等社区，综合评价居住社区成熟度较好</v>
      </c>
      <c r="D15" s="2464"/>
      <c r="E15" s="2445" t="s">
        <v>2271</v>
      </c>
      <c r="F15" s="2496" t="s">
        <v>2272</v>
      </c>
      <c r="G15" s="2498" t="str">
        <f>G3</f>
        <v>估价对象位于XX开发区，园区建设成熟度XX，产业集聚程度XX</v>
      </c>
    </row>
    <row r="16" spans="1:29" ht="38.25">
      <c r="A16" s="2446"/>
      <c r="B16" s="2499" t="s">
        <v>2253</v>
      </c>
      <c r="C16" s="2500" t="str">
        <f>C4</f>
        <v>估价对象位于XX商圈，周边商业氛围成熟，人流量大，商业繁华度好</v>
      </c>
      <c r="D16" s="2464"/>
      <c r="E16" s="2447"/>
      <c r="F16" s="2501" t="s">
        <v>2255</v>
      </c>
      <c r="G16" s="2502" t="str">
        <f>G4</f>
        <v>估价对象周边道路状况、公共交通通达情况、停车便捷程度，综合评价交通便捷度较好</v>
      </c>
    </row>
    <row r="17" spans="1:18" ht="38.25">
      <c r="A17" s="2446"/>
      <c r="B17" s="2499" t="s">
        <v>2257</v>
      </c>
      <c r="C17" s="2500" t="str">
        <f>C5</f>
        <v>估价对象位于XX商圈，周边办公楼项目较多，入驻率高，办公集聚程度较好</v>
      </c>
      <c r="D17" s="2470"/>
      <c r="E17" s="2447"/>
      <c r="F17" s="2501" t="s">
        <v>2273</v>
      </c>
      <c r="G17" s="2503"/>
    </row>
    <row r="18" spans="1:18" ht="63.75">
      <c r="A18" s="2446"/>
      <c r="B18" s="2501" t="s">
        <v>2261</v>
      </c>
      <c r="C18" s="2502" t="str">
        <f>C6</f>
        <v>估价对象紧邻城市支路——天达路，有专171路、411路等多条公共交通线路，距离最近的地铁7号线（郎辛庄站）约0.8公里，综合评价交通便捷度一般</v>
      </c>
      <c r="D18" s="2470"/>
      <c r="E18" s="2447"/>
      <c r="F18" s="2501" t="s">
        <v>2264</v>
      </c>
      <c r="G18" s="2502" t="str">
        <f>G7</f>
        <v>该园区内是否有污染型企业，绿化情况，卫生条件，整体环境状况判断</v>
      </c>
    </row>
    <row r="19" spans="1:18" ht="25.5">
      <c r="A19" s="2446"/>
      <c r="B19" s="2501" t="s">
        <v>2274</v>
      </c>
      <c r="C19" s="2503"/>
      <c r="D19" s="2464"/>
      <c r="E19" s="2447"/>
      <c r="F19" s="323" t="s">
        <v>2259</v>
      </c>
      <c r="G19" s="2502" t="str">
        <f>G5</f>
        <v>估价对象所在区域公共配套设施齐备情况</v>
      </c>
    </row>
    <row r="20" spans="1:18" ht="38.25">
      <c r="A20" s="2446"/>
      <c r="B20" s="2501" t="s">
        <v>2275</v>
      </c>
      <c r="C20" s="2500" t="str">
        <f>C9</f>
        <v>区域自然环境：西排干渠；人文环境；豆各庄乡情博物馆；综合评价环境状况一般。</v>
      </c>
      <c r="D20" s="2470"/>
      <c r="E20" s="2447"/>
      <c r="F20" s="323" t="s">
        <v>2262</v>
      </c>
      <c r="G20" s="2502" t="str">
        <f>G6</f>
        <v>估价对象所在区域基础设施水平</v>
      </c>
    </row>
    <row r="21" spans="1:18" ht="25.5">
      <c r="A21" s="2446"/>
      <c r="B21" s="323" t="s">
        <v>2259</v>
      </c>
      <c r="C21" s="2502" t="str">
        <f>C7</f>
        <v>估价对象所在区域公共配套设施齐备情况较好</v>
      </c>
      <c r="D21" s="2464"/>
      <c r="E21" s="2447"/>
      <c r="F21" s="2501" t="s">
        <v>2276</v>
      </c>
      <c r="G21" s="2504"/>
    </row>
    <row r="22" spans="1:18" ht="13.5" customHeight="1">
      <c r="A22" s="2446"/>
      <c r="B22" s="323" t="s">
        <v>2262</v>
      </c>
      <c r="C22" s="2502" t="str">
        <f>C8</f>
        <v>七通</v>
      </c>
      <c r="D22" s="2464"/>
      <c r="E22" s="2447"/>
      <c r="F22" s="2501" t="s">
        <v>2267</v>
      </c>
      <c r="G22" s="2503"/>
    </row>
    <row r="23" spans="1:18" s="799" customFormat="1" ht="15" thickBot="1">
      <c r="A23" s="2446"/>
      <c r="B23" s="2501" t="s">
        <v>2276</v>
      </c>
      <c r="C23" s="2504"/>
      <c r="D23" s="1741"/>
      <c r="E23" s="2448"/>
      <c r="F23" s="2505" t="s">
        <v>2277</v>
      </c>
      <c r="G23" s="2506"/>
      <c r="H23" s="2490"/>
      <c r="I23" s="2491"/>
      <c r="J23" s="2490"/>
      <c r="K23" s="2490"/>
      <c r="L23" s="2491"/>
      <c r="M23" s="2490"/>
      <c r="N23" s="2490"/>
      <c r="O23" s="2491"/>
      <c r="P23" s="2490"/>
      <c r="Q23" s="2490"/>
      <c r="R23" s="2492"/>
    </row>
    <row r="24" spans="1:18" s="799" customFormat="1" ht="15" thickBot="1">
      <c r="A24" s="2449"/>
      <c r="B24" s="2505" t="s">
        <v>2278</v>
      </c>
      <c r="C24" s="2507">
        <f>C10</f>
        <v>0</v>
      </c>
      <c r="D24" s="1741"/>
      <c r="E24" s="2439"/>
      <c r="F24" s="2439"/>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8" sqref="D18"/>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72.16</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45214</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299.28359999999998</v>
      </c>
      <c r="C5" s="2511" t="e">
        <f ca="1">IF(B5=D14,结果表!H102,ROUND(B5*10000/$B$1,0))</f>
        <v>#DIV/0!</v>
      </c>
      <c r="D5" s="2511" t="e">
        <f ca="1">ROUND(B5*10000/$B$2,0)</f>
        <v>#DIV/0!</v>
      </c>
      <c r="E5" s="2685"/>
      <c r="F5" s="2686"/>
      <c r="G5" s="2686"/>
      <c r="H5" s="2687"/>
      <c r="I5" s="2687"/>
      <c r="J5" s="2687"/>
      <c r="K5" s="2687"/>
    </row>
    <row r="6" spans="1:11" ht="16.5">
      <c r="A6" s="2511" t="s">
        <v>656</v>
      </c>
      <c r="B6" s="2511">
        <f>SUM(G14:G23)</f>
        <v>0</v>
      </c>
      <c r="C6" s="2511">
        <f ca="1">IF(B6=G14,结果表!H108,ROUND(B6*10000/$B$1,0))</f>
        <v>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3355</v>
      </c>
      <c r="D10" s="2511" t="s">
        <v>3356</v>
      </c>
      <c r="E10" s="3440"/>
      <c r="F10" s="3444" t="s">
        <v>3357</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'数据-基础表'!I13</f>
        <v>72.16</v>
      </c>
      <c r="C14" s="2517"/>
      <c r="D14" s="2517">
        <f ca="1">结果表!G20*B14/10000</f>
        <v>299.28359999999998</v>
      </c>
      <c r="E14" s="2517">
        <f ca="1">ROUND(D14*10000/B14,0)</f>
        <v>41475</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2" zoomScaleNormal="100" zoomScaleSheetLayoutView="100" zoomScalePageLayoutView="80" workbookViewId="0">
      <selection activeCell="F22" sqref="F2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3384</v>
      </c>
      <c r="D1" s="1747"/>
      <c r="E1" s="1747"/>
      <c r="F1" s="1749" t="s">
        <v>1263</v>
      </c>
      <c r="G1" s="1561"/>
      <c r="H1" s="1750" t="str">
        <f>IF(G1="现房","——","估价对象范围")</f>
        <v>估价对象范围</v>
      </c>
      <c r="I1" s="1751"/>
    </row>
    <row r="2" spans="1:12" ht="21.75" customHeight="1" thickBot="1">
      <c r="A2" s="3620" t="str">
        <f>项目基本情况!S2</f>
        <v>北京市房地产</v>
      </c>
      <c r="B2" s="3621"/>
      <c r="C2" s="3621"/>
      <c r="D2" s="3621"/>
      <c r="E2" s="3621"/>
      <c r="F2" s="3621"/>
      <c r="G2" s="3621"/>
      <c r="H2" s="3621"/>
      <c r="I2" s="3622"/>
    </row>
    <row r="3" spans="1:12" ht="12.75">
      <c r="A3" s="3624" t="s">
        <v>1264</v>
      </c>
      <c r="B3" s="3625"/>
      <c r="C3" s="3625"/>
      <c r="D3" s="3625"/>
      <c r="E3" s="3625"/>
      <c r="F3" s="3625"/>
      <c r="G3" s="3625"/>
      <c r="H3" s="3625"/>
      <c r="I3" s="3625"/>
    </row>
    <row r="4" spans="1:12" ht="14.25">
      <c r="A4" s="1754" t="s">
        <v>1265</v>
      </c>
      <c r="B4" s="1755" t="s">
        <v>1266</v>
      </c>
      <c r="C4" s="1756" t="s">
        <v>3414</v>
      </c>
      <c r="D4" s="1756" t="s">
        <v>3388</v>
      </c>
      <c r="E4" s="3629" t="s">
        <v>1267</v>
      </c>
      <c r="F4" s="3630"/>
      <c r="G4" s="3630"/>
      <c r="H4" s="3630"/>
      <c r="I4" s="363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8" t="s">
        <v>1268</v>
      </c>
      <c r="B5" s="3623">
        <v>25</v>
      </c>
      <c r="C5" s="3626">
        <v>8</v>
      </c>
      <c r="D5" s="3614">
        <f>10-C5</f>
        <v>2</v>
      </c>
      <c r="E5" s="131" t="s">
        <v>1269</v>
      </c>
      <c r="F5" s="1757"/>
      <c r="G5" s="1757"/>
      <c r="H5" s="1757"/>
      <c r="I5" s="1373"/>
    </row>
    <row r="6" spans="1:12" ht="12.75">
      <c r="A6" s="3568"/>
      <c r="B6" s="3623"/>
      <c r="C6" s="3628"/>
      <c r="D6" s="3614"/>
      <c r="E6" s="131" t="s">
        <v>1270</v>
      </c>
      <c r="F6" s="1757"/>
      <c r="G6" s="1757"/>
      <c r="H6" s="1757"/>
      <c r="I6" s="1373"/>
    </row>
    <row r="7" spans="1:12" ht="12.75">
      <c r="A7" s="3568"/>
      <c r="B7" s="3623"/>
      <c r="C7" s="3627"/>
      <c r="D7" s="3614"/>
      <c r="E7" s="131" t="s">
        <v>1271</v>
      </c>
      <c r="F7" s="1757"/>
      <c r="G7" s="1757"/>
      <c r="H7" s="1757"/>
      <c r="I7" s="1373"/>
    </row>
    <row r="8" spans="1:12" ht="12.75">
      <c r="A8" s="3568" t="s">
        <v>1272</v>
      </c>
      <c r="B8" s="3623">
        <v>15</v>
      </c>
      <c r="C8" s="3626"/>
      <c r="D8" s="3614"/>
      <c r="E8" s="131" t="s">
        <v>1273</v>
      </c>
      <c r="F8" s="1757"/>
      <c r="G8" s="1757"/>
      <c r="H8" s="1757"/>
      <c r="I8" s="1373"/>
    </row>
    <row r="9" spans="1:12" ht="12.75">
      <c r="A9" s="3568"/>
      <c r="B9" s="3623"/>
      <c r="C9" s="3627"/>
      <c r="D9" s="3614"/>
      <c r="E9" s="131" t="s">
        <v>1274</v>
      </c>
      <c r="F9" s="1757"/>
      <c r="G9" s="1757"/>
      <c r="H9" s="1757"/>
      <c r="I9" s="1373"/>
    </row>
    <row r="10" spans="1:12" ht="12.75">
      <c r="A10" s="3568" t="s">
        <v>1275</v>
      </c>
      <c r="B10" s="3623">
        <v>15</v>
      </c>
      <c r="C10" s="3626"/>
      <c r="D10" s="3614"/>
      <c r="E10" s="131" t="s">
        <v>1276</v>
      </c>
      <c r="F10" s="1757"/>
      <c r="G10" s="1757"/>
      <c r="H10" s="1757"/>
      <c r="I10" s="1373"/>
    </row>
    <row r="11" spans="1:12" ht="12.75">
      <c r="A11" s="3568"/>
      <c r="B11" s="3623"/>
      <c r="C11" s="3627"/>
      <c r="D11" s="3614"/>
      <c r="E11" s="131" t="s">
        <v>1277</v>
      </c>
      <c r="F11" s="1757"/>
      <c r="G11" s="1757"/>
      <c r="H11" s="1757"/>
      <c r="I11" s="1373"/>
    </row>
    <row r="12" spans="1:12" ht="12.75">
      <c r="A12" s="3568" t="s">
        <v>1278</v>
      </c>
      <c r="B12" s="3623">
        <v>15</v>
      </c>
      <c r="C12" s="3626"/>
      <c r="D12" s="3614"/>
      <c r="E12" s="131" t="s">
        <v>1279</v>
      </c>
      <c r="F12" s="1757"/>
      <c r="G12" s="1757"/>
      <c r="H12" s="1757"/>
      <c r="I12" s="1373"/>
    </row>
    <row r="13" spans="1:12" ht="12.75">
      <c r="A13" s="3568"/>
      <c r="B13" s="3623"/>
      <c r="C13" s="3627"/>
      <c r="D13" s="3614"/>
      <c r="E13" s="131" t="s">
        <v>1280</v>
      </c>
      <c r="F13" s="1757"/>
      <c r="G13" s="1757"/>
      <c r="H13" s="1757"/>
      <c r="I13" s="1373"/>
    </row>
    <row r="14" spans="1:12" ht="12.75">
      <c r="A14" s="3568" t="s">
        <v>1281</v>
      </c>
      <c r="B14" s="3623">
        <v>30</v>
      </c>
      <c r="C14" s="3626"/>
      <c r="D14" s="3614"/>
      <c r="E14" s="131" t="s">
        <v>1282</v>
      </c>
      <c r="F14" s="1757"/>
      <c r="G14" s="1757"/>
      <c r="H14" s="1757"/>
      <c r="I14" s="1373"/>
    </row>
    <row r="15" spans="1:12" ht="12.75">
      <c r="A15" s="3568"/>
      <c r="B15" s="3623"/>
      <c r="C15" s="3628"/>
      <c r="D15" s="3614"/>
      <c r="E15" s="131" t="s">
        <v>1283</v>
      </c>
      <c r="F15" s="1757"/>
      <c r="G15" s="1757"/>
      <c r="H15" s="1757"/>
      <c r="I15" s="1373"/>
    </row>
    <row r="16" spans="1:12" ht="12.75">
      <c r="A16" s="3568"/>
      <c r="B16" s="3623"/>
      <c r="C16" s="3627"/>
      <c r="D16" s="3614"/>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645" t="s">
        <v>2130</v>
      </c>
      <c r="F18" s="3646"/>
      <c r="G18" s="3646"/>
      <c r="H18" s="3646"/>
      <c r="I18" s="3646"/>
      <c r="K18" s="302" t="s">
        <v>1289</v>
      </c>
      <c r="L18" s="302">
        <f>IF(C1="",'数据-汇总表'!E3,SUMIF(项目类型,C1,'数据-汇总表'!E17:E26)+SUMIF(项目类型,C1,'数据-汇总表'!I17:I26))</f>
        <v>72.16</v>
      </c>
      <c r="M18" s="302">
        <f>IF(C1="",'数据-汇总表'!E3,SUMIF(项目类型,C1,'数据-汇总表'!E17:E26))</f>
        <v>72.16</v>
      </c>
    </row>
    <row r="19" spans="1:36" ht="15">
      <c r="A19" s="1761" t="s">
        <v>1290</v>
      </c>
      <c r="B19" s="1762" t="s">
        <v>1291</v>
      </c>
      <c r="C19" s="134">
        <f ca="1">SUMIF(INDIRECT("'"&amp;C4&amp;"'"&amp;"!A:A"),结果表!B19,INDIRECT("'"&amp;C4&amp;"'"&amp;"!B:B"))</f>
        <v>317.7638</v>
      </c>
      <c r="D19" s="135">
        <f ca="1">SUMIF(INDIRECT("'"&amp;D4&amp;"'"&amp;"!A:A"),结果表!B19,INDIRECT("'"&amp;D4&amp;"'"&amp;"!B:B"))</f>
        <v>225.3511</v>
      </c>
      <c r="E19" s="1761" t="s">
        <v>1292</v>
      </c>
      <c r="F19" s="1762" t="s">
        <v>1291</v>
      </c>
      <c r="G19" s="136">
        <f ca="1">ROUND(C19*$C$18+D19*$D$18,0)</f>
        <v>299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44036</v>
      </c>
      <c r="D20" s="138">
        <f ca="1">SUMIF(INDIRECT("'"&amp;D4&amp;"'"&amp;"!A:A"),结果表!B20,INDIRECT("'"&amp;D4&amp;"'"&amp;"!B:B"))</f>
        <v>31229</v>
      </c>
      <c r="E20" s="1764"/>
      <c r="F20" s="1026" t="s">
        <v>1295</v>
      </c>
      <c r="G20" s="139">
        <f ca="1">ROUND(C20*$C$18+D20*$D$18,0)</f>
        <v>41475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0.4100831990613758</v>
      </c>
      <c r="E22" s="129"/>
      <c r="F22" s="129"/>
      <c r="G22" s="129"/>
      <c r="H22" s="129"/>
      <c r="I22" s="129"/>
    </row>
    <row r="23" spans="1:36" ht="13.5" thickBot="1">
      <c r="A23" s="1747"/>
      <c r="B23" s="1747"/>
      <c r="C23" s="1747"/>
      <c r="D23" s="1747"/>
      <c r="E23" s="129"/>
      <c r="F23" s="129"/>
      <c r="G23" s="129"/>
      <c r="H23" s="129"/>
      <c r="I23" s="129"/>
    </row>
    <row r="24" spans="1:36" ht="14.25">
      <c r="A24" s="3638" t="s">
        <v>1299</v>
      </c>
      <c r="B24" s="1762" t="s">
        <v>1291</v>
      </c>
      <c r="C24" s="136">
        <f>IF(B30=0,0,D30)</f>
        <v>0</v>
      </c>
      <c r="D24" s="1769"/>
      <c r="E24" s="129"/>
      <c r="F24" s="129"/>
      <c r="G24" s="129"/>
      <c r="H24" s="129"/>
      <c r="I24" s="129"/>
    </row>
    <row r="25" spans="1:36" ht="14.25">
      <c r="A25" s="363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41475</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5" t="s">
        <v>1312</v>
      </c>
      <c r="B36" s="1787" t="s">
        <v>1313</v>
      </c>
      <c r="C36" s="145"/>
      <c r="D36" s="1788"/>
      <c r="E36" s="1789"/>
      <c r="F36" s="1790"/>
      <c r="G36" s="129"/>
      <c r="H36" s="129"/>
      <c r="I36" s="129"/>
    </row>
    <row r="37" spans="1:15" ht="15.75" thickBot="1">
      <c r="A37" s="3616"/>
      <c r="B37" s="1674" t="s">
        <v>1314</v>
      </c>
      <c r="C37" s="147"/>
      <c r="D37" s="1139"/>
      <c r="E37" s="1139"/>
      <c r="F37" s="1790"/>
      <c r="G37" s="129"/>
      <c r="H37" s="129"/>
      <c r="I37" s="129"/>
    </row>
    <row r="38" spans="1:15" ht="15.75" thickBot="1">
      <c r="A38" s="361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5" t="s">
        <v>1326</v>
      </c>
      <c r="B45" s="3636"/>
      <c r="C45" s="3637"/>
      <c r="D45" s="155" t="e">
        <f ca="1">ROUND(H101*F45,0)</f>
        <v>#REF!</v>
      </c>
      <c r="E45" s="156" t="s">
        <v>1327</v>
      </c>
      <c r="F45" s="157">
        <v>1</v>
      </c>
      <c r="G45" s="158" t="s">
        <v>1328</v>
      </c>
      <c r="H45" s="129"/>
      <c r="I45" s="129"/>
      <c r="J45" s="3555" t="s">
        <v>1329</v>
      </c>
      <c r="K45" s="3555"/>
      <c r="L45" s="3555"/>
      <c r="M45" s="3555"/>
      <c r="N45" s="3555"/>
      <c r="O45" s="3555"/>
    </row>
    <row r="46" spans="1:15" ht="14.25" customHeight="1">
      <c r="A46" s="3632" t="s">
        <v>1330</v>
      </c>
      <c r="B46" s="3633"/>
      <c r="C46" s="3633"/>
      <c r="D46" s="3633"/>
      <c r="E46" s="3633"/>
      <c r="F46" s="3633"/>
      <c r="G46" s="3634"/>
      <c r="H46" s="1806"/>
      <c r="I46" s="159"/>
      <c r="J46" s="2522">
        <v>1</v>
      </c>
      <c r="K46" s="3556" t="s">
        <v>1331</v>
      </c>
      <c r="L46" s="3556"/>
      <c r="M46" s="3557"/>
      <c r="N46" s="3557"/>
      <c r="O46" s="3557"/>
    </row>
    <row r="47" spans="1:15" ht="12" customHeight="1">
      <c r="A47" s="160" t="s">
        <v>1332</v>
      </c>
      <c r="B47" s="161"/>
      <c r="C47" s="162"/>
      <c r="D47" s="1087" t="s">
        <v>1333</v>
      </c>
      <c r="E47" s="302" t="s">
        <v>1334</v>
      </c>
      <c r="F47" s="163" t="s">
        <v>1335</v>
      </c>
      <c r="G47" s="2545" t="s">
        <v>1336</v>
      </c>
      <c r="H47" s="2546"/>
      <c r="I47" s="159"/>
      <c r="J47" s="2522">
        <v>2</v>
      </c>
      <c r="K47" s="3556" t="s">
        <v>1337</v>
      </c>
      <c r="L47" s="3556"/>
      <c r="M47" s="3558">
        <f>'数据-取费表'!B2</f>
        <v>45214</v>
      </c>
      <c r="N47" s="3558"/>
      <c r="O47" s="3558"/>
    </row>
    <row r="48" spans="1:15" ht="25.5">
      <c r="A48" s="3618" t="s">
        <v>1338</v>
      </c>
      <c r="B48" s="3619"/>
      <c r="C48" s="3619"/>
      <c r="D48" s="2324" t="b">
        <f>IF(H48="情况1",0,IF(H48="情况2",D52,IF(H48="情况3",D53,IF(H48="情况4",D54))))</f>
        <v>0</v>
      </c>
      <c r="E48" s="2334" t="str">
        <f>IF(H48="情况4","(销售额-原购置价)×税（费）率","销售额×税（费）率")</f>
        <v>销售额×税（费）率</v>
      </c>
      <c r="F48" s="2547">
        <f>IF(H48="情况1","免征",'数据-取费表'!B41)</f>
        <v>5.6000000000000001E-2</v>
      </c>
      <c r="G48" s="2548" t="s">
        <v>1339</v>
      </c>
      <c r="H48" s="2549"/>
      <c r="I48" s="1806"/>
      <c r="J48" s="2522">
        <v>3</v>
      </c>
      <c r="K48" s="3556" t="s">
        <v>1340</v>
      </c>
      <c r="L48" s="3556"/>
      <c r="M48" s="3559" t="e">
        <f ca="1">H101</f>
        <v>#REF!</v>
      </c>
      <c r="N48" s="3559"/>
      <c r="O48" s="3559"/>
    </row>
    <row r="49" spans="1:35" ht="25.5" customHeight="1">
      <c r="A49" s="2333" t="s">
        <v>1341</v>
      </c>
      <c r="B49" s="3604" t="s">
        <v>1342</v>
      </c>
      <c r="C49" s="3604"/>
      <c r="D49" s="1590">
        <v>0</v>
      </c>
      <c r="E49" s="324" t="s">
        <v>1343</v>
      </c>
      <c r="F49" s="2424" t="s">
        <v>28</v>
      </c>
      <c r="G49" s="3587"/>
      <c r="H49" s="2310" t="s">
        <v>2133</v>
      </c>
      <c r="I49" s="2311"/>
      <c r="J49" s="2522">
        <v>4</v>
      </c>
      <c r="K49" s="3556" t="str">
        <f>IF(项目基本情况!E8="房地产抵押价值","房地产抵押价值","抵押担保权已注销时的房地产抵押价值")</f>
        <v>抵押担保权已注销时的房地产抵押价值</v>
      </c>
      <c r="L49" s="3556"/>
      <c r="M49" s="3559" t="str">
        <f>IF(项目基本情况!E8="房地产抵押价值",H107,H109)</f>
        <v>——</v>
      </c>
      <c r="N49" s="3559"/>
      <c r="O49" s="3559"/>
    </row>
    <row r="50" spans="1:35" ht="25.5" customHeight="1">
      <c r="A50" s="2550"/>
      <c r="B50" s="3604" t="s">
        <v>1344</v>
      </c>
      <c r="C50" s="3604"/>
      <c r="D50" s="2551"/>
      <c r="E50" s="332"/>
      <c r="F50" s="2424"/>
      <c r="G50" s="3588"/>
      <c r="H50" s="2312" t="s">
        <v>2134</v>
      </c>
      <c r="I50" s="2311"/>
      <c r="J50" s="3555" t="s">
        <v>1345</v>
      </c>
      <c r="K50" s="3555"/>
      <c r="L50" s="3555"/>
      <c r="M50" s="3555"/>
      <c r="N50" s="3555"/>
      <c r="O50" s="3555"/>
    </row>
    <row r="51" spans="1:35" ht="20.45" customHeight="1">
      <c r="A51" s="2552"/>
      <c r="B51" s="3604" t="s">
        <v>1346</v>
      </c>
      <c r="C51" s="3604"/>
      <c r="D51" s="1087"/>
      <c r="E51" s="327"/>
      <c r="F51" s="2424"/>
      <c r="G51" s="3589"/>
      <c r="H51" s="2312" t="s">
        <v>2135</v>
      </c>
      <c r="I51" s="2311"/>
      <c r="J51" s="2523" t="s">
        <v>1347</v>
      </c>
      <c r="K51" s="3556" t="s">
        <v>1348</v>
      </c>
      <c r="L51" s="3556"/>
      <c r="M51" s="2523" t="s">
        <v>1349</v>
      </c>
      <c r="N51" s="2523" t="s">
        <v>1350</v>
      </c>
      <c r="O51" s="2523" t="s">
        <v>1351</v>
      </c>
    </row>
    <row r="52" spans="1:35" ht="24" customHeight="1">
      <c r="A52" s="2335" t="s">
        <v>1352</v>
      </c>
      <c r="B52" s="3604" t="s">
        <v>1353</v>
      </c>
      <c r="C52" s="3604"/>
      <c r="D52" s="1087" t="e">
        <f ca="1">ROUND(D45*'数据-取费表'!B41/(1+'数据-取费表'!C42),0)</f>
        <v>#REF!</v>
      </c>
      <c r="E52" s="2334" t="s">
        <v>1354</v>
      </c>
      <c r="F52" s="2553">
        <f>'数据-取费表'!B41</f>
        <v>5.6000000000000001E-2</v>
      </c>
      <c r="G52" s="2554"/>
      <c r="H52" s="2543"/>
      <c r="I52" s="1807"/>
      <c r="J52" s="2522">
        <v>1</v>
      </c>
      <c r="K52" s="3581" t="s">
        <v>1355</v>
      </c>
      <c r="L52" s="3581"/>
      <c r="M52" s="2524" t="b">
        <f>D48</f>
        <v>0</v>
      </c>
      <c r="N52" s="2522" t="str">
        <f>E48</f>
        <v>销售额×税（费）率</v>
      </c>
      <c r="O52" s="2525">
        <f>F48</f>
        <v>5.6000000000000001E-2</v>
      </c>
    </row>
    <row r="53" spans="1:35" ht="12" customHeight="1">
      <c r="A53" s="2335" t="s">
        <v>1356</v>
      </c>
      <c r="B53" s="3605" t="s">
        <v>2288</v>
      </c>
      <c r="C53" s="3606"/>
      <c r="D53" s="1087" t="e">
        <f ca="1">ROUND(D45*'数据-取费表'!B41/(1+'数据-取费表'!C42),0)</f>
        <v>#REF!</v>
      </c>
      <c r="E53" s="2334" t="s">
        <v>1354</v>
      </c>
      <c r="F53" s="2553">
        <f>'数据-取费表'!B41</f>
        <v>5.6000000000000001E-2</v>
      </c>
      <c r="G53" s="2554"/>
      <c r="H53" s="2543"/>
      <c r="I53" s="1807"/>
      <c r="J53" s="2522">
        <v>2</v>
      </c>
      <c r="K53" s="3581" t="s">
        <v>1357</v>
      </c>
      <c r="L53" s="3581"/>
      <c r="M53" s="2524" t="e">
        <f t="shared" ref="M53:O54" ca="1" si="0">D55</f>
        <v>#REF!</v>
      </c>
      <c r="N53" s="2522" t="str">
        <f t="shared" si="0"/>
        <v>销售额×税（费）率</v>
      </c>
      <c r="O53" s="2525" t="str">
        <f t="shared" si="0"/>
        <v>免征</v>
      </c>
    </row>
    <row r="54" spans="1:35" ht="12" customHeight="1">
      <c r="A54" s="2335" t="s">
        <v>1358</v>
      </c>
      <c r="B54" s="3605" t="s">
        <v>2289</v>
      </c>
      <c r="C54" s="3606"/>
      <c r="D54" s="1087" t="e">
        <f ca="1">C68</f>
        <v>#REF!</v>
      </c>
      <c r="E54" s="327" t="s">
        <v>1359</v>
      </c>
      <c r="F54" s="2553">
        <f>'数据-取费表'!B41</f>
        <v>5.6000000000000001E-2</v>
      </c>
      <c r="G54" s="2554"/>
      <c r="H54" s="2555"/>
      <c r="I54" s="1807"/>
      <c r="J54" s="2522">
        <v>3</v>
      </c>
      <c r="K54" s="3581" t="s">
        <v>1360</v>
      </c>
      <c r="L54" s="3581"/>
      <c r="M54" s="2524" t="e">
        <f t="shared" ca="1" si="0"/>
        <v>#REF!</v>
      </c>
      <c r="N54" s="2522" t="str">
        <f t="shared" si="0"/>
        <v>增值额×税（费）率</v>
      </c>
      <c r="O54" s="2526" t="str">
        <f t="shared" si="0"/>
        <v>免征</v>
      </c>
    </row>
    <row r="55" spans="1:35" ht="24" customHeight="1">
      <c r="A55" s="3641" t="s">
        <v>1361</v>
      </c>
      <c r="B55" s="3619"/>
      <c r="C55" s="3619"/>
      <c r="D55" s="2324" t="e">
        <f ca="1">IF(H55="个人住宅",0,ROUND(D45*I55,0))</f>
        <v>#REF!</v>
      </c>
      <c r="E55" s="2334" t="s">
        <v>1362</v>
      </c>
      <c r="F55" s="2553" t="str">
        <f>IF(H55="正常",I55,"免征")</f>
        <v>免征</v>
      </c>
      <c r="G55" s="2554"/>
      <c r="H55" s="2549"/>
      <c r="I55" s="165">
        <f>'数据-取费表'!B49</f>
        <v>5.0000000000000001E-4</v>
      </c>
      <c r="J55" s="2522">
        <f>IF(H59="非个人房产","",4)</f>
        <v>4</v>
      </c>
      <c r="K55" s="3581" t="str">
        <f>IF(H59="非个人房产","——","个人所得税")</f>
        <v>个人所得税</v>
      </c>
      <c r="L55" s="3581"/>
      <c r="M55" s="2527" t="e">
        <f ca="1">D59</f>
        <v>#REF!</v>
      </c>
      <c r="N55" s="2040" t="str">
        <f>E59</f>
        <v>差额计税</v>
      </c>
      <c r="O55" s="2528">
        <f>F59</f>
        <v>0.01</v>
      </c>
    </row>
    <row r="56" spans="1:35" ht="24.75">
      <c r="A56" s="3641" t="s">
        <v>1363</v>
      </c>
      <c r="B56" s="3619"/>
      <c r="C56" s="3619"/>
      <c r="D56" s="2324" t="e">
        <f ca="1">IF(H56="个人住宅",D57,D58)</f>
        <v>#REF!</v>
      </c>
      <c r="E56" s="2334" t="s">
        <v>1364</v>
      </c>
      <c r="F56" s="2553" t="str">
        <f>IF(H56="正常",F58,"免征")</f>
        <v>免征</v>
      </c>
      <c r="G56" s="2556" t="s">
        <v>1365</v>
      </c>
      <c r="H56" s="2557"/>
      <c r="I56" s="1808"/>
      <c r="J56" s="2522" t="str">
        <f>IF(项目基本情况!K6="上海银行",IF(J55="",4,J55+1),"")</f>
        <v/>
      </c>
      <c r="K56" s="3562" t="str">
        <f>IF(项目基本情况!K6="上海银行","其他处置费用","")</f>
        <v/>
      </c>
      <c r="L56" s="3563"/>
      <c r="M56" s="2524" t="str">
        <f>IF(项目基本情况!K6="上海银行",M69,"")</f>
        <v/>
      </c>
      <c r="N56" s="3562" t="str">
        <f>IF(项目基本情况!K6="上海银行","包含处置中涉及的律师、诉讼、拍卖、评估等费用","")</f>
        <v/>
      </c>
      <c r="O56" s="3565"/>
    </row>
    <row r="57" spans="1:35" ht="12.75">
      <c r="A57" s="2335" t="s">
        <v>1341</v>
      </c>
      <c r="B57" s="3605" t="s">
        <v>1366</v>
      </c>
      <c r="C57" s="3606"/>
      <c r="D57" s="1590">
        <v>0</v>
      </c>
      <c r="E57" s="324" t="s">
        <v>1343</v>
      </c>
      <c r="F57" s="302"/>
      <c r="G57" s="2554"/>
      <c r="H57" s="2558"/>
      <c r="I57" s="1808"/>
      <c r="J57" s="3581">
        <f>IF(AND(J55="",J56=""),4,IF(项目基本情况!K6="上海银行",结果表!J56+1,结果表!J55+1))</f>
        <v>5</v>
      </c>
      <c r="K57" s="3581" t="s">
        <v>1367</v>
      </c>
      <c r="L57" s="2529" t="s">
        <v>1368</v>
      </c>
      <c r="M57" s="2530"/>
      <c r="N57" s="2531">
        <f ca="1">SUMIF(M52:M56,"&lt;9e307")</f>
        <v>0</v>
      </c>
      <c r="O57" s="2532"/>
      <c r="P57" s="2689" t="e">
        <f ca="1">N57/M49</f>
        <v>#VALUE!</v>
      </c>
    </row>
    <row r="58" spans="1:35" ht="24.75">
      <c r="A58" s="2335" t="s">
        <v>1352</v>
      </c>
      <c r="B58" s="3605" t="s">
        <v>1369</v>
      </c>
      <c r="C58" s="3604"/>
      <c r="D58" s="2324" t="e">
        <f ca="1">IF(H58="转让取得",C81,C97)</f>
        <v>#REF!</v>
      </c>
      <c r="E58" s="2334" t="s">
        <v>1364</v>
      </c>
      <c r="F58" s="302" t="s">
        <v>28</v>
      </c>
      <c r="G58" s="2554"/>
      <c r="H58" s="2557"/>
      <c r="I58" s="1808"/>
      <c r="J58" s="3581"/>
      <c r="K58" s="3581"/>
      <c r="L58" s="2529" t="s">
        <v>1370</v>
      </c>
      <c r="M58" s="2533"/>
      <c r="N58" s="2534" t="str">
        <f ca="1">NUMBERSTRING(INT(N57*10000),2)&amp;"元整"</f>
        <v>零元整</v>
      </c>
      <c r="O58" s="2535"/>
    </row>
    <row r="59" spans="1:35" ht="24.75" thickBot="1">
      <c r="A59" s="3585" t="s">
        <v>1371</v>
      </c>
      <c r="B59" s="3586"/>
      <c r="C59" s="3586"/>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2136</v>
      </c>
      <c r="J59" s="3583">
        <f>J57+1</f>
        <v>6</v>
      </c>
      <c r="K59" s="3581" t="s">
        <v>1372</v>
      </c>
      <c r="L59" s="2522" t="s">
        <v>1368</v>
      </c>
      <c r="M59" s="2536"/>
      <c r="N59" s="2537" t="e">
        <f ca="1">M49-N57</f>
        <v>#VALUE!</v>
      </c>
      <c r="O59" s="2538"/>
    </row>
    <row r="60" spans="1:35" ht="12" customHeight="1">
      <c r="A60" s="1809"/>
      <c r="B60" s="1747"/>
      <c r="C60" s="1747"/>
      <c r="D60" s="1747"/>
      <c r="E60" s="1578"/>
      <c r="F60" s="1808"/>
      <c r="G60" s="1808"/>
      <c r="H60" s="1810"/>
      <c r="I60" s="129"/>
      <c r="J60" s="3584"/>
      <c r="K60" s="3581"/>
      <c r="L60" s="2529" t="s">
        <v>1370</v>
      </c>
      <c r="M60" s="2533"/>
      <c r="N60" s="2534" t="e">
        <f ca="1">NUMBERSTRING(INT(N59*10000),2)&amp;"元整"</f>
        <v>#VALUE!</v>
      </c>
      <c r="O60" s="2535"/>
    </row>
    <row r="61" spans="1:35" ht="13.5" thickBot="1">
      <c r="A61" s="3640" t="s">
        <v>1373</v>
      </c>
      <c r="B61" s="3640"/>
      <c r="C61" s="3640"/>
      <c r="D61" s="3640"/>
      <c r="E61" s="3640"/>
      <c r="F61" s="1808"/>
      <c r="G61" s="1808"/>
      <c r="H61" s="1810"/>
      <c r="I61" s="129"/>
      <c r="J61" s="2522">
        <f>J59+1</f>
        <v>7</v>
      </c>
      <c r="K61" s="3581" t="s">
        <v>1374</v>
      </c>
      <c r="L61" s="3581"/>
      <c r="M61" s="2539"/>
      <c r="N61" s="2540" t="e">
        <f ca="1">ROUND(N59*10000/'数据-汇总表'!E3,0)</f>
        <v>#VALUE!</v>
      </c>
      <c r="O61" s="2541"/>
    </row>
    <row r="62" spans="1:35" ht="12.75">
      <c r="A62" s="3600" t="s">
        <v>1375</v>
      </c>
      <c r="B62" s="3601"/>
      <c r="C62" s="2021"/>
      <c r="D62" s="2021" t="s">
        <v>1376</v>
      </c>
      <c r="E62" s="166" t="s">
        <v>1377</v>
      </c>
      <c r="F62" s="1808"/>
      <c r="G62" s="1808"/>
      <c r="H62" s="1810"/>
      <c r="I62" s="129"/>
    </row>
    <row r="63" spans="1:35" ht="12.75">
      <c r="A63" s="173" t="s">
        <v>330</v>
      </c>
      <c r="B63" s="167" t="s">
        <v>1378</v>
      </c>
      <c r="C63" s="2563" t="e">
        <f ca="1">ROUND((C64+C65)/(1+'数据-取费表'!C42),0)</f>
        <v>#REF!</v>
      </c>
      <c r="D63" s="167"/>
      <c r="E63" s="168"/>
      <c r="F63" s="1808"/>
      <c r="G63" s="1808"/>
      <c r="H63" s="1810"/>
      <c r="I63" s="129"/>
      <c r="J63" s="3564" t="s">
        <v>1379</v>
      </c>
      <c r="K63" s="1332" t="s">
        <v>1380</v>
      </c>
      <c r="L63" s="1332" t="e">
        <f>IF(M49&gt;10000,M49*0.5%,IF(AND(M49&gt;1000,M49&lt;=10000),M49*1%,IF(AND(M49&gt;100,M49&lt;=1000),M49*3%,IF(AND(M49&gt;10,M49&lt;=100),M49*5%,M49*8%))))</f>
        <v>#VALUE!</v>
      </c>
      <c r="M63" s="302" t="e">
        <f>ROUND(L63,1)</f>
        <v>#VALUE!</v>
      </c>
      <c r="N63" s="2542"/>
      <c r="Z63" s="1752"/>
      <c r="AI63" s="1753"/>
    </row>
    <row r="64" spans="1:35" ht="14.25" customHeight="1">
      <c r="A64" s="169" t="s">
        <v>325</v>
      </c>
      <c r="B64" s="170" t="s">
        <v>1381</v>
      </c>
      <c r="C64" s="2564" t="e">
        <f ca="1">D45</f>
        <v>#REF!</v>
      </c>
      <c r="D64" s="170" t="s">
        <v>26</v>
      </c>
      <c r="E64" s="172"/>
      <c r="F64" s="1808"/>
      <c r="G64" s="1808"/>
      <c r="H64" s="1810"/>
      <c r="I64" s="129"/>
      <c r="J64" s="3564"/>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2"/>
      <c r="AI64" s="1753"/>
    </row>
    <row r="65" spans="1:35" ht="14.25" customHeight="1">
      <c r="A65" s="169" t="s">
        <v>326</v>
      </c>
      <c r="B65" s="170" t="s">
        <v>1384</v>
      </c>
      <c r="C65" s="2565"/>
      <c r="D65" s="170"/>
      <c r="E65" s="172"/>
      <c r="F65" s="1808"/>
      <c r="G65" s="1808"/>
      <c r="H65" s="1810"/>
      <c r="I65" s="129"/>
      <c r="J65" s="3564"/>
      <c r="K65" s="1332" t="s">
        <v>1385</v>
      </c>
      <c r="L65" s="1332" t="e">
        <f>IF(M49&gt;1000,M49*0.1%,IF(AND(M49&gt;500,M49&lt;=1000),M49*0.5%,IF(AND(M49&gt;50,M49&lt;=500),M49*1%,IF(AND(M49&gt;1,M49&lt;=50),M49*1.5%))))</f>
        <v>#VALUE!</v>
      </c>
      <c r="M65" s="302" t="e">
        <f t="shared" si="1"/>
        <v>#VALUE!</v>
      </c>
      <c r="N65" s="2543" t="s">
        <v>1383</v>
      </c>
      <c r="Z65" s="1752"/>
      <c r="AI65" s="1753"/>
    </row>
    <row r="66" spans="1:35" ht="14.25" customHeight="1">
      <c r="A66" s="173" t="s">
        <v>327</v>
      </c>
      <c r="B66" s="174" t="s">
        <v>1386</v>
      </c>
      <c r="C66" s="2566"/>
      <c r="D66" s="174" t="s">
        <v>26</v>
      </c>
      <c r="E66" s="1338" t="s">
        <v>671</v>
      </c>
      <c r="F66" s="1808"/>
      <c r="G66" s="1808"/>
      <c r="H66" s="1810"/>
      <c r="I66" s="129"/>
      <c r="J66" s="3564"/>
      <c r="K66" s="1332" t="s">
        <v>1387</v>
      </c>
      <c r="L66" s="1332" t="e">
        <f>M49*0.5%</f>
        <v>#VALUE!</v>
      </c>
      <c r="M66" s="302" t="e">
        <f>IF(L66&gt;0.5,0.5,ROUND(L66,0))</f>
        <v>#VALUE!</v>
      </c>
      <c r="N66" s="2543" t="s">
        <v>1388</v>
      </c>
      <c r="Z66" s="1752"/>
      <c r="AI66" s="1753"/>
    </row>
    <row r="67" spans="1:35" ht="14.25" customHeight="1">
      <c r="A67" s="173" t="s">
        <v>328</v>
      </c>
      <c r="B67" s="174" t="s">
        <v>1389</v>
      </c>
      <c r="C67" s="2567" t="e">
        <f ca="1">C63-C66</f>
        <v>#REF!</v>
      </c>
      <c r="D67" s="170" t="s">
        <v>26</v>
      </c>
      <c r="E67" s="172"/>
      <c r="F67" s="1808"/>
      <c r="G67" s="1808"/>
      <c r="H67" s="1810"/>
      <c r="I67" s="129"/>
      <c r="J67" s="3564"/>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2"/>
      <c r="AI67" s="1753"/>
    </row>
    <row r="68" spans="1:35" ht="14.25" customHeight="1" thickBot="1">
      <c r="A68" s="176" t="s">
        <v>329</v>
      </c>
      <c r="B68" s="177" t="s">
        <v>1391</v>
      </c>
      <c r="C68" s="2568" t="e">
        <f ca="1">IF(C67&lt;=0,0,ROUND(C67*D68,0))</f>
        <v>#REF!</v>
      </c>
      <c r="D68" s="2569">
        <f>'数据-取费表'!B41</f>
        <v>5.6000000000000001E-2</v>
      </c>
      <c r="E68" s="178"/>
      <c r="F68" s="1808"/>
      <c r="G68" s="1808"/>
      <c r="H68" s="1810"/>
      <c r="I68" s="129"/>
      <c r="J68" s="3564"/>
      <c r="K68" s="1332" t="s">
        <v>1392</v>
      </c>
      <c r="L68" s="1332" t="e">
        <f>IF(M49&gt;10000,M49*0.5%,IF(AND(M49&gt;5000,M49&lt;=10000),M49*1%,IF(AND(M49&gt;1000,M49&lt;=5000),M49*2%,IF(AND(M49&gt;200,M49&lt;=1000),M49*3%,M49*5%))))</f>
        <v>#VALUE!</v>
      </c>
      <c r="M68" s="302" t="e">
        <f>ROUND(L68,1)</f>
        <v>#VALUE!</v>
      </c>
      <c r="N68" s="2542"/>
      <c r="Z68" s="1752"/>
      <c r="AI68" s="1753"/>
    </row>
    <row r="69" spans="1:35" s="1772" customFormat="1" ht="16.5" customHeight="1">
      <c r="A69" s="1811"/>
      <c r="B69" s="1812"/>
      <c r="C69" s="1813"/>
      <c r="D69" s="1814"/>
      <c r="E69" s="1815"/>
      <c r="F69" s="1578"/>
      <c r="G69" s="1578"/>
      <c r="H69" s="1577"/>
      <c r="I69" s="1747"/>
      <c r="J69" s="3564"/>
      <c r="K69" s="1332" t="s">
        <v>1393</v>
      </c>
      <c r="L69" s="1332"/>
      <c r="M69" s="302" t="e">
        <f>ROUND(SUM(M63:M68),0)</f>
        <v>#VALUE!</v>
      </c>
      <c r="N69" s="2544"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8" t="s">
        <v>1394</v>
      </c>
      <c r="B70" s="3609"/>
      <c r="C70" s="3609"/>
      <c r="D70" s="3609"/>
      <c r="E70" s="3609"/>
      <c r="F70" s="3609"/>
      <c r="G70" s="3609"/>
      <c r="H70" s="3609"/>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0" t="s">
        <v>1375</v>
      </c>
      <c r="B71" s="3601"/>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t="e">
        <f ca="1">ROUND(D45/(1+'数据-取费表'!C42),0)</f>
        <v>#REF!</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605" t="s">
        <v>1402</v>
      </c>
      <c r="F76" s="3604"/>
      <c r="G76" s="3604"/>
      <c r="H76" s="360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t="e">
        <f ca="1">ROUND(D45*D78/(1+'数据-取费表'!C42),0)</f>
        <v>#REF!</v>
      </c>
      <c r="D78" s="2576">
        <f>'数据-取费表'!B43</f>
        <v>6.000000000000001E-3</v>
      </c>
      <c r="E78" s="3597" t="s">
        <v>1406</v>
      </c>
      <c r="F78" s="3598"/>
      <c r="G78" s="3598"/>
      <c r="H78" s="359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8" t="s">
        <v>1410</v>
      </c>
      <c r="B83" s="3609"/>
      <c r="C83" s="3609"/>
      <c r="D83" s="3609"/>
      <c r="E83" s="3609"/>
      <c r="F83" s="3609"/>
      <c r="G83" s="3609"/>
      <c r="H83" s="360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0" t="s">
        <v>1375</v>
      </c>
      <c r="B84" s="360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t="e">
        <f ca="1">IF(H88="仅含出让金",C87+C90+C91+C92+C93+C94,C87+C91+C92+C93+C94)</f>
        <v>#REF!</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7"/>
      <c r="G88" s="194" t="s">
        <v>1414</v>
      </c>
      <c r="H88" s="1824"/>
      <c r="I88" s="1821"/>
      <c r="J88" s="2520"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7"/>
      <c r="G90" s="3566" t="s">
        <v>2128</v>
      </c>
      <c r="H90" s="3567"/>
      <c r="I90" s="1821"/>
      <c r="J90" s="2520"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97" t="s">
        <v>1419</v>
      </c>
      <c r="F91" s="3598"/>
      <c r="G91" s="359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97" t="s">
        <v>1422</v>
      </c>
      <c r="F92" s="3598"/>
      <c r="G92" s="3598"/>
      <c r="H92" s="3599"/>
      <c r="I92" s="1821"/>
      <c r="J92" s="2521"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t="e">
        <f ca="1">ROUND(D45*D93/(1+'数据-取费表'!C42),0)</f>
        <v>#REF!</v>
      </c>
      <c r="D93" s="2576">
        <f>'数据-取费表'!B43</f>
        <v>6.000000000000001E-3</v>
      </c>
      <c r="E93" s="3597" t="s">
        <v>1406</v>
      </c>
      <c r="F93" s="3598"/>
      <c r="G93" s="3598"/>
      <c r="H93" s="359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42" t="s">
        <v>1426</v>
      </c>
      <c r="F94" s="3643"/>
      <c r="G94" s="3643"/>
      <c r="H94" s="364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7" t="s">
        <v>1428</v>
      </c>
      <c r="B100" s="3548"/>
      <c r="C100" s="3548"/>
      <c r="D100" s="3582"/>
      <c r="E100" s="3548" t="s">
        <v>1429</v>
      </c>
      <c r="F100" s="3548"/>
      <c r="G100" s="3548"/>
      <c r="H100" s="3582"/>
      <c r="I100" s="129"/>
    </row>
    <row r="101" spans="1:35" ht="18.75" customHeight="1">
      <c r="A101" s="3590" t="s">
        <v>1430</v>
      </c>
      <c r="B101" s="3591"/>
      <c r="C101" s="2584" t="str">
        <f>C4</f>
        <v>比较法-住宅</v>
      </c>
      <c r="D101" s="2585" t="str">
        <f>D4</f>
        <v>收益法 (元)</v>
      </c>
      <c r="E101" s="3560" t="s">
        <v>1431</v>
      </c>
      <c r="F101" s="3561"/>
      <c r="G101" s="1827" t="s">
        <v>1432</v>
      </c>
      <c r="H101" s="2594" t="e">
        <f ca="1">H118</f>
        <v>#REF!</v>
      </c>
      <c r="I101" s="129"/>
    </row>
    <row r="102" spans="1:35" ht="18.75" customHeight="1">
      <c r="A102" s="3592" t="s">
        <v>1433</v>
      </c>
      <c r="B102" s="2583" t="s">
        <v>1432</v>
      </c>
      <c r="C102" s="2584">
        <f ca="1">IF(D32="楼面单价",ROUND(C19,0),C19)</f>
        <v>317.7638</v>
      </c>
      <c r="D102" s="2585">
        <f ca="1">IF(D32="楼面单价",ROUND(D19,0),D19)</f>
        <v>225.3511</v>
      </c>
      <c r="E102" s="3560"/>
      <c r="F102" s="3561"/>
      <c r="G102" s="1827" t="s">
        <v>1434</v>
      </c>
      <c r="H102" s="2554" t="e">
        <f ca="1">I118</f>
        <v>#REF!</v>
      </c>
      <c r="I102" s="129"/>
    </row>
    <row r="103" spans="1:35" ht="42.75" customHeight="1">
      <c r="A103" s="3592"/>
      <c r="B103" s="2583" t="s">
        <v>1434</v>
      </c>
      <c r="C103" s="2586">
        <f ca="1">C20</f>
        <v>44036</v>
      </c>
      <c r="D103" s="2587">
        <f ca="1">D20</f>
        <v>31229</v>
      </c>
      <c r="E103" s="3553" t="s">
        <v>1435</v>
      </c>
      <c r="F103" s="3554"/>
      <c r="G103" s="1828" t="s">
        <v>1436</v>
      </c>
      <c r="H103" s="2594">
        <f>IF(D36="正常操作",H104+H105+H106,H105+H106)</f>
        <v>0</v>
      </c>
      <c r="I103" s="129"/>
    </row>
    <row r="104" spans="1:35" ht="18.75" customHeight="1">
      <c r="A104" s="3592" t="s">
        <v>1437</v>
      </c>
      <c r="B104" s="2588" t="s">
        <v>1432</v>
      </c>
      <c r="C104" s="2589" t="e">
        <f ca="1">H118</f>
        <v>#REF!</v>
      </c>
      <c r="D104" s="2590"/>
      <c r="E104" s="1674" t="s">
        <v>1438</v>
      </c>
      <c r="F104" s="1666"/>
      <c r="G104" s="1828" t="s">
        <v>1436</v>
      </c>
      <c r="H104" s="2595">
        <f>IF(D36="同一抵押权人同一抵押物续贷",C36&amp;"（续贷，未扣减，详见特别提示）",C36)</f>
        <v>0</v>
      </c>
      <c r="I104" s="129"/>
    </row>
    <row r="105" spans="1:35" ht="18.75" customHeight="1" thickBot="1">
      <c r="A105" s="3602"/>
      <c r="B105" s="2591" t="s">
        <v>1434</v>
      </c>
      <c r="C105" s="2592" t="e">
        <f ca="1">I118</f>
        <v>#REF!</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93" t="str">
        <f>IF(项目基本情况!E8="已注销","——","3.房地产抵押价值")</f>
        <v>3.房地产抵押价值</v>
      </c>
      <c r="F107" s="3561"/>
      <c r="G107" s="1827" t="s">
        <v>1432</v>
      </c>
      <c r="H107" s="2594" t="e">
        <f ca="1">IF(E107="——","——",H101-H103)</f>
        <v>#REF!</v>
      </c>
      <c r="I107" s="129"/>
    </row>
    <row r="108" spans="1:35" ht="18.75" customHeight="1">
      <c r="A108" s="129"/>
      <c r="B108" s="129"/>
      <c r="C108" s="129"/>
      <c r="D108" s="129"/>
      <c r="E108" s="3593"/>
      <c r="F108" s="3561"/>
      <c r="G108" s="1827" t="s">
        <v>1434</v>
      </c>
      <c r="H108" s="2554">
        <f ca="1">IF(H107=H101,H102,ROUND(H107*10000/'数据-汇总表'!E3,0))</f>
        <v>0</v>
      </c>
      <c r="I108" s="129"/>
    </row>
    <row r="109" spans="1:35" ht="18.75" customHeight="1">
      <c r="A109" s="129"/>
      <c r="B109" s="129"/>
      <c r="C109" s="129"/>
      <c r="D109" s="129"/>
      <c r="E109" s="3593" t="str">
        <f>IF(项目基本情况!E8="已注销及未注销","4.抵押担保权已注销时的房地产抵押价值",IF(项目基本情况!E8="已注销","3.抵押担保权已注销时的房地产抵押价值","——"))</f>
        <v>——</v>
      </c>
      <c r="F109" s="3561"/>
      <c r="G109" s="1827" t="s">
        <v>1432</v>
      </c>
      <c r="H109" s="2597" t="str">
        <f>IF(E109="——","——",H101-H105-H106)</f>
        <v>——</v>
      </c>
      <c r="I109" s="129"/>
    </row>
    <row r="110" spans="1:35" ht="18.75" customHeight="1">
      <c r="A110" s="129"/>
      <c r="B110" s="129"/>
      <c r="C110" s="129"/>
      <c r="D110" s="129"/>
      <c r="E110" s="3593"/>
      <c r="F110" s="3561"/>
      <c r="G110" s="1827" t="s">
        <v>1434</v>
      </c>
      <c r="H110" s="2554" t="str">
        <f>IF(H109="——","——",ROUND(H109*10000/'数据-汇总表'!E3,0))</f>
        <v>——</v>
      </c>
      <c r="I110" s="129"/>
    </row>
    <row r="111" spans="1:35" ht="18.75" customHeight="1">
      <c r="A111" s="129"/>
      <c r="B111" s="129"/>
      <c r="C111" s="129"/>
      <c r="D111" s="129"/>
      <c r="E111" s="3594" t="str">
        <f>IF(项目基本情况!E9="抵押净值",IF(OR(项目基本情况!E8="已注销",项目基本情况!E8="房地产抵押价值"),"4.抵押净值","5.抵押净值"),"——")</f>
        <v>——</v>
      </c>
      <c r="F111" s="3580"/>
      <c r="G111" s="1827" t="s">
        <v>1432</v>
      </c>
      <c r="H111" s="2594" t="str">
        <f>IF(E111="——","——",N59)</f>
        <v>——</v>
      </c>
      <c r="I111" s="129"/>
    </row>
    <row r="112" spans="1:35" ht="18.75" customHeight="1" thickBot="1">
      <c r="A112" s="129"/>
      <c r="B112" s="129"/>
      <c r="C112" s="129"/>
      <c r="D112" s="129"/>
      <c r="E112" s="3595"/>
      <c r="F112" s="3596"/>
      <c r="G112" s="1830" t="s">
        <v>1434</v>
      </c>
      <c r="H112" s="2598" t="str">
        <f>IF(E111="——","——",N61)</f>
        <v>——</v>
      </c>
      <c r="I112" s="129"/>
    </row>
    <row r="113" spans="1:27" ht="18.75" customHeight="1">
      <c r="A113" s="129"/>
      <c r="B113" s="129"/>
      <c r="C113" s="129"/>
      <c r="D113" s="129"/>
      <c r="E113" s="3603" t="s">
        <v>1440</v>
      </c>
      <c r="F113" s="3603"/>
      <c r="G113" s="3603"/>
      <c r="H113" s="3603"/>
      <c r="I113" s="129"/>
    </row>
    <row r="114" spans="1:27" ht="3.75" customHeight="1">
      <c r="A114" s="1747"/>
      <c r="B114" s="1747"/>
      <c r="C114" s="1747"/>
      <c r="D114" s="1747"/>
      <c r="E114" s="1809"/>
      <c r="F114" s="1809"/>
      <c r="G114" s="1809"/>
      <c r="H114" s="1809"/>
      <c r="I114" s="1747"/>
    </row>
    <row r="115" spans="1:27" ht="18.75" customHeight="1">
      <c r="A115" s="3611" t="s">
        <v>1442</v>
      </c>
      <c r="B115" s="3612"/>
      <c r="C115" s="3612"/>
      <c r="D115" s="3612"/>
      <c r="E115" s="3612"/>
      <c r="F115" s="3612"/>
      <c r="G115" s="3612"/>
      <c r="H115" s="3612"/>
      <c r="I115" s="3613"/>
    </row>
    <row r="116" spans="1:27" ht="27" customHeight="1">
      <c r="A116" s="3568" t="s">
        <v>1443</v>
      </c>
      <c r="B116" s="3572" t="s">
        <v>1444</v>
      </c>
      <c r="C116" s="3572" t="s">
        <v>1445</v>
      </c>
      <c r="D116" s="3578" t="s">
        <v>1446</v>
      </c>
      <c r="E116" s="3579"/>
      <c r="F116" s="3610" t="s">
        <v>1447</v>
      </c>
      <c r="G116" s="3610"/>
      <c r="H116" s="3568" t="s">
        <v>1448</v>
      </c>
      <c r="I116" s="3568"/>
    </row>
    <row r="117" spans="1:27" ht="18.75" customHeight="1">
      <c r="A117" s="3568"/>
      <c r="B117" s="3573"/>
      <c r="C117" s="3573"/>
      <c r="D117" s="2329" t="s">
        <v>1449</v>
      </c>
      <c r="E117" s="2329" t="s">
        <v>1450</v>
      </c>
      <c r="F117" s="2329" t="s">
        <v>1449</v>
      </c>
      <c r="G117" s="2329" t="s">
        <v>1451</v>
      </c>
      <c r="H117" s="2329" t="s">
        <v>1449</v>
      </c>
      <c r="I117" s="2329" t="s">
        <v>1451</v>
      </c>
    </row>
    <row r="118" spans="1:27" ht="24.75" customHeight="1">
      <c r="A118" s="2599" t="str">
        <f>项目基本情况!S2</f>
        <v>北京市房地产</v>
      </c>
      <c r="B118" s="2329">
        <f>M18</f>
        <v>72.16</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8" t="s">
        <v>1452</v>
      </c>
      <c r="B119" s="3568"/>
      <c r="C119" s="3568"/>
      <c r="D119" s="3574" t="e">
        <f ca="1">NUMBERSTRING(INT(D118*10000),2)&amp;"元整"</f>
        <v>#REF!</v>
      </c>
      <c r="E119" s="3575"/>
      <c r="F119" s="3574" t="e">
        <f ca="1">NUMBERSTRING(INT(F118*10000),2)&amp;"元整"</f>
        <v>#REF!</v>
      </c>
      <c r="G119" s="3575"/>
      <c r="H119" s="3574" t="e">
        <f ca="1">NUMBERSTRING(INT(H118*10000),2)&amp;"元整"</f>
        <v>#REF!</v>
      </c>
      <c r="I119" s="3575"/>
    </row>
    <row r="120" spans="1:27" ht="18.75" customHeight="1">
      <c r="A120" s="3569" t="str">
        <f>IF(项目基本情况!B9="房地产市场价值","",MID(E103,3,LEN(E103)-2))</f>
        <v/>
      </c>
      <c r="B120" s="3570"/>
      <c r="C120" s="3571"/>
      <c r="D120" s="3569">
        <f>H103</f>
        <v>0</v>
      </c>
      <c r="E120" s="3570"/>
      <c r="F120" s="3570"/>
      <c r="G120" s="3570"/>
      <c r="H120" s="3570"/>
      <c r="I120" s="3571"/>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74" t="s">
        <v>1452</v>
      </c>
      <c r="B121" s="3576"/>
      <c r="C121" s="3575"/>
      <c r="D121" s="3574" t="str">
        <f>IF(D120=0,"零元整",NUMBERSTRING(INT(D120*10000),2)&amp;"元整")</f>
        <v>零元整</v>
      </c>
      <c r="E121" s="3576"/>
      <c r="F121" s="3576"/>
      <c r="G121" s="3576"/>
      <c r="H121" s="3576"/>
      <c r="I121" s="3575"/>
      <c r="AA121" s="725"/>
    </row>
    <row r="122" spans="1:27" ht="18.75" customHeight="1">
      <c r="A122" s="3580" t="str">
        <f>IF(项目基本情况!B9="房地产市场价值","",MID(E107,3,LEN(E107)-2))</f>
        <v/>
      </c>
      <c r="B122" s="3580"/>
      <c r="C122" s="3580"/>
      <c r="D122" s="3569" t="e">
        <f ca="1">H107</f>
        <v>#REF!</v>
      </c>
      <c r="E122" s="3570"/>
      <c r="F122" s="3570"/>
      <c r="G122" s="3570"/>
      <c r="H122" s="3570"/>
      <c r="I122" s="3571"/>
      <c r="AA122" s="725"/>
    </row>
    <row r="123" spans="1:27" ht="18.75" customHeight="1">
      <c r="A123" s="3568" t="s">
        <v>1452</v>
      </c>
      <c r="B123" s="3568"/>
      <c r="C123" s="3568"/>
      <c r="D123" s="3574" t="e">
        <f ca="1">NUMBERSTRING(INT(D122*10000),2)&amp;"元整"</f>
        <v>#REF!</v>
      </c>
      <c r="E123" s="3576"/>
      <c r="F123" s="3576"/>
      <c r="G123" s="3576"/>
      <c r="H123" s="3576"/>
      <c r="I123" s="3575"/>
      <c r="AA123" s="725"/>
    </row>
    <row r="124" spans="1:27" ht="18.75" customHeight="1">
      <c r="A124" s="3580" t="str">
        <f>IF(项目基本情况!B9="房地产市场价值","",MID(E109,3,LEN(E109)-2))</f>
        <v/>
      </c>
      <c r="B124" s="3580"/>
      <c r="C124" s="3580"/>
      <c r="D124" s="3569" t="str">
        <f>H109</f>
        <v>——</v>
      </c>
      <c r="E124" s="3570"/>
      <c r="F124" s="3570"/>
      <c r="G124" s="3570"/>
      <c r="H124" s="3570"/>
      <c r="I124" s="3571"/>
      <c r="AA124" s="725"/>
    </row>
    <row r="125" spans="1:27" ht="18.75" customHeight="1">
      <c r="A125" s="3568" t="s">
        <v>1452</v>
      </c>
      <c r="B125" s="3568"/>
      <c r="C125" s="3568"/>
      <c r="D125" s="3574" t="e">
        <f>NUMBERSTRING(INT(D124*10000),2)&amp;"元整"</f>
        <v>#VALUE!</v>
      </c>
      <c r="E125" s="3576"/>
      <c r="F125" s="3576"/>
      <c r="G125" s="3576"/>
      <c r="H125" s="3576"/>
      <c r="I125" s="3575"/>
      <c r="AA125" s="725"/>
    </row>
    <row r="126" spans="1:27" ht="18.75" customHeight="1">
      <c r="A126" s="3580" t="str">
        <f>IF(项目基本情况!B9="房地产市场价值","",MID(E111,3,LEN(E111)-2))</f>
        <v/>
      </c>
      <c r="B126" s="3580"/>
      <c r="C126" s="3580"/>
      <c r="D126" s="3569" t="str">
        <f>H111</f>
        <v>——</v>
      </c>
      <c r="E126" s="3570"/>
      <c r="F126" s="3570"/>
      <c r="G126" s="3570"/>
      <c r="H126" s="3570"/>
      <c r="I126" s="3571"/>
      <c r="AA126" s="725"/>
    </row>
    <row r="127" spans="1:27" ht="18.75" customHeight="1">
      <c r="A127" s="3568" t="s">
        <v>1452</v>
      </c>
      <c r="B127" s="3568"/>
      <c r="C127" s="3568"/>
      <c r="D127" s="3574" t="e">
        <f>NUMBERSTRING(INT(D126*10000),2)&amp;"元整"</f>
        <v>#VALUE!</v>
      </c>
      <c r="E127" s="3576"/>
      <c r="F127" s="3576"/>
      <c r="G127" s="3576"/>
      <c r="H127" s="3576"/>
      <c r="I127" s="3575"/>
      <c r="AA127" s="725"/>
    </row>
    <row r="128" spans="1:27" ht="21.75" customHeight="1">
      <c r="A128" s="3577" t="s">
        <v>1453</v>
      </c>
      <c r="B128" s="3577"/>
      <c r="C128" s="3577"/>
      <c r="D128" s="3577"/>
      <c r="E128" s="3577"/>
      <c r="F128" s="3577"/>
      <c r="G128" s="3577"/>
      <c r="H128" s="3577"/>
      <c r="I128" s="357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5266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72.16</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72.16</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0</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25</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3</v>
      </c>
      <c r="D36" s="220"/>
      <c r="E36" s="220"/>
      <c r="F36" s="259">
        <f>'数据-取费表'!B34</f>
        <v>0.1</v>
      </c>
      <c r="G36" s="260" t="s">
        <v>1530</v>
      </c>
    </row>
    <row r="37" spans="1:7" s="258" customFormat="1" ht="13.5" customHeight="1">
      <c r="A37" s="780" t="s">
        <v>353</v>
      </c>
      <c r="B37" s="215" t="s">
        <v>1531</v>
      </c>
      <c r="C37" s="249">
        <f ca="1">ROUND(E37*D37*F34/10000,0)</f>
        <v>1</v>
      </c>
      <c r="D37" s="217">
        <f ca="1">D19</f>
        <v>72.16</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47" t="s">
        <v>1544</v>
      </c>
    </row>
    <row r="43" spans="1:7" ht="13.5" customHeight="1">
      <c r="A43" s="780" t="s">
        <v>347</v>
      </c>
      <c r="B43" s="215" t="s">
        <v>1545</v>
      </c>
      <c r="C43" s="238">
        <f ca="1">ROUND(IF('数据-取费表'!B22&lt;=1,C39*F22*'数据-取费表'!B21/2,C39*(POWER((1+F22),'数据-取费表'!B21/2)-1)),0)</f>
        <v>0</v>
      </c>
      <c r="D43" s="238"/>
      <c r="E43" s="238"/>
      <c r="F43" s="239"/>
      <c r="G43" s="3648"/>
    </row>
    <row r="44" spans="1:7" ht="13.5" customHeight="1">
      <c r="A44" s="780" t="s">
        <v>348</v>
      </c>
      <c r="B44" s="215" t="s">
        <v>1546</v>
      </c>
      <c r="C44" s="238">
        <f ca="1">ROUND(IF('数据-取费表'!B22&lt;=1,C40*F22*'数据-取费表'!B21/2,C40*(POWER((1+F22),'数据-取费表'!B21/2)-1)),4)</f>
        <v>1E-3</v>
      </c>
      <c r="D44" s="238"/>
      <c r="E44" s="238"/>
      <c r="F44" s="239"/>
      <c r="G44" s="3649"/>
    </row>
    <row r="45" spans="1:7" s="214" customFormat="1" ht="13.5" customHeight="1">
      <c r="A45" s="255" t="s">
        <v>1547</v>
      </c>
      <c r="B45" s="244" t="s">
        <v>1513</v>
      </c>
      <c r="C45" s="245">
        <f ca="1">C46</f>
        <v>8</v>
      </c>
      <c r="D45" s="235">
        <f ca="1">C47</f>
        <v>5.0000000000000001E-3</v>
      </c>
      <c r="E45" s="236" t="s">
        <v>1539</v>
      </c>
      <c r="F45" s="246">
        <f ca="1">F27</f>
        <v>0.25</v>
      </c>
      <c r="G45" s="247" t="s">
        <v>1548</v>
      </c>
    </row>
    <row r="46" spans="1:7" s="214" customFormat="1" ht="13.5" customHeight="1">
      <c r="A46" s="780" t="s">
        <v>346</v>
      </c>
      <c r="B46" s="248" t="s">
        <v>1549</v>
      </c>
      <c r="C46" s="249">
        <f ca="1">ROUND((C33+C39)*F27,0)</f>
        <v>8</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43</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37</v>
      </c>
      <c r="D51" s="232"/>
      <c r="E51" s="232"/>
      <c r="F51" s="264"/>
      <c r="G51" s="234" t="s">
        <v>1560</v>
      </c>
    </row>
    <row r="52" spans="1:7" s="208" customFormat="1" ht="16.5" thickBot="1">
      <c r="A52" s="265" t="s">
        <v>1561</v>
      </c>
      <c r="B52" s="266"/>
      <c r="C52" s="267">
        <f ca="1">C31+C51</f>
        <v>38</v>
      </c>
      <c r="D52" s="266"/>
      <c r="E52" s="266"/>
      <c r="F52" s="266"/>
      <c r="G52" s="268"/>
    </row>
    <row r="55" spans="1:7" ht="15">
      <c r="B55" s="270" t="s">
        <v>1562</v>
      </c>
      <c r="C55" s="271"/>
    </row>
    <row r="56" spans="1:7">
      <c r="B56" s="273" t="s">
        <v>802</v>
      </c>
      <c r="C56" s="275">
        <f ca="1">1-C57</f>
        <v>2.6000000000000023E-2</v>
      </c>
    </row>
    <row r="57" spans="1:7">
      <c r="B57" s="273" t="s">
        <v>803</v>
      </c>
      <c r="C57" s="274">
        <f ca="1">ROUND(C51/C52,3)</f>
        <v>0.97399999999999998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4" t="str">
        <f>项目基本情况!B1</f>
        <v>北京市房地产市场价值预评估</v>
      </c>
      <c r="C37" s="3464"/>
      <c r="D37" s="3464"/>
      <c r="E37" s="3464"/>
      <c r="F37" s="3464"/>
      <c r="G37" s="3464"/>
      <c r="H37" s="3464"/>
      <c r="I37" s="346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陈颖（注册号：1120060040)、宁小鳗（注册号：1120210056)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4"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3384</v>
      </c>
      <c r="C1" s="1859" t="s">
        <v>1563</v>
      </c>
      <c r="D1" s="198"/>
      <c r="E1" s="198"/>
      <c r="F1" s="198"/>
      <c r="G1" s="1126">
        <f>MATCH(B1,'数据-取费表'!A6:A16,0)+5</f>
        <v>6</v>
      </c>
      <c r="H1" s="1061" t="str">
        <f>IF(ISERROR(FIND("住宅",B1)),"非住宅","住宅")</f>
        <v>住宅</v>
      </c>
    </row>
    <row r="2" spans="1:8" s="200" customFormat="1" ht="18" customHeight="1">
      <c r="A2" s="201" t="s">
        <v>1462</v>
      </c>
      <c r="B2" s="3423">
        <f ca="1">ROUND(IF(D2="——",C52/10000,C52/10000-E2),4)</f>
        <v>229.58860000000001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31817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1276181.92</v>
      </c>
      <c r="D5" s="211" t="s">
        <v>1469</v>
      </c>
      <c r="E5" s="212" t="s">
        <v>1470</v>
      </c>
      <c r="F5" s="212" t="s">
        <v>1471</v>
      </c>
      <c r="G5" s="213"/>
    </row>
    <row r="6" spans="1:8" s="214" customFormat="1" ht="13.5" customHeight="1">
      <c r="A6" s="778" t="s">
        <v>1472</v>
      </c>
      <c r="B6" s="215" t="s">
        <v>1473</v>
      </c>
      <c r="C6" s="216">
        <f ca="1">基准地价修正!C33*D9</f>
        <v>1238409.92</v>
      </c>
      <c r="D6" s="217"/>
      <c r="E6" s="218"/>
      <c r="F6" s="218"/>
      <c r="G6" s="219"/>
    </row>
    <row r="7" spans="1:8" s="214" customFormat="1" ht="13.5" customHeight="1">
      <c r="A7" s="778" t="s">
        <v>1474</v>
      </c>
      <c r="B7" s="215" t="s">
        <v>1475</v>
      </c>
      <c r="C7" s="220">
        <f ca="1">ROUND(C6*F7,0)</f>
        <v>37772</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11546</v>
      </c>
      <c r="D9" s="845">
        <f ca="1">IF(B1="",'数据-汇总表'!E5,IF(INDIRECT("'数据-取费表'!c"&amp;$G$1)="住宅",INDIRECT("'数据-取费表'!k"&amp;$G$1),0))</f>
        <v>72.16</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14432</v>
      </c>
      <c r="D19" s="849">
        <f ca="1">D9+D10</f>
        <v>72.16</v>
      </c>
      <c r="E19" s="211">
        <f>'数据-取费表'!B31</f>
        <v>200</v>
      </c>
      <c r="F19" s="231"/>
      <c r="G19" s="1856" t="s">
        <v>436</v>
      </c>
    </row>
    <row r="20" spans="1:7" s="214" customFormat="1" ht="13.5" customHeight="1">
      <c r="A20" s="255" t="s">
        <v>1574</v>
      </c>
      <c r="B20" s="210" t="s">
        <v>1575</v>
      </c>
      <c r="C20" s="232">
        <f ca="1">ROUND((C5+C19)*F20,0)</f>
        <v>25812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126747</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124117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1404</v>
      </c>
      <c r="D24" s="238"/>
      <c r="E24" s="238"/>
      <c r="F24" s="239"/>
      <c r="G24" s="240" t="s">
        <v>1586</v>
      </c>
    </row>
    <row r="25" spans="1:7" s="214" customFormat="1" ht="24">
      <c r="A25" s="780" t="s">
        <v>1476</v>
      </c>
      <c r="B25" s="215" t="s">
        <v>1587</v>
      </c>
      <c r="C25" s="1128">
        <f ca="1">ROUND(IF('数据-取费表'!B22&lt;=1,C20*F22*'数据-取费表'!B22/2,C20*(POWER((1+F22),'数据-取费表'!B22/2)-1)),0)</f>
        <v>1226</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329106</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329106</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1924926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303613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252560</v>
      </c>
      <c r="D34" s="217"/>
      <c r="E34" s="220"/>
      <c r="F34" s="257"/>
      <c r="G34" s="219"/>
    </row>
    <row r="35" spans="1:7" ht="13.5" customHeight="1">
      <c r="A35" s="780" t="s">
        <v>351</v>
      </c>
      <c r="B35" s="215" t="s">
        <v>1527</v>
      </c>
      <c r="C35" s="220">
        <f ca="1">ROUND(C34*F35,0)</f>
        <v>7577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25256</v>
      </c>
      <c r="D36" s="220"/>
      <c r="E36" s="220"/>
      <c r="F36" s="259">
        <f>'数据-取费表'!B34</f>
        <v>0.1</v>
      </c>
      <c r="G36" s="260" t="s">
        <v>1530</v>
      </c>
    </row>
    <row r="37" spans="1:7" s="258" customFormat="1" ht="13.5" customHeight="1">
      <c r="A37" s="780" t="s">
        <v>353</v>
      </c>
      <c r="B37" s="215" t="s">
        <v>1531</v>
      </c>
      <c r="C37" s="249">
        <f ca="1">ROUND(E37*D37,0)</f>
        <v>14432</v>
      </c>
      <c r="D37" s="217">
        <f ca="1">D19</f>
        <v>72.16</v>
      </c>
      <c r="E37" s="249">
        <f>'数据-取费表'!B35</f>
        <v>200</v>
      </c>
      <c r="F37" s="259"/>
      <c r="G37" s="261"/>
    </row>
    <row r="38" spans="1:7" ht="13.5" customHeight="1">
      <c r="A38" s="780" t="s">
        <v>354</v>
      </c>
      <c r="B38" s="215" t="s">
        <v>1533</v>
      </c>
      <c r="C38" s="220">
        <f ca="1">ROUND(C34*F38,0)</f>
        <v>3788</v>
      </c>
      <c r="D38" s="220"/>
      <c r="E38" s="220"/>
      <c r="F38" s="259">
        <f>'数据-取费表'!B36</f>
        <v>1.4999999999999999E-2</v>
      </c>
      <c r="G38" s="219" t="s">
        <v>1528</v>
      </c>
    </row>
    <row r="39" spans="1:7" s="214" customFormat="1" ht="13.5" customHeight="1">
      <c r="A39" s="255" t="s">
        <v>1534</v>
      </c>
      <c r="B39" s="210" t="s">
        <v>1535</v>
      </c>
      <c r="C39" s="232">
        <f ca="1">ROUND(C33*F20,0)</f>
        <v>6072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14710</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14422</v>
      </c>
      <c r="D42" s="238"/>
      <c r="E42" s="238"/>
      <c r="F42" s="239"/>
      <c r="G42" s="3647" t="s">
        <v>1591</v>
      </c>
    </row>
    <row r="43" spans="1:7" ht="13.5" customHeight="1">
      <c r="A43" s="780" t="s">
        <v>347</v>
      </c>
      <c r="B43" s="215" t="s">
        <v>1545</v>
      </c>
      <c r="C43" s="238">
        <f ca="1">ROUND(IF('数据-取费表'!B22&lt;=1,C39*F22*'数据-取费表'!B20/2,C39*(POWER((1+F22),'数据-取费表'!B20/2)-1)),0)</f>
        <v>288</v>
      </c>
      <c r="D43" s="238"/>
      <c r="E43" s="238"/>
      <c r="F43" s="239"/>
      <c r="G43" s="3648"/>
    </row>
    <row r="44" spans="1:7" ht="13.5" customHeight="1">
      <c r="A44" s="780" t="s">
        <v>348</v>
      </c>
      <c r="B44" s="215" t="s">
        <v>1546</v>
      </c>
      <c r="C44" s="238">
        <f ca="1">ROUND(IF('数据-取费表'!B22&lt;=1,C40*F22*'数据-取费表'!B20/2,C40*(POWER((1+F22),'数据-取费表'!B20/2)-1)),4)</f>
        <v>1E-3</v>
      </c>
      <c r="D44" s="238"/>
      <c r="E44" s="238"/>
      <c r="F44" s="239"/>
      <c r="G44" s="3649"/>
    </row>
    <row r="45" spans="1:7" s="214" customFormat="1" ht="13.5" customHeight="1">
      <c r="A45" s="255" t="s">
        <v>1547</v>
      </c>
      <c r="B45" s="244" t="s">
        <v>1513</v>
      </c>
      <c r="C45" s="245">
        <f ca="1">C46</f>
        <v>77421</v>
      </c>
      <c r="D45" s="235">
        <f ca="1">C47</f>
        <v>5.0000000000000001E-3</v>
      </c>
      <c r="E45" s="236" t="s">
        <v>1539</v>
      </c>
      <c r="F45" s="246">
        <f ca="1">F27</f>
        <v>0.25</v>
      </c>
      <c r="G45" s="247" t="s">
        <v>1548</v>
      </c>
    </row>
    <row r="46" spans="1:7" s="214" customFormat="1" ht="13.5" customHeight="1">
      <c r="A46" s="780" t="s">
        <v>346</v>
      </c>
      <c r="B46" s="248" t="s">
        <v>1549</v>
      </c>
      <c r="C46" s="249">
        <f ca="1">ROUND((C33+C39)*F27,0)</f>
        <v>77421</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436424</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370960</v>
      </c>
      <c r="D51" s="232"/>
      <c r="E51" s="232"/>
      <c r="F51" s="264"/>
      <c r="G51" s="234" t="s">
        <v>1560</v>
      </c>
    </row>
    <row r="52" spans="1:7" s="208" customFormat="1" ht="16.5" thickBot="1">
      <c r="A52" s="265" t="s">
        <v>1561</v>
      </c>
      <c r="B52" s="266"/>
      <c r="C52" s="267">
        <f ca="1">C31+C51</f>
        <v>2295886</v>
      </c>
      <c r="D52" s="266"/>
      <c r="E52" s="266"/>
      <c r="F52" s="266"/>
      <c r="G52" s="268"/>
    </row>
    <row r="55" spans="1:7" ht="15">
      <c r="B55" s="270" t="s">
        <v>1562</v>
      </c>
      <c r="C55" s="271"/>
    </row>
    <row r="56" spans="1:7">
      <c r="B56" s="273" t="s">
        <v>802</v>
      </c>
      <c r="C56" s="275">
        <f ca="1">1-C57</f>
        <v>0.83799999999999997</v>
      </c>
    </row>
    <row r="57" spans="1:7">
      <c r="B57" s="273" t="s">
        <v>803</v>
      </c>
      <c r="C57" s="274">
        <f ca="1">ROUND(C51/C52,3)</f>
        <v>0.16200000000000001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72.16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72.16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72.16</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2" t="s">
        <v>694</v>
      </c>
      <c r="C6" s="1074">
        <f ca="1">ROUND(F6*F8*F7*(1-F9)/10000,0)</f>
        <v>0</v>
      </c>
      <c r="D6" s="155" t="s">
        <v>2108</v>
      </c>
      <c r="E6" s="302" t="s">
        <v>696</v>
      </c>
      <c r="F6" s="303">
        <f ca="1">INDIRECT("'数据-取费表'!u"&amp;$G$1)</f>
        <v>0</v>
      </c>
      <c r="G6" s="1384"/>
      <c r="H6" s="1069" t="s">
        <v>398</v>
      </c>
      <c r="I6" s="3652" t="s">
        <v>694</v>
      </c>
      <c r="J6" s="301">
        <f ca="1">ROUND(M6*M8*M7*(1-M9)/10000,0)</f>
        <v>0</v>
      </c>
      <c r="K6" s="155" t="s">
        <v>2107</v>
      </c>
      <c r="L6" s="302" t="s">
        <v>696</v>
      </c>
      <c r="M6" s="303">
        <f ca="1">INDIRECT("'数据-取费表'!z"&amp;$G$1)</f>
        <v>0</v>
      </c>
    </row>
    <row r="7" spans="1:37" ht="18" customHeight="1">
      <c r="A7" s="1073"/>
      <c r="B7" s="3653"/>
      <c r="C7" s="1075"/>
      <c r="D7" s="307"/>
      <c r="E7" s="1076" t="s">
        <v>697</v>
      </c>
      <c r="F7" s="303">
        <f ca="1">IF(INDIRECT("'数据-取费表'!ah"&amp;$G$1)="",INDIRECT("'数据-取费表'!k"&amp;$G$1),INDIRECT("'数据-取费表'!ah"&amp;$G$1))</f>
        <v>0</v>
      </c>
      <c r="G7" s="1384"/>
      <c r="H7" s="304"/>
      <c r="I7" s="3653"/>
      <c r="J7" s="306"/>
      <c r="K7" s="307"/>
      <c r="L7" s="302" t="s">
        <v>697</v>
      </c>
      <c r="M7" s="303">
        <f ca="1">F7</f>
        <v>0</v>
      </c>
    </row>
    <row r="8" spans="1:37" ht="18" customHeight="1">
      <c r="A8" s="304"/>
      <c r="B8" s="3653"/>
      <c r="C8" s="306"/>
      <c r="D8" s="307"/>
      <c r="E8" s="302" t="s">
        <v>698</v>
      </c>
      <c r="F8" s="303">
        <f ca="1">INDIRECT("'数据-取费表'!ai"&amp;$G$1)</f>
        <v>0</v>
      </c>
      <c r="G8" s="1384"/>
      <c r="H8" s="304"/>
      <c r="I8" s="3653"/>
      <c r="J8" s="306"/>
      <c r="K8" s="307"/>
      <c r="L8" s="302" t="s">
        <v>698</v>
      </c>
      <c r="M8" s="303">
        <f ca="1">INDIRECT("'数据-取费表'!ai"&amp;$G$1)</f>
        <v>0</v>
      </c>
    </row>
    <row r="9" spans="1:37" ht="18" customHeight="1">
      <c r="A9" s="304"/>
      <c r="B9" s="3654"/>
      <c r="C9" s="306"/>
      <c r="D9" s="307"/>
      <c r="E9" s="302" t="s">
        <v>699</v>
      </c>
      <c r="F9" s="312">
        <f ca="1">INDIRECT("'数据-取费表'!w"&amp;$G$1)</f>
        <v>0</v>
      </c>
      <c r="G9" s="1384"/>
      <c r="H9" s="304"/>
      <c r="I9" s="365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2307</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3335</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50" t="s">
        <v>837</v>
      </c>
      <c r="L53" s="3651"/>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6" zoomScale="80" zoomScaleNormal="70" zoomScaleSheetLayoutView="80" workbookViewId="0">
      <selection activeCell="C23" sqref="C23:C2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3384</v>
      </c>
      <c r="D1" s="1362" t="s">
        <v>43</v>
      </c>
      <c r="E1" s="1363" t="s">
        <v>678</v>
      </c>
      <c r="F1" s="1062">
        <f ca="1">J53</f>
        <v>66</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225.3511</v>
      </c>
      <c r="C2" s="1387" t="s">
        <v>879</v>
      </c>
      <c r="D2" s="1471">
        <f ca="1">C40+J29+L46</f>
        <v>2253511</v>
      </c>
      <c r="E2" s="1388" t="s">
        <v>880</v>
      </c>
      <c r="F2" s="1389"/>
      <c r="G2" s="2705"/>
      <c r="H2" s="2694"/>
      <c r="I2" s="2694"/>
      <c r="J2" s="2694"/>
      <c r="K2" s="2695"/>
      <c r="L2" s="2694"/>
      <c r="M2" s="2694"/>
    </row>
    <row r="3" spans="1:37" ht="18" customHeight="1" thickBot="1">
      <c r="A3" s="1390" t="s">
        <v>881</v>
      </c>
      <c r="B3" s="1391">
        <f ca="1">IF(ISERROR(D2/F43),0,ROUND(D2/F43,0))</f>
        <v>31229</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52280</v>
      </c>
      <c r="D5" s="1364" t="s">
        <v>889</v>
      </c>
      <c r="E5" s="1071"/>
      <c r="F5" s="1072"/>
      <c r="G5" s="1384"/>
      <c r="H5" s="299">
        <v>1</v>
      </c>
      <c r="I5" s="300" t="s">
        <v>888</v>
      </c>
      <c r="J5" s="1070">
        <f ca="1">J6+J10+J12</f>
        <v>0</v>
      </c>
      <c r="K5" s="1364" t="s">
        <v>889</v>
      </c>
      <c r="L5" s="1071"/>
      <c r="M5" s="1072"/>
    </row>
    <row r="6" spans="1:37" ht="18" customHeight="1">
      <c r="A6" s="1069" t="s">
        <v>398</v>
      </c>
      <c r="B6" s="3652" t="s">
        <v>694</v>
      </c>
      <c r="C6" s="1074">
        <f ca="1">ROUND(F6*F8*F7*(1-F9),0)</f>
        <v>52215</v>
      </c>
      <c r="D6" s="155" t="s">
        <v>2105</v>
      </c>
      <c r="E6" s="302" t="s">
        <v>696</v>
      </c>
      <c r="F6" s="303">
        <f ca="1">INDIRECT("'数据-取费表'!u"&amp;$G$1)</f>
        <v>67</v>
      </c>
      <c r="G6" s="1384"/>
      <c r="H6" s="1069" t="s">
        <v>398</v>
      </c>
      <c r="I6" s="3652" t="s">
        <v>694</v>
      </c>
      <c r="J6" s="301">
        <f ca="1">ROUND(M6*M8*M7*(1-M9),0)</f>
        <v>0</v>
      </c>
      <c r="K6" s="1376" t="s">
        <v>2106</v>
      </c>
      <c r="L6" s="302" t="s">
        <v>696</v>
      </c>
      <c r="M6" s="303">
        <f ca="1">INDIRECT("'数据-取费表'!z"&amp;$G$1)</f>
        <v>0</v>
      </c>
    </row>
    <row r="7" spans="1:37" ht="18" customHeight="1">
      <c r="A7" s="1073"/>
      <c r="B7" s="3653"/>
      <c r="C7" s="1075"/>
      <c r="D7" s="307"/>
      <c r="E7" s="1076" t="s">
        <v>697</v>
      </c>
      <c r="F7" s="303">
        <f ca="1">IF(INDIRECT("'数据-取费表'!ah"&amp;$G$1)="",INDIRECT("'数据-取费表'!k"&amp;$G$1),INDIRECT("'数据-取费表'!ah"&amp;$G$1))</f>
        <v>72.16</v>
      </c>
      <c r="G7" s="1384"/>
      <c r="H7" s="304"/>
      <c r="I7" s="3653"/>
      <c r="J7" s="306"/>
      <c r="K7" s="307"/>
      <c r="L7" s="302" t="s">
        <v>697</v>
      </c>
      <c r="M7" s="303">
        <f ca="1">F7</f>
        <v>72.16</v>
      </c>
    </row>
    <row r="8" spans="1:37" ht="18" customHeight="1">
      <c r="A8" s="304"/>
      <c r="B8" s="3653"/>
      <c r="C8" s="306"/>
      <c r="D8" s="307"/>
      <c r="E8" s="302" t="s">
        <v>698</v>
      </c>
      <c r="F8" s="303">
        <f ca="1">INDIRECT("'数据-取费表'!ai"&amp;$G$1)</f>
        <v>12</v>
      </c>
      <c r="G8" s="1384"/>
      <c r="H8" s="304"/>
      <c r="I8" s="3653"/>
      <c r="J8" s="306"/>
      <c r="K8" s="307"/>
      <c r="L8" s="302" t="s">
        <v>698</v>
      </c>
      <c r="M8" s="303">
        <f ca="1">INDIRECT("'数据-取费表'!ai"&amp;$G$1)</f>
        <v>12</v>
      </c>
    </row>
    <row r="9" spans="1:37" ht="18" customHeight="1">
      <c r="A9" s="304"/>
      <c r="B9" s="3654"/>
      <c r="C9" s="306"/>
      <c r="D9" s="307"/>
      <c r="E9" s="302" t="s">
        <v>699</v>
      </c>
      <c r="F9" s="312">
        <f ca="1">INDIRECT("'数据-取费表'!w"&amp;$G$1)</f>
        <v>0.1</v>
      </c>
      <c r="G9" s="1384"/>
      <c r="H9" s="304"/>
      <c r="I9" s="3654"/>
      <c r="J9" s="306"/>
      <c r="K9" s="307"/>
      <c r="L9" s="313" t="s">
        <v>699</v>
      </c>
      <c r="M9" s="314">
        <f ca="1">INDIRECT("'数据-取费表'!ab"&amp;$G$1)</f>
        <v>0</v>
      </c>
    </row>
    <row r="10" spans="1:37" ht="18" customHeight="1">
      <c r="A10" s="1069" t="s">
        <v>402</v>
      </c>
      <c r="B10" s="1365" t="s">
        <v>700</v>
      </c>
      <c r="C10" s="316">
        <f ca="1">ROUND(IF(F10="押一",C6/12*F11,IF(F10="押二",C6/12*2*F11,IF(F10="押三",C6/12*3*F11,C11*F11))),0)</f>
        <v>65</v>
      </c>
      <c r="D10" s="1366" t="s">
        <v>2115</v>
      </c>
      <c r="E10" s="313" t="s">
        <v>701</v>
      </c>
      <c r="F10" s="1116" t="s">
        <v>3413</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370960</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252560</v>
      </c>
      <c r="D14" s="1345" t="s">
        <v>708</v>
      </c>
      <c r="E14" s="1342"/>
      <c r="F14" s="319"/>
      <c r="G14" s="1384"/>
      <c r="H14" s="982" t="s">
        <v>398</v>
      </c>
      <c r="I14" s="302" t="s">
        <v>709</v>
      </c>
      <c r="J14" s="21">
        <f ca="1">C29</f>
        <v>436424</v>
      </c>
      <c r="K14" s="12"/>
      <c r="L14" s="807"/>
      <c r="M14" s="808"/>
    </row>
    <row r="15" spans="1:37" s="1397" customFormat="1" ht="18" customHeight="1" thickBot="1">
      <c r="A15" s="982" t="s">
        <v>399</v>
      </c>
      <c r="B15" s="302" t="s">
        <v>710</v>
      </c>
      <c r="C15" s="21">
        <f ca="1">ROUND(C14*F15,0)</f>
        <v>7577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25256</v>
      </c>
      <c r="D16" s="302" t="s">
        <v>711</v>
      </c>
      <c r="E16" s="302" t="s">
        <v>712</v>
      </c>
      <c r="F16" s="322">
        <f ca="1">IF(INDIRECT("'数据-取费表'!c"&amp;$G$1)="住宅",'数据-取费表'!B34,0)</f>
        <v>0.1</v>
      </c>
      <c r="G16" s="1384"/>
      <c r="H16" s="1079" t="s">
        <v>393</v>
      </c>
      <c r="I16" s="1080" t="s">
        <v>714</v>
      </c>
      <c r="J16" s="310">
        <f ca="1">ROUND(J17+J22+J23+J24,0)</f>
        <v>2182</v>
      </c>
      <c r="K16" s="1087" t="s">
        <v>715</v>
      </c>
      <c r="L16" s="1088"/>
      <c r="M16" s="1072"/>
    </row>
    <row r="17" spans="1:37" s="1397" customFormat="1" ht="18" customHeight="1">
      <c r="A17" s="982" t="s">
        <v>681</v>
      </c>
      <c r="B17" s="302" t="s">
        <v>716</v>
      </c>
      <c r="C17" s="21">
        <f ca="1">ROUND(F17*(F43+INDIRECT("'数据-取费表'!S"&amp;$G$1)),0)</f>
        <v>14432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3788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303613</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6072</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2182</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14710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-2182</v>
      </c>
      <c r="K25" s="1095" t="s">
        <v>753</v>
      </c>
      <c r="L25" s="1096"/>
      <c r="M25" s="1097"/>
    </row>
    <row r="26" spans="1:37" ht="18" customHeight="1">
      <c r="A26" s="982" t="s">
        <v>397</v>
      </c>
      <c r="B26" s="302" t="s">
        <v>754</v>
      </c>
      <c r="C26" s="21">
        <f ca="1">ROUND((C19+C20)*F26,0)</f>
        <v>77421</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5.0000000000000001E-3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436424</v>
      </c>
      <c r="D29" s="1092"/>
      <c r="E29" s="1090"/>
      <c r="F29" s="1093"/>
      <c r="G29" s="1396"/>
      <c r="H29" s="334" t="s">
        <v>396</v>
      </c>
      <c r="I29" s="335" t="s">
        <v>768</v>
      </c>
      <c r="J29" s="336">
        <f ca="1">ROUND(J26/(1+F40)^F41,0)</f>
        <v>0</v>
      </c>
      <c r="K29" s="337" t="s">
        <v>769</v>
      </c>
      <c r="L29" s="338"/>
      <c r="M29" s="339">
        <f ca="1">INDIRECT("'数据-取费表'!k"&amp;$G$1)</f>
        <v>72.16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4319</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1243</v>
      </c>
      <c r="D31" s="1345" t="s">
        <v>720</v>
      </c>
      <c r="E31" s="1344" t="s">
        <v>770</v>
      </c>
      <c r="F31" s="2315">
        <f ca="1">IF(项目基本情况!B11="企业","——",IF(M47="住宅",IF(F6*F7*F8/12/(1+'数据-取费表'!F30)&gt;100000,4%,2.5%),IF(F6*F7*F8/12/(1+'数据-取费表'!F30)&gt;100000,12%,7%)))</f>
        <v>2.5000000000000001E-2</v>
      </c>
      <c r="G31" s="1384"/>
      <c r="H31" s="2807" t="s">
        <v>2307</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3426</v>
      </c>
      <c r="E33" s="302" t="s">
        <v>712</v>
      </c>
      <c r="F33" s="322">
        <f>IF(D33="按票据","——",IF(D33="按租金收入计税",'数据-取费表'!B51,'数据-取费表'!B50))</f>
        <v>1.2E-2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2182</v>
      </c>
      <c r="D36" s="1344" t="s">
        <v>771</v>
      </c>
      <c r="E36" s="302" t="s">
        <v>712</v>
      </c>
      <c r="F36" s="328">
        <f ca="1">INDIRECT("'数据-取费表'!Ak"&amp;$G$1)</f>
        <v>5.0000000000000001E-3</v>
      </c>
      <c r="G36" s="1384"/>
      <c r="H36" s="2699"/>
      <c r="I36" s="1398"/>
      <c r="J36" s="1399"/>
      <c r="K36" s="2543"/>
      <c r="L36" s="2699"/>
      <c r="M36" s="2699"/>
    </row>
    <row r="37" spans="1:18" ht="18" customHeight="1">
      <c r="A37" s="982" t="s">
        <v>437</v>
      </c>
      <c r="B37" s="302" t="s">
        <v>742</v>
      </c>
      <c r="C37" s="21">
        <f ca="1">ROUND(C13*F37,0)</f>
        <v>371</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ROUND(C5*F38,0)</f>
        <v>523</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47961</v>
      </c>
      <c r="D39" s="1095" t="s">
        <v>773</v>
      </c>
      <c r="E39" s="1096"/>
      <c r="F39" s="1097"/>
      <c r="G39" s="1384"/>
      <c r="H39" s="2699"/>
      <c r="I39" s="1398"/>
      <c r="J39" s="1399"/>
      <c r="K39" s="2703"/>
      <c r="L39" s="2699"/>
      <c r="M39" s="2699"/>
    </row>
    <row r="40" spans="1:18" ht="18" customHeight="1">
      <c r="A40" s="299" t="s">
        <v>395</v>
      </c>
      <c r="B40" s="300" t="s">
        <v>774</v>
      </c>
      <c r="C40" s="301">
        <f ca="1">ROUND(C39*(1-((1+F42)/(1+F40))^F41)/(F40-F42),0)</f>
        <v>2253511</v>
      </c>
      <c r="D40" s="324" t="s">
        <v>758</v>
      </c>
      <c r="E40" s="302" t="s">
        <v>759</v>
      </c>
      <c r="F40" s="312">
        <f ca="1">INDIRECT("'数据-取费表'!I"&amp;$G$1)</f>
        <v>4.4999999999999998E-2</v>
      </c>
      <c r="G40" s="1384"/>
      <c r="H40" s="1461"/>
      <c r="I40" s="1398"/>
      <c r="J40" s="1399"/>
      <c r="K40" s="2703"/>
      <c r="L40" s="1461"/>
      <c r="M40" s="1461"/>
    </row>
    <row r="41" spans="1:18" ht="18" customHeight="1">
      <c r="A41" s="304"/>
      <c r="B41" s="305"/>
      <c r="C41" s="306"/>
      <c r="D41" s="332" t="s">
        <v>775</v>
      </c>
      <c r="E41" s="302" t="s">
        <v>763</v>
      </c>
      <c r="F41" s="3463">
        <f ca="1">IF(INDIRECT("'数据-取费表'!af"&amp;$G$1)=0,INDIRECT("'数据-取费表'!ae"&amp;$G$1),INDIRECT("'数据-取费表'!af"&amp;$G$1))</f>
        <v>66</v>
      </c>
      <c r="G41" s="1384"/>
      <c r="H41" s="1191"/>
      <c r="I41" s="1398"/>
      <c r="J41" s="1399"/>
      <c r="K41" s="2543"/>
      <c r="L41" s="1191"/>
      <c r="M41" s="1191"/>
    </row>
    <row r="42" spans="1:18" ht="18" customHeight="1">
      <c r="A42" s="308"/>
      <c r="B42" s="309"/>
      <c r="C42" s="310"/>
      <c r="D42" s="327"/>
      <c r="E42" s="302" t="s">
        <v>766</v>
      </c>
      <c r="F42" s="312">
        <f ca="1">INDIRECT("'数据-取费表'!v"&amp;$G$1)</f>
        <v>3.5000000000000003E-2</v>
      </c>
      <c r="G42" s="1384"/>
      <c r="H42" s="1191"/>
      <c r="I42" s="1398"/>
      <c r="J42" s="1399"/>
      <c r="K42" s="2543"/>
      <c r="L42" s="1191"/>
      <c r="M42" s="1191"/>
    </row>
    <row r="43" spans="1:18" ht="18" customHeight="1" thickBot="1">
      <c r="A43" s="334" t="s">
        <v>396</v>
      </c>
      <c r="B43" s="335" t="s">
        <v>776</v>
      </c>
      <c r="C43" s="336">
        <f ca="1">ROUND(C40/F43,0)</f>
        <v>31229</v>
      </c>
      <c r="D43" s="337" t="s">
        <v>777</v>
      </c>
      <c r="E43" s="338" t="s">
        <v>778</v>
      </c>
      <c r="F43" s="339">
        <f ca="1">INDIRECT("'数据-取费表'!k"&amp;$G$1)</f>
        <v>72.16</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3351</v>
      </c>
      <c r="B45" s="1400"/>
      <c r="C45" s="1472">
        <f ca="1">ROUND((C68-C40)/10000,4)</f>
        <v>-230.7139</v>
      </c>
      <c r="D45" s="3431" t="s">
        <v>3352</v>
      </c>
      <c r="E45" s="1400"/>
      <c r="F45" s="1400"/>
      <c r="O45" s="1403" t="s">
        <v>808</v>
      </c>
      <c r="P45" s="1461"/>
      <c r="Q45" s="1461"/>
      <c r="R45" s="1461"/>
    </row>
    <row r="46" spans="1:18" s="1384" customFormat="1" ht="13.5" thickBot="1">
      <c r="A46" s="1404" t="s">
        <v>809</v>
      </c>
      <c r="C46" s="1405">
        <f ca="1">ROUND(C45,0)</f>
        <v>-231</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70</v>
      </c>
      <c r="M47" s="1380" t="str">
        <f>IF(ISNUMBER(FIND("住宅",C1)),"住宅","非住宅")</f>
        <v>住宅</v>
      </c>
      <c r="O47" s="1418" t="s">
        <v>403</v>
      </c>
      <c r="P47" s="1419" t="s">
        <v>817</v>
      </c>
      <c r="Q47" s="1420">
        <f ca="1">C40+J29</f>
        <v>2253511</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66</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436424</v>
      </c>
      <c r="R49" s="1420" t="s">
        <v>818</v>
      </c>
    </row>
    <row r="50" spans="1:18" s="1384" customFormat="1" ht="13.5" thickBot="1">
      <c r="A50" s="976"/>
      <c r="B50" s="979"/>
      <c r="C50" s="980"/>
      <c r="D50" s="953"/>
      <c r="E50" s="1056" t="s">
        <v>697</v>
      </c>
      <c r="F50" s="1057">
        <f ca="1">F7</f>
        <v>72.16</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66</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66</v>
      </c>
      <c r="K53" s="3650" t="s">
        <v>837</v>
      </c>
      <c r="L53" s="3651"/>
      <c r="O53" s="1418" t="s">
        <v>409</v>
      </c>
      <c r="P53" s="1419" t="s">
        <v>838</v>
      </c>
      <c r="Q53" s="1420">
        <f ca="1">Q47+Q48</f>
        <v>2253511</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370960</v>
      </c>
      <c r="D56" s="1447"/>
      <c r="E56" s="1448"/>
      <c r="F56" s="1440"/>
      <c r="I56" s="1449" t="s">
        <v>842</v>
      </c>
      <c r="J56" s="1450"/>
      <c r="K56" s="1421" t="s">
        <v>843</v>
      </c>
      <c r="L56" s="1424">
        <f ca="1">IF(L48&lt;J51,"——",L48-J51)</f>
        <v>66</v>
      </c>
      <c r="O56" s="1418" t="s">
        <v>403</v>
      </c>
      <c r="P56" s="1419" t="s">
        <v>817</v>
      </c>
      <c r="Q56" s="1420">
        <f ca="1">C40+J29</f>
        <v>2253511</v>
      </c>
      <c r="R56" s="1420" t="s">
        <v>818</v>
      </c>
    </row>
    <row r="57" spans="1:18" s="1384" customFormat="1" ht="24.75" thickBot="1">
      <c r="A57" s="1451"/>
      <c r="B57" s="950" t="s">
        <v>767</v>
      </c>
      <c r="C57" s="238">
        <f ca="1">C29</f>
        <v>436424</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75" thickBot="1">
      <c r="A58" s="315" t="s">
        <v>393</v>
      </c>
      <c r="B58" s="958" t="s">
        <v>714</v>
      </c>
      <c r="C58" s="316">
        <f ca="1">ROUND(C59+C64+C65+C66,0)</f>
        <v>2553</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3335</v>
      </c>
      <c r="E61" s="950" t="s">
        <v>783</v>
      </c>
      <c r="F61" s="322">
        <f t="shared" si="0"/>
        <v>1.2E-2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2253511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2182</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371</v>
      </c>
      <c r="D65" s="964" t="s">
        <v>743</v>
      </c>
      <c r="E65" s="950" t="s">
        <v>744</v>
      </c>
      <c r="F65" s="330">
        <f t="shared" ca="1" si="0"/>
        <v>1E-3</v>
      </c>
      <c r="I65" s="1462" t="s">
        <v>867</v>
      </c>
      <c r="J65" s="1463">
        <v>40</v>
      </c>
      <c r="K65" s="1463">
        <v>30</v>
      </c>
      <c r="L65" s="1463">
        <v>50</v>
      </c>
      <c r="M65" s="1465">
        <v>0.02</v>
      </c>
      <c r="O65" s="1418" t="s">
        <v>403</v>
      </c>
      <c r="P65" s="1419" t="s">
        <v>868</v>
      </c>
      <c r="Q65" s="1420">
        <f ca="1">C40+J29</f>
        <v>2253511</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-2553</v>
      </c>
      <c r="D67" s="963" t="s">
        <v>753</v>
      </c>
      <c r="E67" s="968"/>
      <c r="F67" s="969"/>
      <c r="O67" s="1428" t="s">
        <v>405</v>
      </c>
      <c r="P67" s="1419" t="s">
        <v>850</v>
      </c>
      <c r="Q67" s="1466">
        <f ca="1">L51</f>
        <v>0</v>
      </c>
      <c r="R67" s="1420" t="s">
        <v>870</v>
      </c>
    </row>
    <row r="68" spans="1:18" s="1384" customFormat="1" ht="16.5" thickBot="1">
      <c r="A68" s="947" t="s">
        <v>395</v>
      </c>
      <c r="B68" s="948" t="s">
        <v>774</v>
      </c>
      <c r="C68" s="301">
        <f ca="1">ROUND(C67*(1-((1+F70)/(1+F68))^F69)/(F68-F70),0)</f>
        <v>-53628</v>
      </c>
      <c r="D68" s="965" t="s">
        <v>758</v>
      </c>
      <c r="E68" s="950" t="s">
        <v>759</v>
      </c>
      <c r="F68" s="312">
        <f ca="1">F40</f>
        <v>4.4999999999999998E-2</v>
      </c>
      <c r="O68" s="1428" t="s">
        <v>406</v>
      </c>
      <c r="P68" s="1467" t="s">
        <v>871</v>
      </c>
      <c r="Q68" s="1420">
        <f ca="1">ROUND(Q69-Q70*Q71,0)</f>
        <v>47961</v>
      </c>
      <c r="R68" s="1420" t="s">
        <v>414</v>
      </c>
    </row>
    <row r="69" spans="1:18" s="1384" customFormat="1" ht="13.5" thickBot="1">
      <c r="A69" s="951"/>
      <c r="B69" s="952"/>
      <c r="C69" s="306"/>
      <c r="D69" s="970" t="s">
        <v>762</v>
      </c>
      <c r="E69" s="950" t="s">
        <v>763</v>
      </c>
      <c r="F69" s="333">
        <f ca="1">F41</f>
        <v>66</v>
      </c>
      <c r="O69" s="1428" t="s">
        <v>411</v>
      </c>
      <c r="P69" s="1467" t="s">
        <v>872</v>
      </c>
      <c r="Q69" s="1420">
        <f ca="1">C39</f>
        <v>47961</v>
      </c>
      <c r="R69" s="1420" t="s">
        <v>818</v>
      </c>
    </row>
    <row r="70" spans="1:18" s="1384" customFormat="1" ht="13.5" thickBot="1">
      <c r="A70" s="954"/>
      <c r="B70" s="955"/>
      <c r="C70" s="310"/>
      <c r="D70" s="966"/>
      <c r="E70" s="950" t="s">
        <v>766</v>
      </c>
      <c r="F70" s="1054"/>
      <c r="O70" s="1428" t="s">
        <v>412</v>
      </c>
      <c r="P70" s="1467" t="s">
        <v>873</v>
      </c>
      <c r="Q70" s="1420">
        <f ca="1">C13</f>
        <v>370960</v>
      </c>
      <c r="R70" s="1420" t="s">
        <v>818</v>
      </c>
    </row>
    <row r="71" spans="1:18" s="1384" customFormat="1" ht="13.5" thickBot="1">
      <c r="A71" s="971" t="s">
        <v>396</v>
      </c>
      <c r="B71" s="972" t="s">
        <v>776</v>
      </c>
      <c r="C71" s="336">
        <f ca="1">ROUND(C68/F71,0)</f>
        <v>-743</v>
      </c>
      <c r="D71" s="973" t="s">
        <v>777</v>
      </c>
      <c r="E71" s="974" t="s">
        <v>778</v>
      </c>
      <c r="F71" s="339">
        <f ca="1">F43</f>
        <v>72.16</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f ca="1">Q65+Q66</f>
        <v>2253511</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0.83499999999999996</v>
      </c>
    </row>
    <row r="83" spans="2:3">
      <c r="B83" s="273" t="s">
        <v>803</v>
      </c>
      <c r="C83" s="274">
        <f ca="1">ROUND(C13/C40,3)</f>
        <v>0.16500000000000001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5" t="s">
        <v>2315</v>
      </c>
      <c r="B2" s="2842" t="e">
        <f>IF(D2="——",C40,C40+E2)</f>
        <v>#DIV/0!</v>
      </c>
      <c r="C2" s="2843" t="s">
        <v>2316</v>
      </c>
      <c r="D2" s="3442" t="s">
        <v>3358</v>
      </c>
      <c r="E2" s="3443"/>
      <c r="F2" s="2845"/>
      <c r="G2" s="2846"/>
      <c r="H2" s="2847"/>
      <c r="I2" s="2848"/>
      <c r="J2" s="3655" t="s">
        <v>2317</v>
      </c>
      <c r="K2" s="3656"/>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657" t="s">
        <v>2327</v>
      </c>
      <c r="K3" s="3658"/>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657" t="s">
        <v>2329</v>
      </c>
      <c r="K4" s="3658"/>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659" t="s">
        <v>2333</v>
      </c>
      <c r="B6" s="3660"/>
      <c r="C6" s="3661"/>
      <c r="D6" s="2869"/>
      <c r="E6" s="2870"/>
      <c r="F6" s="2871"/>
      <c r="G6" s="2872"/>
      <c r="H6" s="2847"/>
      <c r="I6" s="2848"/>
      <c r="J6" s="3662">
        <v>1</v>
      </c>
      <c r="K6" s="3663"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662"/>
      <c r="K7" s="3664"/>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666" t="s">
        <v>2347</v>
      </c>
      <c r="C8" s="3667"/>
      <c r="D8" s="2888" t="s">
        <v>2348</v>
      </c>
      <c r="E8" s="2889" t="s">
        <v>2349</v>
      </c>
      <c r="F8" s="2890" t="s">
        <v>2350</v>
      </c>
      <c r="G8" s="2891"/>
      <c r="H8" s="2847"/>
      <c r="I8" s="2848"/>
      <c r="J8" s="3662"/>
      <c r="K8" s="3664"/>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666" t="s">
        <v>2353</v>
      </c>
      <c r="C9" s="3667"/>
      <c r="D9" s="2888">
        <f>ROUND(D6*E9,0)</f>
        <v>0</v>
      </c>
      <c r="E9" s="2892"/>
      <c r="F9" s="2893" t="s">
        <v>2354</v>
      </c>
      <c r="G9" s="2872"/>
      <c r="H9" s="2847"/>
      <c r="I9" s="2848"/>
      <c r="J9" s="3662"/>
      <c r="K9" s="3664"/>
      <c r="L9" s="2882" t="s">
        <v>2355</v>
      </c>
      <c r="M9" s="2883"/>
      <c r="N9" s="2859"/>
      <c r="O9" s="2884"/>
      <c r="P9" s="2884"/>
      <c r="Q9" s="2885">
        <v>365</v>
      </c>
      <c r="R9" s="2886">
        <f t="shared" si="0"/>
        <v>0</v>
      </c>
      <c r="S9" s="2840"/>
      <c r="T9" s="2840"/>
      <c r="U9" s="2840"/>
      <c r="V9" s="2848"/>
    </row>
    <row r="10" spans="1:22" s="2852" customFormat="1" ht="13.15" customHeight="1">
      <c r="A10" s="2887">
        <v>2</v>
      </c>
      <c r="B10" s="3666" t="s">
        <v>2356</v>
      </c>
      <c r="C10" s="3667"/>
      <c r="D10" s="2888">
        <f>ROUND(D6*E10,0)</f>
        <v>0</v>
      </c>
      <c r="E10" s="2892"/>
      <c r="F10" s="2893" t="s">
        <v>2357</v>
      </c>
      <c r="G10" s="2872"/>
      <c r="H10" s="2847"/>
      <c r="I10" s="2848"/>
      <c r="J10" s="3662"/>
      <c r="K10" s="3664"/>
      <c r="L10" s="2882" t="s">
        <v>2358</v>
      </c>
      <c r="M10" s="2883"/>
      <c r="N10" s="2859"/>
      <c r="O10" s="2884"/>
      <c r="P10" s="2884"/>
      <c r="Q10" s="2885">
        <v>365</v>
      </c>
      <c r="R10" s="2886">
        <f t="shared" si="0"/>
        <v>0</v>
      </c>
      <c r="S10" s="2840"/>
      <c r="T10" s="2840"/>
      <c r="U10" s="2840"/>
      <c r="V10" s="2848"/>
    </row>
    <row r="11" spans="1:22" s="2852" customFormat="1" ht="13.15" customHeight="1">
      <c r="A11" s="2887">
        <v>3</v>
      </c>
      <c r="B11" s="3666" t="s">
        <v>2359</v>
      </c>
      <c r="C11" s="3667"/>
      <c r="D11" s="2888">
        <f>D12+D14+D15+D16</f>
        <v>0</v>
      </c>
      <c r="E11" s="2894" t="e">
        <f>D11/D6</f>
        <v>#DIV/0!</v>
      </c>
      <c r="F11" s="2890"/>
      <c r="G11" s="2891"/>
      <c r="H11" s="2847"/>
      <c r="I11" s="2848"/>
      <c r="J11" s="3662"/>
      <c r="K11" s="3664"/>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668" t="s">
        <v>2362</v>
      </c>
      <c r="C12" s="3669"/>
      <c r="D12" s="2896">
        <f>ROUND(D13*1.2%*(1-30%),0)</f>
        <v>0</v>
      </c>
      <c r="E12" s="2897">
        <v>1.2E-2</v>
      </c>
      <c r="F12" s="2890" t="s">
        <v>2363</v>
      </c>
      <c r="G12" s="2891"/>
      <c r="H12" s="2847"/>
      <c r="I12" s="2848"/>
      <c r="J12" s="3662"/>
      <c r="K12" s="3664"/>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662"/>
      <c r="K13" s="3664"/>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668" t="s">
        <v>2368</v>
      </c>
      <c r="C14" s="3669"/>
      <c r="D14" s="2896">
        <f>ROUND(E14*B5/10000,0)</f>
        <v>0</v>
      </c>
      <c r="E14" s="2885"/>
      <c r="F14" s="2890" t="s">
        <v>2369</v>
      </c>
      <c r="G14" s="2891"/>
      <c r="H14" s="2847"/>
      <c r="I14" s="2848"/>
      <c r="J14" s="3662"/>
      <c r="K14" s="3665"/>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668" t="s">
        <v>2372</v>
      </c>
      <c r="C15" s="3669"/>
      <c r="D15" s="2896">
        <f>ROUND(D6*E15,0)</f>
        <v>0</v>
      </c>
      <c r="E15" s="2897">
        <v>5.5E-2</v>
      </c>
      <c r="F15" s="2890" t="s">
        <v>2373</v>
      </c>
      <c r="G15" s="2872"/>
      <c r="H15" s="2847"/>
      <c r="I15" s="2848"/>
      <c r="J15" s="3662">
        <v>2</v>
      </c>
      <c r="K15" s="3663"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668" t="s">
        <v>2381</v>
      </c>
      <c r="C16" s="3669"/>
      <c r="D16" s="2907">
        <f>D6*E16</f>
        <v>0</v>
      </c>
      <c r="E16" s="2908"/>
      <c r="F16" s="2893" t="s">
        <v>2382</v>
      </c>
      <c r="G16" s="2872"/>
      <c r="H16" s="2847"/>
      <c r="I16" s="2848"/>
      <c r="J16" s="3662"/>
      <c r="K16" s="3664"/>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670" t="s">
        <v>2384</v>
      </c>
      <c r="C17" s="3671"/>
      <c r="D17" s="2910">
        <f>ROUND(D6*E17,0)</f>
        <v>0</v>
      </c>
      <c r="E17" s="2911"/>
      <c r="F17" s="2912" t="s">
        <v>2385</v>
      </c>
      <c r="G17" s="2872"/>
      <c r="H17" s="2847"/>
      <c r="I17" s="2848"/>
      <c r="J17" s="3662"/>
      <c r="K17" s="3664"/>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662"/>
      <c r="K18" s="3664"/>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662"/>
      <c r="K19" s="3665"/>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62">
        <v>3</v>
      </c>
      <c r="K20" s="3663"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662"/>
      <c r="K21" s="3664"/>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662"/>
      <c r="K22" s="3664"/>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662"/>
      <c r="K23" s="3664"/>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662"/>
      <c r="K24" s="3665"/>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672">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673"/>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655" t="s">
        <v>2317</v>
      </c>
      <c r="K32" s="3656"/>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657" t="s">
        <v>2327</v>
      </c>
      <c r="K33" s="3658"/>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657" t="s">
        <v>2329</v>
      </c>
      <c r="K34" s="3658"/>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662">
        <v>1</v>
      </c>
      <c r="K36" s="3663"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662"/>
      <c r="K37" s="3664"/>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62"/>
      <c r="K38" s="3664"/>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662"/>
      <c r="K39" s="3664"/>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662"/>
      <c r="K40" s="3665"/>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2">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673"/>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225.3511</v>
      </c>
      <c r="C2" s="1872" t="s">
        <v>1651</v>
      </c>
      <c r="D2" s="1873" t="s">
        <v>1652</v>
      </c>
      <c r="E2" s="2606">
        <f>SUM(E6:E13)</f>
        <v>72.16</v>
      </c>
      <c r="F2" s="2706"/>
      <c r="G2" s="1489"/>
      <c r="H2" s="1489"/>
      <c r="I2" s="1489"/>
      <c r="J2" s="1489"/>
      <c r="K2" s="1489"/>
      <c r="L2" s="1489"/>
      <c r="M2" s="1489"/>
      <c r="N2" s="1489"/>
      <c r="O2" s="1489"/>
      <c r="P2" s="1489"/>
      <c r="Q2" s="1489"/>
      <c r="R2" s="1489"/>
      <c r="S2" s="1489"/>
    </row>
    <row r="3" spans="1:22" ht="15.75">
      <c r="A3" s="1870" t="s">
        <v>686</v>
      </c>
      <c r="B3" s="2600">
        <f ca="1">ROUND(B2*10000/E2,0)</f>
        <v>31229</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674" t="s">
        <v>1654</v>
      </c>
      <c r="C5" s="3675"/>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225.3511</v>
      </c>
      <c r="C6" s="1872" t="s">
        <v>1651</v>
      </c>
      <c r="D6" s="2708"/>
      <c r="E6" s="2605">
        <f>IF(OR(A6=0,F6="否"),0,'数据-取费表'!K6+'数据-取费表'!S6)</f>
        <v>72.16</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C21" zoomScale="85" zoomScaleNormal="60" zoomScaleSheetLayoutView="85" workbookViewId="0">
      <selection activeCell="I15" sqref="I15"/>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3384</v>
      </c>
      <c r="E1" s="3425" t="s">
        <v>3442</v>
      </c>
      <c r="F1" s="1879" t="s">
        <v>3415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f>IF(E1="项目模式",IF(C2="——",ROUND(C49*D3/10000,0),ROUND(C49*D3/10000,0)-D2),IF(E1="单套模式",IF(C2="——",ROUND(C49*D3/10000,4),ROUND(C49*D3/10000,4)-D2)))</f>
        <v>317.7638</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44036</v>
      </c>
      <c r="C3" s="354" t="s">
        <v>1665</v>
      </c>
      <c r="D3" s="353">
        <f>IF(D1="",'数据-汇总表'!E3,SUMIF('数据-汇总表'!$C19:$C33,D1,'数据-汇总表'!$E19:$E33))</f>
        <v>72.16</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94" t="s">
        <v>1667</v>
      </c>
      <c r="D4" s="3695"/>
      <c r="E4" s="3696" t="s">
        <v>1668</v>
      </c>
      <c r="F4" s="3697"/>
      <c r="G4" s="3694" t="s">
        <v>1669</v>
      </c>
      <c r="H4" s="3695"/>
      <c r="I4" s="3694" t="s">
        <v>1670</v>
      </c>
      <c r="J4" s="3695"/>
      <c r="K4" s="1889" t="s">
        <v>1671</v>
      </c>
      <c r="L4" s="2714"/>
      <c r="M4" s="2715"/>
      <c r="N4" s="2715"/>
      <c r="O4" s="2715"/>
      <c r="P4" s="3698" t="s">
        <v>1672</v>
      </c>
      <c r="Q4" s="3699"/>
      <c r="R4" s="3681" t="s">
        <v>1668</v>
      </c>
      <c r="S4" s="3682"/>
      <c r="T4" s="3681" t="s">
        <v>1669</v>
      </c>
      <c r="U4" s="3682"/>
      <c r="V4" s="3706" t="s">
        <v>1670</v>
      </c>
      <c r="W4" s="3706"/>
      <c r="X4" s="1355"/>
      <c r="Y4" s="3681" t="s">
        <v>1672</v>
      </c>
      <c r="Z4" s="3682"/>
      <c r="AA4" s="3676" t="s">
        <v>1668</v>
      </c>
      <c r="AB4" s="3676" t="s">
        <v>1669</v>
      </c>
      <c r="AC4" s="3676" t="s">
        <v>1670</v>
      </c>
    </row>
    <row r="5" spans="1:29" ht="28.5" customHeight="1">
      <c r="A5" s="358"/>
      <c r="B5" s="359"/>
      <c r="C5" s="3687" t="s">
        <v>3430</v>
      </c>
      <c r="D5" s="3688"/>
      <c r="E5" s="3685" t="s">
        <v>3431</v>
      </c>
      <c r="F5" s="3686"/>
      <c r="G5" s="3707" t="str">
        <f>E5</f>
        <v>青荷里南山园</v>
      </c>
      <c r="H5" s="3688"/>
      <c r="I5" s="3687" t="s">
        <v>3440</v>
      </c>
      <c r="J5" s="3688"/>
      <c r="K5" s="1890"/>
      <c r="L5" s="2714"/>
      <c r="M5" s="2715"/>
      <c r="N5" s="2715"/>
      <c r="O5" s="2715"/>
      <c r="P5" s="3700"/>
      <c r="Q5" s="3701"/>
      <c r="R5" s="3683"/>
      <c r="S5" s="3684"/>
      <c r="T5" s="3683"/>
      <c r="U5" s="3684"/>
      <c r="V5" s="3706"/>
      <c r="W5" s="3706"/>
      <c r="X5" s="1355"/>
      <c r="Y5" s="3683"/>
      <c r="Z5" s="3684"/>
      <c r="AA5" s="3677"/>
      <c r="AB5" s="3677"/>
      <c r="AC5" s="3677"/>
    </row>
    <row r="6" spans="1:29" ht="15.75" thickBot="1">
      <c r="A6" s="360"/>
      <c r="B6" s="361"/>
      <c r="C6" s="3689" t="s">
        <v>1677</v>
      </c>
      <c r="D6" s="3690"/>
      <c r="E6" s="3691" t="s">
        <v>1677</v>
      </c>
      <c r="F6" s="3692"/>
      <c r="G6" s="3689" t="s">
        <v>1677</v>
      </c>
      <c r="H6" s="3690"/>
      <c r="I6" s="3689" t="s">
        <v>1677</v>
      </c>
      <c r="J6" s="3690"/>
      <c r="K6" s="1890" t="s">
        <v>1678</v>
      </c>
      <c r="L6" s="2714"/>
      <c r="M6" s="2715"/>
      <c r="N6" s="2715"/>
      <c r="O6" s="2715"/>
      <c r="P6" s="3702"/>
      <c r="Q6" s="3703"/>
      <c r="R6" s="3683"/>
      <c r="S6" s="3684"/>
      <c r="T6" s="3704"/>
      <c r="U6" s="3705"/>
      <c r="V6" s="3706"/>
      <c r="W6" s="3706"/>
      <c r="X6" s="1355"/>
      <c r="Y6" s="3704"/>
      <c r="Z6" s="3705"/>
      <c r="AA6" s="3678"/>
      <c r="AB6" s="3678"/>
      <c r="AC6" s="3678"/>
    </row>
    <row r="7" spans="1:29" s="108" customFormat="1" ht="15.75" thickBot="1">
      <c r="A7" s="362" t="s">
        <v>1679</v>
      </c>
      <c r="B7" s="363"/>
      <c r="C7" s="364">
        <f>'数据-取费表'!B2</f>
        <v>45214</v>
      </c>
      <c r="D7" s="365">
        <v>100</v>
      </c>
      <c r="E7" s="366">
        <v>45212</v>
      </c>
      <c r="F7" s="367">
        <f>SUMIF(58:58,YEAR(E7)&amp;"-"&amp;MONTH(E7),59:59)</f>
        <v>100</v>
      </c>
      <c r="G7" s="3462">
        <v>44993</v>
      </c>
      <c r="H7" s="365">
        <f>SUMIF(58:58,YEAR(G7)&amp;"-"&amp;MONTH(G7),59:59)</f>
        <v>100</v>
      </c>
      <c r="I7" s="3462">
        <v>45077</v>
      </c>
      <c r="J7" s="365">
        <f>SUMIF(58:58,YEAR(I7)&amp;"-"&amp;MONTH(I7),59:59)</f>
        <v>100</v>
      </c>
      <c r="K7" s="1891"/>
      <c r="L7" s="2716"/>
      <c r="M7" s="2717"/>
      <c r="N7" s="2717"/>
      <c r="O7" s="2717"/>
      <c r="P7" s="3679" t="s">
        <v>1680</v>
      </c>
      <c r="Q7" s="3708"/>
      <c r="R7" s="701" t="s">
        <v>20</v>
      </c>
      <c r="S7" s="702">
        <f t="shared" ref="S7:S15" si="0">F7</f>
        <v>100</v>
      </c>
      <c r="T7" s="701" t="s">
        <v>20</v>
      </c>
      <c r="U7" s="702">
        <f t="shared" ref="U7:U15" si="1">H7</f>
        <v>100</v>
      </c>
      <c r="V7" s="701" t="s">
        <v>20</v>
      </c>
      <c r="W7" s="702">
        <f t="shared" ref="W7:W15" si="2">J7</f>
        <v>100</v>
      </c>
      <c r="X7" s="703"/>
      <c r="Y7" s="3679" t="s">
        <v>1680</v>
      </c>
      <c r="Z7" s="3680"/>
      <c r="AA7" s="704">
        <f>D7/F7</f>
        <v>1</v>
      </c>
      <c r="AB7" s="704">
        <f>D7/H7</f>
        <v>1</v>
      </c>
      <c r="AC7" s="704">
        <f>D7/J7</f>
        <v>1</v>
      </c>
    </row>
    <row r="8" spans="1:29" s="108" customFormat="1" ht="15.75" thickBot="1">
      <c r="A8" s="362" t="s">
        <v>1681</v>
      </c>
      <c r="B8" s="363"/>
      <c r="C8" s="368" t="s">
        <v>3391</v>
      </c>
      <c r="D8" s="365">
        <v>100</v>
      </c>
      <c r="E8" s="1892" t="s">
        <v>3391</v>
      </c>
      <c r="F8" s="367">
        <f>SUMIF(61:61,E8,62:62)-SUMIF(61:61,C8,62:62)+100</f>
        <v>100</v>
      </c>
      <c r="G8" s="368" t="s">
        <v>3391</v>
      </c>
      <c r="H8" s="365">
        <f>SUMIF(61:61,G8,62:62)-SUMIF(61:61,C8,62:62)+100</f>
        <v>100</v>
      </c>
      <c r="I8" s="1892" t="s">
        <v>3391</v>
      </c>
      <c r="J8" s="365">
        <f>SUMIF(61:61,I8,62:62)-SUMIF(61:61,C8,62:62)+100</f>
        <v>100</v>
      </c>
      <c r="K8" s="1891"/>
      <c r="L8" s="2716"/>
      <c r="M8" s="2717"/>
      <c r="N8" s="2717"/>
      <c r="O8" s="2717"/>
      <c r="P8" s="3679" t="s">
        <v>1683</v>
      </c>
      <c r="Q8" s="3680"/>
      <c r="R8" s="701" t="s">
        <v>20</v>
      </c>
      <c r="S8" s="702">
        <f t="shared" si="0"/>
        <v>100</v>
      </c>
      <c r="T8" s="701" t="s">
        <v>20</v>
      </c>
      <c r="U8" s="702">
        <f t="shared" si="1"/>
        <v>100</v>
      </c>
      <c r="V8" s="701" t="s">
        <v>20</v>
      </c>
      <c r="W8" s="702">
        <f t="shared" si="2"/>
        <v>100</v>
      </c>
      <c r="X8" s="703"/>
      <c r="Y8" s="3679" t="s">
        <v>1683</v>
      </c>
      <c r="Z8" s="3680"/>
      <c r="AA8" s="704">
        <f t="shared" ref="AA8:AA19" si="3">D8/F8</f>
        <v>1</v>
      </c>
      <c r="AB8" s="704">
        <f t="shared" ref="AB8:AB19" si="4">D8/H8</f>
        <v>1</v>
      </c>
      <c r="AC8" s="704">
        <f t="shared" ref="AC8:AC19" si="5">D8/J8</f>
        <v>1</v>
      </c>
    </row>
    <row r="9" spans="1:29" s="108" customFormat="1" ht="15" thickBot="1">
      <c r="A9" s="369" t="s">
        <v>1684</v>
      </c>
      <c r="B9" s="63" t="s">
        <v>1685</v>
      </c>
      <c r="C9" s="3450" t="s">
        <v>3392</v>
      </c>
      <c r="D9" s="126">
        <v>100</v>
      </c>
      <c r="E9" s="371" t="s">
        <v>3384</v>
      </c>
      <c r="F9" s="372">
        <f>SUMIF(63:63,E9,64:64)-SUMIF(63:63,C9,64:64)+100</f>
        <v>100</v>
      </c>
      <c r="G9" s="373" t="s">
        <v>3384</v>
      </c>
      <c r="H9" s="126">
        <f>SUMIF(63:63,G9,64:64)-SUMIF(63:63,C9,64:64)+100</f>
        <v>100</v>
      </c>
      <c r="I9" s="373" t="s">
        <v>3384</v>
      </c>
      <c r="J9" s="126">
        <f>SUMIF(63:63,I9,64:64)-SUMIF(63:63,C9,64:64)+100</f>
        <v>100</v>
      </c>
      <c r="K9" s="1891"/>
      <c r="L9" s="2716"/>
      <c r="M9" s="2717"/>
      <c r="N9" s="2717"/>
      <c r="O9" s="2717"/>
      <c r="P9" s="3693"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93"/>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75" hidden="1" thickBot="1">
      <c r="A11" s="379"/>
      <c r="B11" s="375" t="s">
        <v>1689</v>
      </c>
      <c r="C11" s="380">
        <v>3</v>
      </c>
      <c r="D11" s="127">
        <v>100</v>
      </c>
      <c r="E11" s="381">
        <f>C11</f>
        <v>3</v>
      </c>
      <c r="F11" s="376">
        <f>LOOKUP(E11,68:68,69:69)-LOOKUP(C11,68:68,69:69)+100</f>
        <v>100</v>
      </c>
      <c r="G11" s="380">
        <f>C11</f>
        <v>3</v>
      </c>
      <c r="H11" s="127">
        <f>LOOKUP(G11,68:68,69:69)-LOOKUP(C11,68:68,69:69)+100</f>
        <v>100</v>
      </c>
      <c r="I11" s="380">
        <v>3</v>
      </c>
      <c r="J11" s="127">
        <f>LOOKUP(I11,68:68,69:69)-LOOKUP(C11,68:68,69:69)+100</f>
        <v>100</v>
      </c>
      <c r="K11" s="377"/>
      <c r="L11" s="2720"/>
      <c r="M11" s="2715"/>
      <c r="N11" s="2715"/>
      <c r="O11" s="2715"/>
      <c r="P11" s="3693"/>
      <c r="Q11" s="1343" t="str">
        <f t="shared" si="6"/>
        <v>容积率</v>
      </c>
      <c r="R11" s="701" t="s">
        <v>18</v>
      </c>
      <c r="S11" s="702">
        <f t="shared" si="0"/>
        <v>100</v>
      </c>
      <c r="T11" s="701" t="s">
        <v>18</v>
      </c>
      <c r="U11" s="702">
        <f t="shared" si="1"/>
        <v>100</v>
      </c>
      <c r="V11" s="701" t="s">
        <v>18</v>
      </c>
      <c r="W11" s="702">
        <f t="shared" si="2"/>
        <v>100</v>
      </c>
      <c r="X11" s="703"/>
      <c r="Y11" s="3623"/>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93"/>
      <c r="Q12" s="1343">
        <f t="shared" si="6"/>
        <v>111</v>
      </c>
      <c r="R12" s="701" t="s">
        <v>18</v>
      </c>
      <c r="S12" s="702">
        <f t="shared" si="0"/>
        <v>100</v>
      </c>
      <c r="T12" s="701" t="s">
        <v>18</v>
      </c>
      <c r="U12" s="702">
        <f t="shared" si="1"/>
        <v>100</v>
      </c>
      <c r="V12" s="701" t="s">
        <v>18</v>
      </c>
      <c r="W12" s="702">
        <f t="shared" si="2"/>
        <v>100</v>
      </c>
      <c r="X12" s="703"/>
      <c r="Y12" s="3623"/>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93"/>
      <c r="Q13" s="1343">
        <f t="shared" si="6"/>
        <v>111</v>
      </c>
      <c r="R13" s="701" t="s">
        <v>18</v>
      </c>
      <c r="S13" s="702">
        <f t="shared" si="0"/>
        <v>100</v>
      </c>
      <c r="T13" s="701" t="s">
        <v>18</v>
      </c>
      <c r="U13" s="702">
        <f t="shared" si="1"/>
        <v>100</v>
      </c>
      <c r="V13" s="701" t="s">
        <v>18</v>
      </c>
      <c r="W13" s="702">
        <f t="shared" si="2"/>
        <v>100</v>
      </c>
      <c r="X13" s="703"/>
      <c r="Y13" s="3623"/>
      <c r="Z13" s="52">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93"/>
      <c r="Q14" s="1343">
        <f t="shared" si="6"/>
        <v>111</v>
      </c>
      <c r="R14" s="701" t="s">
        <v>18</v>
      </c>
      <c r="S14" s="702">
        <f t="shared" si="0"/>
        <v>100</v>
      </c>
      <c r="T14" s="701" t="s">
        <v>18</v>
      </c>
      <c r="U14" s="702">
        <f t="shared" si="1"/>
        <v>100</v>
      </c>
      <c r="V14" s="701" t="s">
        <v>18</v>
      </c>
      <c r="W14" s="702">
        <f t="shared" si="2"/>
        <v>100</v>
      </c>
      <c r="X14" s="703"/>
      <c r="Y14" s="3623"/>
      <c r="Z14" s="52">
        <f t="shared" si="7"/>
        <v>111</v>
      </c>
      <c r="AA14" s="704">
        <f t="shared" si="3"/>
        <v>1</v>
      </c>
      <c r="AB14" s="704">
        <f t="shared" si="4"/>
        <v>1</v>
      </c>
      <c r="AC14" s="704">
        <f t="shared" si="5"/>
        <v>1</v>
      </c>
    </row>
    <row r="15" spans="1:29" ht="75.75" customHeight="1">
      <c r="A15" s="391" t="s">
        <v>1690</v>
      </c>
      <c r="B15" s="61" t="s">
        <v>1257</v>
      </c>
      <c r="C15" s="1896" t="str">
        <f>估价对象房地状况!C3</f>
        <v>估价对象周边有青荷里晨风园、京城雅居、明德园等社区，综合评价居住社区成熟度较好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21" t="s">
        <v>1691</v>
      </c>
      <c r="Q15" s="1352" t="str">
        <f t="shared" si="6"/>
        <v>居住社区成熟度</v>
      </c>
      <c r="R15" s="705" t="s">
        <v>18</v>
      </c>
      <c r="S15" s="706">
        <f t="shared" si="0"/>
        <v>100</v>
      </c>
      <c r="T15" s="705" t="s">
        <v>18</v>
      </c>
      <c r="U15" s="706">
        <f t="shared" si="1"/>
        <v>100</v>
      </c>
      <c r="V15" s="705" t="s">
        <v>18</v>
      </c>
      <c r="W15" s="706">
        <f t="shared" si="2"/>
        <v>100</v>
      </c>
      <c r="X15" s="1355"/>
      <c r="Y15" s="371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22"/>
      <c r="Q16" s="1352"/>
      <c r="R16" s="705"/>
      <c r="S16" s="706"/>
      <c r="T16" s="705"/>
      <c r="U16" s="706"/>
      <c r="V16" s="705"/>
      <c r="W16" s="706"/>
      <c r="X16" s="1355"/>
      <c r="Y16" s="3715"/>
      <c r="Z16" s="1356"/>
      <c r="AA16" s="1353">
        <v>1</v>
      </c>
      <c r="AB16" s="1353">
        <v>1</v>
      </c>
      <c r="AC16" s="1353">
        <v>1</v>
      </c>
    </row>
    <row r="17" spans="1:29" ht="121.5" customHeight="1">
      <c r="A17" s="379"/>
      <c r="B17" s="402" t="s">
        <v>1259</v>
      </c>
      <c r="C17" s="1900" t="str">
        <f>估价对象房地状况!C6</f>
        <v>估价对象紧邻城市支路——天达路，有专171路、411路等多条公共交通线路，距离最近的地铁7号线（郎辛庄站）约0.8公里，综合评价交通便捷度一般</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22"/>
      <c r="Q17" s="1352" t="str">
        <f>B17</f>
        <v>交通便捷度</v>
      </c>
      <c r="R17" s="705" t="s">
        <v>18</v>
      </c>
      <c r="S17" s="706">
        <f>F17</f>
        <v>100</v>
      </c>
      <c r="T17" s="705" t="s">
        <v>18</v>
      </c>
      <c r="U17" s="706">
        <f>H17</f>
        <v>100</v>
      </c>
      <c r="V17" s="705" t="s">
        <v>18</v>
      </c>
      <c r="W17" s="706">
        <f>J17</f>
        <v>100</v>
      </c>
      <c r="X17" s="1355"/>
      <c r="Y17" s="371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22"/>
      <c r="Q18" s="1352"/>
      <c r="R18" s="705"/>
      <c r="S18" s="706"/>
      <c r="T18" s="705"/>
      <c r="U18" s="706"/>
      <c r="V18" s="705"/>
      <c r="W18" s="706"/>
      <c r="X18" s="1355"/>
      <c r="Y18" s="3715"/>
      <c r="Z18" s="1356"/>
      <c r="AA18" s="1353">
        <v>1</v>
      </c>
      <c r="AB18" s="1353">
        <v>1</v>
      </c>
      <c r="AC18" s="1353">
        <v>1</v>
      </c>
    </row>
    <row r="19" spans="1:29" ht="42.75">
      <c r="A19" s="379"/>
      <c r="B19" s="402" t="s">
        <v>1258</v>
      </c>
      <c r="C19" s="1900" t="str">
        <f>估价对象房地状况!C7</f>
        <v>估价对象所在区域公共配套设施齐备情况较好</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22"/>
      <c r="Q19" s="1352" t="str">
        <f>B19</f>
        <v>公共配套设施</v>
      </c>
      <c r="R19" s="705" t="s">
        <v>18</v>
      </c>
      <c r="S19" s="706">
        <f>F19</f>
        <v>100</v>
      </c>
      <c r="T19" s="705" t="s">
        <v>18</v>
      </c>
      <c r="U19" s="706">
        <f>H19</f>
        <v>100</v>
      </c>
      <c r="V19" s="705" t="s">
        <v>18</v>
      </c>
      <c r="W19" s="706">
        <f>J19</f>
        <v>100</v>
      </c>
      <c r="X19" s="1355"/>
      <c r="Y19" s="371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22"/>
      <c r="Q20" s="1352"/>
      <c r="R20" s="705"/>
      <c r="S20" s="706"/>
      <c r="T20" s="705"/>
      <c r="U20" s="706"/>
      <c r="V20" s="705"/>
      <c r="W20" s="706"/>
      <c r="X20" s="1355"/>
      <c r="Y20" s="3715"/>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22"/>
      <c r="Q21" s="1352" t="str">
        <f>B21</f>
        <v>基础设施水平</v>
      </c>
      <c r="R21" s="705" t="s">
        <v>14</v>
      </c>
      <c r="S21" s="706">
        <f>F21</f>
        <v>100</v>
      </c>
      <c r="T21" s="705" t="s">
        <v>14</v>
      </c>
      <c r="U21" s="706">
        <f>H21</f>
        <v>100</v>
      </c>
      <c r="V21" s="705" t="s">
        <v>14</v>
      </c>
      <c r="W21" s="706">
        <f>J21</f>
        <v>100</v>
      </c>
      <c r="X21" s="1355"/>
      <c r="Y21" s="371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22"/>
      <c r="Q22" s="1352"/>
      <c r="R22" s="705"/>
      <c r="S22" s="706"/>
      <c r="T22" s="705"/>
      <c r="U22" s="706"/>
      <c r="V22" s="705"/>
      <c r="W22" s="706"/>
      <c r="X22" s="1355"/>
      <c r="Y22" s="3715"/>
      <c r="Z22" s="1356"/>
      <c r="AA22" s="1353">
        <v>1</v>
      </c>
      <c r="AB22" s="1353">
        <v>1</v>
      </c>
      <c r="AC22" s="1353">
        <v>1</v>
      </c>
    </row>
    <row r="23" spans="1:29" ht="61.5" customHeight="1">
      <c r="A23" s="379"/>
      <c r="B23" s="402" t="s">
        <v>1261</v>
      </c>
      <c r="C23" s="1900" t="str">
        <f>估价对象房地状况!C9</f>
        <v>区域自然环境：西排干渠；人文环境；豆各庄乡情博物馆；综合评价环境状况一般。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22"/>
      <c r="Q23" s="1352" t="str">
        <f>B23</f>
        <v>自然及人文环境</v>
      </c>
      <c r="R23" s="705" t="s">
        <v>18</v>
      </c>
      <c r="S23" s="706">
        <f>F23</f>
        <v>100</v>
      </c>
      <c r="T23" s="705" t="s">
        <v>18</v>
      </c>
      <c r="U23" s="706">
        <f>H23</f>
        <v>100</v>
      </c>
      <c r="V23" s="705" t="s">
        <v>18</v>
      </c>
      <c r="W23" s="706">
        <f>J23</f>
        <v>100</v>
      </c>
      <c r="X23" s="1355"/>
      <c r="Y23" s="371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22"/>
      <c r="Q24" s="1352"/>
      <c r="R24" s="705"/>
      <c r="S24" s="706"/>
      <c r="T24" s="705"/>
      <c r="U24" s="706"/>
      <c r="V24" s="705"/>
      <c r="W24" s="706"/>
      <c r="X24" s="1355"/>
      <c r="Y24" s="3715"/>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2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5"/>
      <c r="Z25" s="1356" t="str">
        <f>Q25</f>
        <v>楼层-1</v>
      </c>
      <c r="AA25" s="1353">
        <f t="shared" ref="AA25:AA46" si="15">D25/F25</f>
        <v>1</v>
      </c>
      <c r="AB25" s="1353">
        <f t="shared" ref="AB25:AB46" si="16">D25/H25</f>
        <v>1</v>
      </c>
      <c r="AC25" s="1353">
        <f t="shared" ref="AC25:AC46" si="17">D25/J25</f>
        <v>1</v>
      </c>
    </row>
    <row r="26" spans="1:29" ht="15">
      <c r="A26" s="379"/>
      <c r="B26" s="375" t="s">
        <v>1693</v>
      </c>
      <c r="C26" s="411" t="s">
        <v>3435</v>
      </c>
      <c r="D26" s="386">
        <v>100</v>
      </c>
      <c r="E26" s="1906" t="s">
        <v>3435</v>
      </c>
      <c r="F26" s="386">
        <f>SUMIF(88:88,E26,89:89)-SUMIF(88:88,C26,89:89)+100</f>
        <v>100</v>
      </c>
      <c r="G26" s="1907" t="s">
        <v>3435</v>
      </c>
      <c r="H26" s="386">
        <f>SUMIF(88:88,G26,89:89)-SUMIF(88:88,C26,89:89)+100</f>
        <v>100</v>
      </c>
      <c r="I26" s="1907" t="s">
        <v>3394</v>
      </c>
      <c r="J26" s="386">
        <f>SUMIF(88:88,I26,89:89)-SUMIF(88:88,C26,89:89)+100</f>
        <v>102</v>
      </c>
      <c r="K26" s="377">
        <v>2</v>
      </c>
      <c r="L26" s="2721"/>
      <c r="M26" s="2715"/>
      <c r="N26" s="2715"/>
      <c r="O26" s="2715"/>
      <c r="P26" s="3722"/>
      <c r="Q26" s="1352" t="str">
        <f t="shared" si="11"/>
        <v>朝向</v>
      </c>
      <c r="R26" s="705" t="s">
        <v>18</v>
      </c>
      <c r="S26" s="706">
        <f t="shared" si="12"/>
        <v>100</v>
      </c>
      <c r="T26" s="705" t="s">
        <v>18</v>
      </c>
      <c r="U26" s="706">
        <f t="shared" si="13"/>
        <v>100</v>
      </c>
      <c r="V26" s="705" t="s">
        <v>18</v>
      </c>
      <c r="W26" s="706">
        <f t="shared" si="14"/>
        <v>102</v>
      </c>
      <c r="X26" s="1355"/>
      <c r="Y26" s="3715"/>
      <c r="Z26" s="1356" t="str">
        <f>Q26</f>
        <v>朝向</v>
      </c>
      <c r="AA26" s="1353">
        <f t="shared" si="15"/>
        <v>1</v>
      </c>
      <c r="AB26" s="1353">
        <f t="shared" si="16"/>
        <v>1</v>
      </c>
      <c r="AC26" s="1353">
        <f t="shared" si="17"/>
        <v>0.98039215686274506</v>
      </c>
    </row>
    <row r="27" spans="1:29" s="108" customFormat="1" ht="15.75" thickBot="1">
      <c r="A27" s="382"/>
      <c r="B27" s="3449" t="s">
        <v>3393</v>
      </c>
      <c r="C27" s="3452" t="str">
        <f>C90</f>
        <v>23/31（高楼层）</v>
      </c>
      <c r="D27" s="413">
        <v>100</v>
      </c>
      <c r="E27" s="383" t="str">
        <f>D90</f>
        <v>15/29（中楼层）</v>
      </c>
      <c r="F27" s="413">
        <f>SUMIF(90:90,E27,91:91)-SUMIF(90:90,C27,91:91)+100</f>
        <v>98</v>
      </c>
      <c r="G27" s="1960" t="str">
        <f>E90</f>
        <v>14/29（中楼层）</v>
      </c>
      <c r="H27" s="413">
        <f>SUMIF(90:90,G27,91:91)-SUMIF(90:90,C27,91:91)+100</f>
        <v>98</v>
      </c>
      <c r="I27" s="1960" t="str">
        <f>F90</f>
        <v>24/28（高楼层）</v>
      </c>
      <c r="J27" s="413">
        <f>SUMIF(90:90,I27,91:91)-SUMIF(90:90,C27,91:91)+100</f>
        <v>100</v>
      </c>
      <c r="K27" s="1894"/>
      <c r="L27" s="2716"/>
      <c r="M27" s="2717"/>
      <c r="N27" s="2717"/>
      <c r="O27" s="2717"/>
      <c r="P27" s="3722"/>
      <c r="Q27" s="1343" t="str">
        <f t="shared" si="11"/>
        <v>楼层</v>
      </c>
      <c r="R27" s="701" t="s">
        <v>18</v>
      </c>
      <c r="S27" s="702">
        <f t="shared" si="12"/>
        <v>98</v>
      </c>
      <c r="T27" s="701" t="s">
        <v>18</v>
      </c>
      <c r="U27" s="702">
        <f t="shared" si="13"/>
        <v>98</v>
      </c>
      <c r="V27" s="701" t="s">
        <v>18</v>
      </c>
      <c r="W27" s="702">
        <f t="shared" si="14"/>
        <v>100</v>
      </c>
      <c r="X27" s="703"/>
      <c r="Y27" s="3715"/>
      <c r="Z27" s="52" t="str">
        <f>Q27</f>
        <v>楼层</v>
      </c>
      <c r="AA27" s="1353">
        <f t="shared" si="15"/>
        <v>1.0204081632653061</v>
      </c>
      <c r="AB27" s="1353">
        <f t="shared" si="16"/>
        <v>1.0204081632653061</v>
      </c>
      <c r="AC27" s="1353">
        <f t="shared" si="17"/>
        <v>1</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22"/>
      <c r="Q28" s="1352">
        <f t="shared" si="11"/>
        <v>111</v>
      </c>
      <c r="R28" s="705" t="s">
        <v>18</v>
      </c>
      <c r="S28" s="706">
        <f t="shared" si="12"/>
        <v>100</v>
      </c>
      <c r="T28" s="705" t="s">
        <v>18</v>
      </c>
      <c r="U28" s="706">
        <f t="shared" si="13"/>
        <v>100</v>
      </c>
      <c r="V28" s="705" t="s">
        <v>18</v>
      </c>
      <c r="W28" s="706">
        <f t="shared" si="14"/>
        <v>100</v>
      </c>
      <c r="X28" s="1355"/>
      <c r="Y28" s="3715"/>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22"/>
      <c r="Q29" s="1352">
        <f t="shared" si="11"/>
        <v>111</v>
      </c>
      <c r="R29" s="705" t="s">
        <v>18</v>
      </c>
      <c r="S29" s="706">
        <f t="shared" si="12"/>
        <v>100</v>
      </c>
      <c r="T29" s="705" t="s">
        <v>18</v>
      </c>
      <c r="U29" s="706">
        <f t="shared" si="13"/>
        <v>100</v>
      </c>
      <c r="V29" s="705" t="s">
        <v>18</v>
      </c>
      <c r="W29" s="706">
        <f t="shared" si="14"/>
        <v>100</v>
      </c>
      <c r="X29" s="1355"/>
      <c r="Y29" s="3715"/>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22"/>
      <c r="Q30" s="1352">
        <f t="shared" si="11"/>
        <v>111</v>
      </c>
      <c r="R30" s="705" t="s">
        <v>18</v>
      </c>
      <c r="S30" s="706">
        <f t="shared" si="12"/>
        <v>100</v>
      </c>
      <c r="T30" s="705" t="s">
        <v>18</v>
      </c>
      <c r="U30" s="706">
        <f t="shared" si="13"/>
        <v>100</v>
      </c>
      <c r="V30" s="705" t="s">
        <v>18</v>
      </c>
      <c r="W30" s="706">
        <f t="shared" si="14"/>
        <v>100</v>
      </c>
      <c r="X30" s="1355"/>
      <c r="Y30" s="3715"/>
      <c r="Z30" s="1356">
        <f t="shared" si="18"/>
        <v>111</v>
      </c>
      <c r="AA30" s="1353">
        <f t="shared" si="15"/>
        <v>1</v>
      </c>
      <c r="AB30" s="1353">
        <f t="shared" si="16"/>
        <v>1</v>
      </c>
      <c r="AC30" s="1353">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22"/>
      <c r="Q31" s="1352">
        <f t="shared" si="11"/>
        <v>111</v>
      </c>
      <c r="R31" s="705" t="s">
        <v>18</v>
      </c>
      <c r="S31" s="706">
        <f t="shared" si="12"/>
        <v>100</v>
      </c>
      <c r="T31" s="705" t="s">
        <v>18</v>
      </c>
      <c r="U31" s="706">
        <f t="shared" si="13"/>
        <v>100</v>
      </c>
      <c r="V31" s="705" t="s">
        <v>18</v>
      </c>
      <c r="W31" s="706">
        <f t="shared" si="14"/>
        <v>100</v>
      </c>
      <c r="X31" s="1355"/>
      <c r="Y31" s="3715"/>
      <c r="Z31" s="1356">
        <f t="shared" si="18"/>
        <v>111</v>
      </c>
      <c r="AA31" s="1353">
        <f t="shared" si="15"/>
        <v>1</v>
      </c>
      <c r="AB31" s="1353">
        <f t="shared" si="16"/>
        <v>1</v>
      </c>
      <c r="AC31" s="1353">
        <f t="shared" si="17"/>
        <v>1</v>
      </c>
    </row>
    <row r="32" spans="1:29" ht="15">
      <c r="A32" s="391" t="s">
        <v>1694</v>
      </c>
      <c r="B32" s="63" t="s">
        <v>1695</v>
      </c>
      <c r="C32" s="1910" t="s">
        <v>3397</v>
      </c>
      <c r="D32" s="418">
        <v>100</v>
      </c>
      <c r="E32" s="1911" t="s">
        <v>3397</v>
      </c>
      <c r="F32" s="412">
        <f>SUMIF(100:100,E32,101:101)-SUMIF(100:100,C32,101:101)+100</f>
        <v>100</v>
      </c>
      <c r="G32" s="1910" t="s">
        <v>3397</v>
      </c>
      <c r="H32" s="418">
        <f>SUMIF(100:100,G32,101:101)-SUMIF(100:100,C32,101:101)+100</f>
        <v>100</v>
      </c>
      <c r="I32" s="1911" t="s">
        <v>3397</v>
      </c>
      <c r="J32" s="386">
        <f>SUMIF(100:100,I32,101:101)-SUMIF(100:100,C32,101:101)+100</f>
        <v>100</v>
      </c>
      <c r="K32" s="377">
        <v>5</v>
      </c>
      <c r="L32" s="2721"/>
      <c r="M32" s="2715"/>
      <c r="N32" s="2715"/>
      <c r="O32" s="2715"/>
      <c r="P32" s="3716" t="s">
        <v>1696</v>
      </c>
      <c r="Q32" s="1352" t="str">
        <f t="shared" si="11"/>
        <v>建筑类型</v>
      </c>
      <c r="R32" s="705" t="s">
        <v>18</v>
      </c>
      <c r="S32" s="706">
        <f t="shared" si="12"/>
        <v>100</v>
      </c>
      <c r="T32" s="705" t="s">
        <v>18</v>
      </c>
      <c r="U32" s="706">
        <f t="shared" si="13"/>
        <v>100</v>
      </c>
      <c r="V32" s="705" t="s">
        <v>18</v>
      </c>
      <c r="W32" s="706">
        <f t="shared" si="14"/>
        <v>100</v>
      </c>
      <c r="X32" s="1355"/>
      <c r="Y32" s="3719" t="s">
        <v>1696</v>
      </c>
      <c r="Z32" s="1356" t="str">
        <f t="shared" si="18"/>
        <v>建筑类型</v>
      </c>
      <c r="AA32" s="1353">
        <f t="shared" si="15"/>
        <v>1</v>
      </c>
      <c r="AB32" s="1353">
        <f t="shared" si="16"/>
        <v>1</v>
      </c>
      <c r="AC32" s="1353">
        <f t="shared" si="17"/>
        <v>1</v>
      </c>
    </row>
    <row r="33" spans="1:29" s="422" customFormat="1" ht="15">
      <c r="A33" s="419"/>
      <c r="B33" s="375" t="s">
        <v>1697</v>
      </c>
      <c r="C33" s="420">
        <f>'数据-汇总表'!F19</f>
        <v>72.16</v>
      </c>
      <c r="D33" s="127">
        <v>100</v>
      </c>
      <c r="E33" s="420">
        <v>71.58</v>
      </c>
      <c r="F33" s="127">
        <f>LOOKUP(E33,103:103,104:104)-LOOKUP(C33,103:103,104:104)+100</f>
        <v>100</v>
      </c>
      <c r="G33" s="380">
        <v>82.67</v>
      </c>
      <c r="H33" s="127">
        <f>LOOKUP(G33,103:103,104:104)-LOOKUP(C33,103:103,104:104)+100</f>
        <v>100</v>
      </c>
      <c r="I33" s="420">
        <v>107.36</v>
      </c>
      <c r="J33" s="127">
        <f>LOOKUP(I33,103:103,104:104)-LOOKUP(C33,103:103,104:104)+100</f>
        <v>98</v>
      </c>
      <c r="K33" s="1894"/>
      <c r="L33" s="2720"/>
      <c r="M33" s="2722"/>
      <c r="N33" s="2722"/>
      <c r="O33" s="2722"/>
      <c r="P33" s="3717"/>
      <c r="Q33" s="707" t="str">
        <f t="shared" si="11"/>
        <v>项目建筑规模</v>
      </c>
      <c r="R33" s="708" t="s">
        <v>18</v>
      </c>
      <c r="S33" s="709">
        <f t="shared" si="12"/>
        <v>100</v>
      </c>
      <c r="T33" s="708" t="s">
        <v>18</v>
      </c>
      <c r="U33" s="709">
        <f t="shared" si="13"/>
        <v>100</v>
      </c>
      <c r="V33" s="708" t="s">
        <v>18</v>
      </c>
      <c r="W33" s="709">
        <f t="shared" si="14"/>
        <v>98</v>
      </c>
      <c r="X33" s="710"/>
      <c r="Y33" s="3719"/>
      <c r="Z33" s="711" t="str">
        <f t="shared" si="18"/>
        <v>项目建筑规模</v>
      </c>
      <c r="AA33" s="1353">
        <f t="shared" si="15"/>
        <v>1</v>
      </c>
      <c r="AB33" s="1353">
        <f t="shared" si="16"/>
        <v>1</v>
      </c>
      <c r="AC33" s="1353">
        <f t="shared" si="17"/>
        <v>1.0204081632653061</v>
      </c>
    </row>
    <row r="34" spans="1:29" ht="15">
      <c r="A34" s="423"/>
      <c r="B34" s="375" t="s">
        <v>1698</v>
      </c>
      <c r="C34" s="1912" t="s">
        <v>3399</v>
      </c>
      <c r="D34" s="386">
        <v>100</v>
      </c>
      <c r="E34" s="1913" t="s">
        <v>3399</v>
      </c>
      <c r="F34" s="412">
        <f>SUMIF(105:105,E34,106:106)-SUMIF(105:105,C34,106:106)+100</f>
        <v>100</v>
      </c>
      <c r="G34" s="1912" t="s">
        <v>3399</v>
      </c>
      <c r="H34" s="386">
        <f>SUMIF(105:105,G34,106:106)-SUMIF(105:105,C34,106:106)+100</f>
        <v>100</v>
      </c>
      <c r="I34" s="1913" t="s">
        <v>3399</v>
      </c>
      <c r="J34" s="386">
        <f>SUMIF(105:105,I34,106:106)-SUMIF(105:105,C34,106:106)+100</f>
        <v>100</v>
      </c>
      <c r="K34" s="377"/>
      <c r="L34" s="2721"/>
      <c r="M34" s="2715"/>
      <c r="N34" s="2715"/>
      <c r="O34" s="2715"/>
      <c r="P34" s="3717"/>
      <c r="Q34" s="1352" t="str">
        <f t="shared" si="11"/>
        <v>建筑结构</v>
      </c>
      <c r="R34" s="705" t="s">
        <v>18</v>
      </c>
      <c r="S34" s="706">
        <f t="shared" si="12"/>
        <v>100</v>
      </c>
      <c r="T34" s="705" t="s">
        <v>18</v>
      </c>
      <c r="U34" s="706">
        <f t="shared" si="13"/>
        <v>100</v>
      </c>
      <c r="V34" s="705" t="s">
        <v>18</v>
      </c>
      <c r="W34" s="706">
        <f t="shared" si="14"/>
        <v>100</v>
      </c>
      <c r="X34" s="1355"/>
      <c r="Y34" s="3719"/>
      <c r="Z34" s="1356" t="str">
        <f t="shared" si="18"/>
        <v>建筑结构</v>
      </c>
      <c r="AA34" s="1353">
        <f t="shared" si="15"/>
        <v>1</v>
      </c>
      <c r="AB34" s="1353">
        <f t="shared" si="16"/>
        <v>1</v>
      </c>
      <c r="AC34" s="1353">
        <f t="shared" si="17"/>
        <v>1</v>
      </c>
    </row>
    <row r="35" spans="1:29" ht="15" hidden="1">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17"/>
      <c r="Q35" s="1352" t="str">
        <f t="shared" si="11"/>
        <v>建筑品质</v>
      </c>
      <c r="R35" s="705" t="s">
        <v>18</v>
      </c>
      <c r="S35" s="706">
        <f t="shared" si="12"/>
        <v>100</v>
      </c>
      <c r="T35" s="705" t="s">
        <v>18</v>
      </c>
      <c r="U35" s="706">
        <f t="shared" si="13"/>
        <v>100</v>
      </c>
      <c r="V35" s="705" t="s">
        <v>18</v>
      </c>
      <c r="W35" s="706">
        <f t="shared" si="14"/>
        <v>100</v>
      </c>
      <c r="X35" s="1355"/>
      <c r="Y35" s="3719"/>
      <c r="Z35" s="1356" t="str">
        <f t="shared" si="18"/>
        <v>建筑品质</v>
      </c>
      <c r="AA35" s="1353">
        <f t="shared" si="15"/>
        <v>1</v>
      </c>
      <c r="AB35" s="1353">
        <f t="shared" si="16"/>
        <v>1</v>
      </c>
      <c r="AC35" s="1353">
        <f t="shared" si="17"/>
        <v>1</v>
      </c>
    </row>
    <row r="36" spans="1:29" ht="15">
      <c r="A36" s="423"/>
      <c r="B36" s="375" t="s">
        <v>1700</v>
      </c>
      <c r="C36" s="1906" t="s">
        <v>3401</v>
      </c>
      <c r="D36" s="386">
        <v>100</v>
      </c>
      <c r="E36" s="1907" t="s">
        <v>3401</v>
      </c>
      <c r="F36" s="412">
        <f>SUMIF(109:109,E36,110:110)-SUMIF(109:109,C36,110:110)+100</f>
        <v>100</v>
      </c>
      <c r="G36" s="1906" t="s">
        <v>3401</v>
      </c>
      <c r="H36" s="386">
        <f>SUMIF(109:109,G36,110:110)-SUMIF(109:109,C36,110:110)+100</f>
        <v>100</v>
      </c>
      <c r="I36" s="1907" t="s">
        <v>3401</v>
      </c>
      <c r="J36" s="386">
        <f>SUMIF(109:109,I36,110:110)-SUMIF(109:109,C36,110:110)+100</f>
        <v>100</v>
      </c>
      <c r="K36" s="377"/>
      <c r="L36" s="2721"/>
      <c r="M36" s="2715"/>
      <c r="N36" s="2715"/>
      <c r="O36" s="2715"/>
      <c r="P36" s="3717"/>
      <c r="Q36" s="1352" t="str">
        <f t="shared" si="11"/>
        <v>公共部分装修</v>
      </c>
      <c r="R36" s="705" t="s">
        <v>18</v>
      </c>
      <c r="S36" s="706">
        <f t="shared" si="12"/>
        <v>100</v>
      </c>
      <c r="T36" s="705" t="s">
        <v>18</v>
      </c>
      <c r="U36" s="706">
        <f t="shared" si="13"/>
        <v>100</v>
      </c>
      <c r="V36" s="705" t="s">
        <v>18</v>
      </c>
      <c r="W36" s="706">
        <f t="shared" si="14"/>
        <v>100</v>
      </c>
      <c r="X36" s="1355"/>
      <c r="Y36" s="3719"/>
      <c r="Z36" s="1356" t="str">
        <f t="shared" si="18"/>
        <v>公共部分装修</v>
      </c>
      <c r="AA36" s="1353">
        <f t="shared" si="15"/>
        <v>1</v>
      </c>
      <c r="AB36" s="1353">
        <f t="shared" si="16"/>
        <v>1</v>
      </c>
      <c r="AC36" s="1353">
        <f t="shared" si="17"/>
        <v>1</v>
      </c>
    </row>
    <row r="37" spans="1:29" s="108" customFormat="1" ht="15" hidden="1">
      <c r="A37" s="424"/>
      <c r="B37" s="375" t="s">
        <v>1701</v>
      </c>
      <c r="C37" s="425">
        <v>0.95</v>
      </c>
      <c r="D37" s="127">
        <v>100</v>
      </c>
      <c r="E37" s="425">
        <v>0.95</v>
      </c>
      <c r="F37" s="376">
        <f>LOOKUP(E37,112:112,113:113)-LOOKUP(C37,112:112,113:113)+100</f>
        <v>100</v>
      </c>
      <c r="G37" s="427">
        <f>E37</f>
        <v>0.95</v>
      </c>
      <c r="H37" s="127">
        <f>LOOKUP(G37,112:112,113:113)-LOOKUP(C37,112:112,113:113)+100</f>
        <v>100</v>
      </c>
      <c r="I37" s="426">
        <f>E37</f>
        <v>0.95</v>
      </c>
      <c r="J37" s="127">
        <f>LOOKUP(I37,112:112,113:113)-LOOKUP(C37,112:112,113:113)+100</f>
        <v>100</v>
      </c>
      <c r="K37" s="377"/>
      <c r="L37" s="2716"/>
      <c r="M37" s="2717"/>
      <c r="N37" s="2717"/>
      <c r="O37" s="2717"/>
      <c r="P37" s="3717"/>
      <c r="Q37" s="1343" t="str">
        <f t="shared" si="11"/>
        <v>成新度</v>
      </c>
      <c r="R37" s="701" t="s">
        <v>18</v>
      </c>
      <c r="S37" s="702">
        <f t="shared" si="12"/>
        <v>100</v>
      </c>
      <c r="T37" s="701" t="s">
        <v>18</v>
      </c>
      <c r="U37" s="702">
        <f t="shared" si="13"/>
        <v>100</v>
      </c>
      <c r="V37" s="701" t="s">
        <v>18</v>
      </c>
      <c r="W37" s="702">
        <f t="shared" si="14"/>
        <v>100</v>
      </c>
      <c r="X37" s="703"/>
      <c r="Y37" s="3719"/>
      <c r="Z37" s="52" t="str">
        <f t="shared" si="18"/>
        <v>成新度</v>
      </c>
      <c r="AA37" s="704">
        <f t="shared" si="15"/>
        <v>1</v>
      </c>
      <c r="AB37" s="704">
        <f t="shared" si="16"/>
        <v>1</v>
      </c>
      <c r="AC37" s="704">
        <f t="shared" si="17"/>
        <v>1</v>
      </c>
    </row>
    <row r="38" spans="1:29" ht="15">
      <c r="A38" s="423"/>
      <c r="B38" s="375" t="s">
        <v>1702</v>
      </c>
      <c r="C38" s="1906" t="s">
        <v>3403</v>
      </c>
      <c r="D38" s="386">
        <v>100</v>
      </c>
      <c r="E38" s="1907" t="s">
        <v>3403</v>
      </c>
      <c r="F38" s="412">
        <f>SUMIF(114:114,E38,115:115)-SUMIF(114:114,C38,115:115)+100</f>
        <v>100</v>
      </c>
      <c r="G38" s="1906" t="s">
        <v>3403</v>
      </c>
      <c r="H38" s="386">
        <f>SUMIF(114:114,G38,115:115)-SUMIF(114:114,C38,115:115)+100</f>
        <v>100</v>
      </c>
      <c r="I38" s="1907" t="s">
        <v>3403</v>
      </c>
      <c r="J38" s="386">
        <f>SUMIF(114:114,I38,115:115)-SUMIF(114:114,C38,115:115)+100</f>
        <v>100</v>
      </c>
      <c r="K38" s="377"/>
      <c r="L38" s="2721"/>
      <c r="M38" s="2715"/>
      <c r="N38" s="2715"/>
      <c r="O38" s="2715"/>
      <c r="P38" s="3717" t="s">
        <v>1696</v>
      </c>
      <c r="Q38" s="1352" t="str">
        <f t="shared" si="11"/>
        <v>物业管理</v>
      </c>
      <c r="R38" s="705" t="s">
        <v>18</v>
      </c>
      <c r="S38" s="706">
        <f t="shared" si="12"/>
        <v>100</v>
      </c>
      <c r="T38" s="705" t="s">
        <v>18</v>
      </c>
      <c r="U38" s="706">
        <f t="shared" si="13"/>
        <v>100</v>
      </c>
      <c r="V38" s="705" t="s">
        <v>18</v>
      </c>
      <c r="W38" s="706">
        <f t="shared" si="14"/>
        <v>100</v>
      </c>
      <c r="X38" s="1355"/>
      <c r="Y38" s="3719" t="s">
        <v>1696</v>
      </c>
      <c r="Z38" s="1356" t="str">
        <f t="shared" si="18"/>
        <v>物业管理</v>
      </c>
      <c r="AA38" s="1353">
        <f t="shared" si="15"/>
        <v>1</v>
      </c>
      <c r="AB38" s="1353">
        <f t="shared" si="16"/>
        <v>1</v>
      </c>
      <c r="AC38" s="1353">
        <f t="shared" si="17"/>
        <v>1</v>
      </c>
    </row>
    <row r="39" spans="1:29" ht="15">
      <c r="A39" s="423"/>
      <c r="B39" s="375" t="s">
        <v>1703</v>
      </c>
      <c r="C39" s="1906" t="s">
        <v>3405</v>
      </c>
      <c r="D39" s="386">
        <v>100</v>
      </c>
      <c r="E39" s="1907" t="s">
        <v>3405</v>
      </c>
      <c r="F39" s="412">
        <f>SUMIF(116:116,E39,117:117)-SUMIF(116:116,C39,117:117)+100</f>
        <v>100</v>
      </c>
      <c r="G39" s="1906" t="s">
        <v>3405</v>
      </c>
      <c r="H39" s="386">
        <f>SUMIF(116:116,G39,117:117)-SUMIF(116:116,C39,117:117)+100</f>
        <v>100</v>
      </c>
      <c r="I39" s="1907" t="s">
        <v>3405</v>
      </c>
      <c r="J39" s="386">
        <f>SUMIF(116:116,I39,117:117)-SUMIF(116:116,C39,117:117)+100</f>
        <v>100</v>
      </c>
      <c r="K39" s="377"/>
      <c r="L39" s="2721"/>
      <c r="M39" s="2715"/>
      <c r="N39" s="2715"/>
      <c r="O39" s="2715"/>
      <c r="P39" s="3717"/>
      <c r="Q39" s="1352" t="str">
        <f t="shared" si="11"/>
        <v>市政基础设施</v>
      </c>
      <c r="R39" s="705" t="s">
        <v>18</v>
      </c>
      <c r="S39" s="706">
        <f t="shared" si="12"/>
        <v>100</v>
      </c>
      <c r="T39" s="705" t="s">
        <v>18</v>
      </c>
      <c r="U39" s="706">
        <f t="shared" si="13"/>
        <v>100</v>
      </c>
      <c r="V39" s="705" t="s">
        <v>18</v>
      </c>
      <c r="W39" s="706">
        <f t="shared" si="14"/>
        <v>100</v>
      </c>
      <c r="X39" s="1355"/>
      <c r="Y39" s="3719"/>
      <c r="Z39" s="1356" t="str">
        <f t="shared" si="18"/>
        <v>市政基础设施</v>
      </c>
      <c r="AA39" s="1353">
        <f t="shared" si="15"/>
        <v>1</v>
      </c>
      <c r="AB39" s="1353">
        <f t="shared" si="16"/>
        <v>1</v>
      </c>
      <c r="AC39" s="1353">
        <f t="shared" si="17"/>
        <v>1</v>
      </c>
    </row>
    <row r="40" spans="1:29" ht="15">
      <c r="A40" s="423"/>
      <c r="B40" s="375" t="s">
        <v>1704</v>
      </c>
      <c r="C40" s="1906" t="s">
        <v>3407</v>
      </c>
      <c r="D40" s="386">
        <v>100</v>
      </c>
      <c r="E40" s="1907" t="s">
        <v>3407</v>
      </c>
      <c r="F40" s="412">
        <f>SUMIF(118:118,E40,119:119)-SUMIF(118:118,C40,119:119)+100</f>
        <v>100</v>
      </c>
      <c r="G40" s="1906" t="s">
        <v>3407</v>
      </c>
      <c r="H40" s="386">
        <f>SUMIF(118:118,G40,119:119)-SUMIF(118:118,C40,119:119)+100</f>
        <v>100</v>
      </c>
      <c r="I40" s="1907" t="s">
        <v>3407</v>
      </c>
      <c r="J40" s="386">
        <f>SUMIF(118:118,I40,119:119)-SUMIF(118:118,C40,119:119)+100</f>
        <v>100</v>
      </c>
      <c r="K40" s="377"/>
      <c r="L40" s="2721"/>
      <c r="M40" s="2715"/>
      <c r="N40" s="2715"/>
      <c r="O40" s="2715"/>
      <c r="P40" s="3717"/>
      <c r="Q40" s="1352" t="str">
        <f t="shared" si="11"/>
        <v>房型</v>
      </c>
      <c r="R40" s="705" t="s">
        <v>18</v>
      </c>
      <c r="S40" s="706">
        <f t="shared" si="12"/>
        <v>100</v>
      </c>
      <c r="T40" s="705" t="s">
        <v>18</v>
      </c>
      <c r="U40" s="706">
        <f t="shared" si="13"/>
        <v>100</v>
      </c>
      <c r="V40" s="705" t="s">
        <v>18</v>
      </c>
      <c r="W40" s="706">
        <f t="shared" si="14"/>
        <v>100</v>
      </c>
      <c r="X40" s="1355"/>
      <c r="Y40" s="3719"/>
      <c r="Z40" s="1356" t="str">
        <f t="shared" si="18"/>
        <v>房型</v>
      </c>
      <c r="AA40" s="1353">
        <f t="shared" si="15"/>
        <v>1</v>
      </c>
      <c r="AB40" s="1353">
        <f t="shared" si="16"/>
        <v>1</v>
      </c>
      <c r="AC40" s="1353">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17"/>
      <c r="Q41" s="707" t="str">
        <f t="shared" si="11"/>
        <v>单套/主力户型建筑面积</v>
      </c>
      <c r="R41" s="708" t="s">
        <v>18</v>
      </c>
      <c r="S41" s="709">
        <f t="shared" si="12"/>
        <v>100</v>
      </c>
      <c r="T41" s="708" t="s">
        <v>18</v>
      </c>
      <c r="U41" s="709">
        <f t="shared" si="13"/>
        <v>100</v>
      </c>
      <c r="V41" s="708" t="s">
        <v>18</v>
      </c>
      <c r="W41" s="709">
        <f t="shared" si="14"/>
        <v>100</v>
      </c>
      <c r="X41" s="710"/>
      <c r="Y41" s="3719"/>
      <c r="Z41" s="711" t="str">
        <f t="shared" si="18"/>
        <v>单套/主力户型建筑面积</v>
      </c>
      <c r="AA41" s="1353">
        <f t="shared" si="15"/>
        <v>1</v>
      </c>
      <c r="AB41" s="1353">
        <f t="shared" si="16"/>
        <v>1</v>
      </c>
      <c r="AC41" s="1353">
        <f t="shared" si="17"/>
        <v>1</v>
      </c>
    </row>
    <row r="42" spans="1:29" ht="15">
      <c r="A42" s="423"/>
      <c r="B42" s="375" t="s">
        <v>1706</v>
      </c>
      <c r="C42" s="1906" t="s">
        <v>3401</v>
      </c>
      <c r="D42" s="386">
        <v>100</v>
      </c>
      <c r="E42" s="1907" t="s">
        <v>3401</v>
      </c>
      <c r="F42" s="412">
        <f>SUMIF(122:122,E42,123:123)-SUMIF(122:122,C42,123:123)+100</f>
        <v>100</v>
      </c>
      <c r="G42" s="1906" t="s">
        <v>3401</v>
      </c>
      <c r="H42" s="386">
        <f>SUMIF(122:122,G42,123:123)-SUMIF(122:122,C42,123:123)+100</f>
        <v>100</v>
      </c>
      <c r="I42" s="1907" t="s">
        <v>3401</v>
      </c>
      <c r="J42" s="386">
        <f>SUMIF(122:122,I42,123:123)-SUMIF(122:122,C42,123:123)+100</f>
        <v>100</v>
      </c>
      <c r="K42" s="377"/>
      <c r="L42" s="2721"/>
      <c r="M42" s="2715"/>
      <c r="N42" s="2715"/>
      <c r="O42" s="2715"/>
      <c r="P42" s="3717"/>
      <c r="Q42" s="1352" t="str">
        <f t="shared" si="11"/>
        <v>内部装修</v>
      </c>
      <c r="R42" s="705" t="s">
        <v>18</v>
      </c>
      <c r="S42" s="706">
        <f t="shared" si="12"/>
        <v>100</v>
      </c>
      <c r="T42" s="705" t="s">
        <v>18</v>
      </c>
      <c r="U42" s="706">
        <f t="shared" si="13"/>
        <v>100</v>
      </c>
      <c r="V42" s="705" t="s">
        <v>18</v>
      </c>
      <c r="W42" s="706">
        <f t="shared" si="14"/>
        <v>100</v>
      </c>
      <c r="X42" s="1355"/>
      <c r="Y42" s="3719"/>
      <c r="Z42" s="1356" t="str">
        <f t="shared" si="18"/>
        <v>内部装修</v>
      </c>
      <c r="AA42" s="1353">
        <f t="shared" si="15"/>
        <v>1</v>
      </c>
      <c r="AB42" s="1353">
        <f t="shared" si="16"/>
        <v>1</v>
      </c>
      <c r="AC42" s="1353">
        <f t="shared" si="17"/>
        <v>1</v>
      </c>
    </row>
    <row r="43" spans="1:29" ht="15">
      <c r="A43" s="423"/>
      <c r="B43" s="375" t="s">
        <v>1707</v>
      </c>
      <c r="C43" s="1906" t="s">
        <v>3409</v>
      </c>
      <c r="D43" s="386">
        <v>100</v>
      </c>
      <c r="E43" s="1907" t="s">
        <v>3409</v>
      </c>
      <c r="F43" s="412">
        <f>SUMIF(124:124,E43,125:125)-SUMIF(124:124,C43,125:125)+100</f>
        <v>100</v>
      </c>
      <c r="G43" s="1906" t="s">
        <v>3409</v>
      </c>
      <c r="H43" s="386">
        <f>SUMIF(124:124,G43,125:125)-SUMIF(124:124,C43,125:125)+100</f>
        <v>100</v>
      </c>
      <c r="I43" s="1907" t="s">
        <v>3409</v>
      </c>
      <c r="J43" s="386">
        <f>SUMIF(124:124,I43,125:125)-SUMIF(124:124,C43,125:125)+100</f>
        <v>100</v>
      </c>
      <c r="K43" s="377"/>
      <c r="L43" s="2721"/>
      <c r="M43" s="2715"/>
      <c r="N43" s="2715"/>
      <c r="O43" s="2715"/>
      <c r="P43" s="3717"/>
      <c r="Q43" s="1352" t="str">
        <f t="shared" si="11"/>
        <v>内部装修维护情况</v>
      </c>
      <c r="R43" s="705" t="s">
        <v>18</v>
      </c>
      <c r="S43" s="706">
        <f t="shared" si="12"/>
        <v>100</v>
      </c>
      <c r="T43" s="705" t="s">
        <v>18</v>
      </c>
      <c r="U43" s="706">
        <f t="shared" si="13"/>
        <v>100</v>
      </c>
      <c r="V43" s="705" t="s">
        <v>18</v>
      </c>
      <c r="W43" s="706">
        <f t="shared" si="14"/>
        <v>100</v>
      </c>
      <c r="X43" s="1355"/>
      <c r="Y43" s="3719"/>
      <c r="Z43" s="1356" t="str">
        <f t="shared" si="18"/>
        <v>内部装修维护情况</v>
      </c>
      <c r="AA43" s="1353">
        <f t="shared" si="15"/>
        <v>1</v>
      </c>
      <c r="AB43" s="1353">
        <f t="shared" si="16"/>
        <v>1</v>
      </c>
      <c r="AC43" s="1353">
        <f t="shared" si="17"/>
        <v>1</v>
      </c>
    </row>
    <row r="44" spans="1:29" s="108" customFormat="1" ht="15">
      <c r="A44" s="424"/>
      <c r="B44" s="3449" t="s">
        <v>3390</v>
      </c>
      <c r="C44" s="420">
        <v>2015</v>
      </c>
      <c r="D44" s="127">
        <v>100</v>
      </c>
      <c r="E44" s="420">
        <f>C44</f>
        <v>2015</v>
      </c>
      <c r="F44" s="376">
        <f>SUMIF(126:126,E44,127:127)-SUMIF(126:126,C44,127:127)+100</f>
        <v>100</v>
      </c>
      <c r="G44" s="420">
        <f>C44</f>
        <v>2015</v>
      </c>
      <c r="H44" s="127">
        <f>SUMIF(126:126,G44,127:127)-SUMIF(126:126,C44,127:127)+100</f>
        <v>100</v>
      </c>
      <c r="I44" s="420">
        <f>C44</f>
        <v>2015</v>
      </c>
      <c r="J44" s="127">
        <f>SUMIF(126:126,I44,127:127)-SUMIF(126:126,C44,127:127)+100</f>
        <v>100</v>
      </c>
      <c r="K44" s="1894"/>
      <c r="L44" s="2716"/>
      <c r="M44" s="2717"/>
      <c r="N44" s="2717"/>
      <c r="O44" s="2717"/>
      <c r="P44" s="3717"/>
      <c r="Q44" s="1343" t="str">
        <f t="shared" si="11"/>
        <v>建成年代</v>
      </c>
      <c r="R44" s="701" t="s">
        <v>18</v>
      </c>
      <c r="S44" s="702">
        <f t="shared" si="12"/>
        <v>100</v>
      </c>
      <c r="T44" s="701" t="s">
        <v>18</v>
      </c>
      <c r="U44" s="702">
        <f t="shared" si="13"/>
        <v>100</v>
      </c>
      <c r="V44" s="701" t="s">
        <v>18</v>
      </c>
      <c r="W44" s="702">
        <f t="shared" si="14"/>
        <v>100</v>
      </c>
      <c r="X44" s="703"/>
      <c r="Y44" s="3719"/>
      <c r="Z44" s="52" t="str">
        <f t="shared" si="18"/>
        <v>建成年代</v>
      </c>
      <c r="AA44" s="704">
        <f t="shared" si="15"/>
        <v>1</v>
      </c>
      <c r="AB44" s="704">
        <f t="shared" si="16"/>
        <v>1</v>
      </c>
      <c r="AC44" s="704">
        <f t="shared" si="17"/>
        <v>1</v>
      </c>
    </row>
    <row r="45" spans="1:29" ht="15.75" thickBot="1">
      <c r="A45" s="423"/>
      <c r="B45" s="3449"/>
      <c r="C45" s="3455"/>
      <c r="D45" s="386">
        <v>100</v>
      </c>
      <c r="E45" s="3455"/>
      <c r="F45" s="412">
        <f>SUMIF(128:128,E45,129:129)-SUMIF(128:128,C45,129:129)+100</f>
        <v>100</v>
      </c>
      <c r="G45" s="3455"/>
      <c r="H45" s="386">
        <f>SUMIF(128:128,G45,129:129)-SUMIF(128:128,C45,129:129)+100</f>
        <v>100</v>
      </c>
      <c r="I45" s="3455"/>
      <c r="J45" s="386">
        <f>SUMIF(128:128,I45,129:129)-SUMIF(128:128,C45,129:129)+100</f>
        <v>100</v>
      </c>
      <c r="K45" s="1894"/>
      <c r="L45" s="2721"/>
      <c r="M45" s="2715"/>
      <c r="N45" s="2715"/>
      <c r="O45" s="2715"/>
      <c r="P45" s="3717"/>
      <c r="Q45" s="1352">
        <f t="shared" si="11"/>
        <v>0</v>
      </c>
      <c r="R45" s="705" t="s">
        <v>18</v>
      </c>
      <c r="S45" s="706">
        <f t="shared" si="12"/>
        <v>100</v>
      </c>
      <c r="T45" s="705" t="s">
        <v>18</v>
      </c>
      <c r="U45" s="706">
        <f t="shared" si="13"/>
        <v>100</v>
      </c>
      <c r="V45" s="705" t="s">
        <v>18</v>
      </c>
      <c r="W45" s="706">
        <f t="shared" si="14"/>
        <v>100</v>
      </c>
      <c r="X45" s="1355"/>
      <c r="Y45" s="3719"/>
      <c r="Z45" s="1356">
        <f t="shared" si="18"/>
        <v>0</v>
      </c>
      <c r="AA45" s="1353">
        <f t="shared" si="15"/>
        <v>1</v>
      </c>
      <c r="AB45" s="1353">
        <f t="shared" si="16"/>
        <v>1</v>
      </c>
      <c r="AC45" s="1353">
        <f t="shared" si="17"/>
        <v>1</v>
      </c>
    </row>
    <row r="46" spans="1:29" ht="15.75"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18"/>
      <c r="Q46" s="1352">
        <f t="shared" si="11"/>
        <v>111</v>
      </c>
      <c r="R46" s="705" t="s">
        <v>17</v>
      </c>
      <c r="S46" s="706">
        <f t="shared" si="12"/>
        <v>100</v>
      </c>
      <c r="T46" s="705" t="s">
        <v>17</v>
      </c>
      <c r="U46" s="706">
        <f t="shared" si="13"/>
        <v>100</v>
      </c>
      <c r="V46" s="705" t="s">
        <v>17</v>
      </c>
      <c r="W46" s="706">
        <f t="shared" si="14"/>
        <v>100</v>
      </c>
      <c r="X46" s="1355"/>
      <c r="Y46" s="3720"/>
      <c r="Z46" s="1356">
        <f t="shared" si="18"/>
        <v>111</v>
      </c>
      <c r="AA46" s="1353">
        <f t="shared" si="15"/>
        <v>1</v>
      </c>
      <c r="AB46" s="1353">
        <f t="shared" si="16"/>
        <v>1</v>
      </c>
      <c r="AC46" s="1353">
        <f t="shared" si="17"/>
        <v>1</v>
      </c>
    </row>
    <row r="47" spans="1:29" ht="15">
      <c r="A47" s="430" t="s">
        <v>1708</v>
      </c>
      <c r="B47" s="431"/>
      <c r="C47" s="1154" t="s">
        <v>16</v>
      </c>
      <c r="D47" s="1155"/>
      <c r="E47" s="1156">
        <v>43308</v>
      </c>
      <c r="F47" s="1157"/>
      <c r="G47" s="1158">
        <v>44151</v>
      </c>
      <c r="H47" s="1159"/>
      <c r="I47" s="1156">
        <v>42846</v>
      </c>
      <c r="J47" s="1159"/>
      <c r="K47" s="1914"/>
      <c r="L47" s="2723"/>
      <c r="M47" s="2724"/>
      <c r="N47" s="2715"/>
      <c r="O47" s="2724"/>
      <c r="P47" s="3712" t="str">
        <f>A47</f>
        <v>成交单价（元/平方米）</v>
      </c>
      <c r="Q47" s="3712"/>
      <c r="R47" s="3713">
        <f>E47</f>
        <v>43308</v>
      </c>
      <c r="S47" s="3713"/>
      <c r="T47" s="3713">
        <f>G47</f>
        <v>44151</v>
      </c>
      <c r="U47" s="3713"/>
      <c r="V47" s="3713">
        <f>I47</f>
        <v>42846</v>
      </c>
      <c r="W47" s="3713"/>
      <c r="X47" s="690"/>
      <c r="Y47" s="712"/>
      <c r="Z47" s="690"/>
      <c r="AA47" s="690"/>
      <c r="AB47" s="690"/>
      <c r="AC47" s="690"/>
    </row>
    <row r="48" spans="1:29" ht="15.75" thickBot="1">
      <c r="A48" s="437" t="s">
        <v>1709</v>
      </c>
      <c r="B48" s="438"/>
      <c r="C48" s="1160">
        <f>R49</f>
        <v>44036</v>
      </c>
      <c r="D48" s="2317" t="s">
        <v>2137</v>
      </c>
      <c r="E48" s="1161">
        <f>R48</f>
        <v>44192</v>
      </c>
      <c r="F48" s="2318"/>
      <c r="G48" s="1160">
        <f>T48</f>
        <v>45052</v>
      </c>
      <c r="H48" s="2318"/>
      <c r="I48" s="1161">
        <f>V48</f>
        <v>42863</v>
      </c>
      <c r="J48" s="2318"/>
      <c r="K48" s="2319">
        <f>F48+H48+J48</f>
        <v>0</v>
      </c>
      <c r="L48" s="2723"/>
      <c r="M48" s="2724"/>
      <c r="N48" s="2724"/>
      <c r="O48" s="2724"/>
      <c r="P48" s="3712" t="str">
        <f>A48</f>
        <v>比较价值（元/平方米）</v>
      </c>
      <c r="Q48" s="3712"/>
      <c r="R48" s="3713">
        <f>IF(F1="售价",ROUND(PRODUCT(R47,AA7:AA46),0),ROUND(PRODUCT(R47,AA7:AA46),1))</f>
        <v>44192</v>
      </c>
      <c r="S48" s="3713"/>
      <c r="T48" s="3713">
        <f>IF(F1="售价",ROUND(PRODUCT(T47,AB7:AB46),0),ROUND(PRODUCT(T47,AB7:AB46),1))</f>
        <v>45052</v>
      </c>
      <c r="U48" s="3713"/>
      <c r="V48" s="3713">
        <f>IF(F1="售价",ROUND(PRODUCT(V47,AC7:AC46),0),ROUND(PRODUCT(V47,AC7:AC46),1))</f>
        <v>42863</v>
      </c>
      <c r="W48" s="3713"/>
      <c r="X48" s="690"/>
      <c r="Y48" s="690"/>
      <c r="Z48" s="690"/>
      <c r="AA48" s="690"/>
      <c r="AB48" s="690"/>
      <c r="AC48" s="690"/>
    </row>
    <row r="49" spans="1:29" ht="15.75" thickBot="1">
      <c r="A49" s="3461" t="s">
        <v>3441</v>
      </c>
      <c r="B49" s="442"/>
      <c r="C49" s="1162">
        <f>R49</f>
        <v>44036</v>
      </c>
      <c r="D49" s="1163"/>
      <c r="E49" s="1163"/>
      <c r="F49" s="1163"/>
      <c r="G49" s="1163"/>
      <c r="H49" s="1163"/>
      <c r="I49" s="1163"/>
      <c r="J49" s="1163"/>
      <c r="K49" s="1915"/>
      <c r="L49" s="2723"/>
      <c r="M49" s="2724"/>
      <c r="N49" s="2724"/>
      <c r="O49" s="2724"/>
      <c r="P49" s="3709" t="str">
        <f>A49</f>
        <v>估价对象住宅用房的比较价值（楼面单价，元/平方米）</v>
      </c>
      <c r="Q49" s="3710"/>
      <c r="R49" s="3711">
        <f>IF(F1="售价",ROUND(IF(D48="简单平均",AVERAGE(R48:V48),R48*F48+T48*H48+V48*J48),0),ROUND(IF(D48="简单平均",AVERAGE(R48:V48),R48*F48+T48*H48+V48*J48),1))</f>
        <v>44036</v>
      </c>
      <c r="S49" s="3711"/>
      <c r="T49" s="3711"/>
      <c r="U49" s="3711"/>
      <c r="V49" s="3711"/>
      <c r="W49" s="3711"/>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1710</v>
      </c>
      <c r="D52" s="447"/>
      <c r="E52" s="448">
        <f>IF(E47&lt;E48,E48/E47-1,E47/E48-1)</f>
        <v>2.0411933130137561E-2</v>
      </c>
      <c r="F52" s="449" t="str">
        <f>IF(OR(E52&gt;=0.3,E52&lt;=-0.3),"超过30%","")</f>
        <v/>
      </c>
      <c r="G52" s="448">
        <f>IF(G47&lt;G48,G48/G47-1,G47/G48-1)</f>
        <v>2.0407238794138305E-2</v>
      </c>
      <c r="H52" s="449" t="str">
        <f>IF(OR(G52&gt;=0.3,G52&lt;=-0.3),"超过30%","")</f>
        <v/>
      </c>
      <c r="I52" s="448">
        <f>IF(I47&lt;I48,I48/I47-1,I47/I48-1)</f>
        <v>3.9676982682168571E-4</v>
      </c>
      <c r="J52" s="449" t="str">
        <f>IF(OR(I52&gt;=0.3,I52&lt;=-0.3),"超过30%","")</f>
        <v/>
      </c>
      <c r="K52" s="2729"/>
      <c r="L52" s="2725"/>
      <c r="M52" s="2724"/>
      <c r="N52" s="2724"/>
      <c r="O52" s="2724"/>
    </row>
    <row r="53" spans="1:29" ht="13.5" customHeight="1">
      <c r="A53" s="2724"/>
      <c r="B53" s="2724"/>
      <c r="C53" s="446" t="s">
        <v>1711</v>
      </c>
      <c r="D53" s="450"/>
      <c r="E53" s="448">
        <f>IF(E48&lt;G48,G48/E48-1,E48/G48-1)</f>
        <v>1.9460535843591531E-2</v>
      </c>
      <c r="F53" s="449" t="str">
        <f>IF(OR(E53&gt;=0.2,E53&lt;=-0.2),"超过20%","")</f>
        <v/>
      </c>
      <c r="G53" s="448">
        <f>IF(G48&lt;I48,I48/G48-1,G48/I48-1)</f>
        <v>5.106968714275717E-2</v>
      </c>
      <c r="H53" s="449" t="str">
        <f>IF(OR(G53&gt;=0.2,G53&lt;=-0.2),"超过20%","")</f>
        <v/>
      </c>
      <c r="I53" s="448">
        <f>IF(I48&lt;E48,E48/I48-1,I48/E48-1)</f>
        <v>3.1005762545785354E-2</v>
      </c>
      <c r="J53" s="449" t="str">
        <f>IF(OR(I53&gt;=0.2,I53&lt;=-0.2),"超过20%","")</f>
        <v/>
      </c>
      <c r="K53" s="2729"/>
      <c r="L53" s="2725"/>
      <c r="M53" s="2724"/>
      <c r="N53" s="2724"/>
      <c r="O53" s="2724"/>
    </row>
    <row r="54" spans="1:29" s="451" customFormat="1" ht="13.5" customHeight="1">
      <c r="A54" s="2727"/>
      <c r="B54" s="2727"/>
      <c r="C54" s="446" t="s">
        <v>1712</v>
      </c>
      <c r="D54" s="450"/>
      <c r="E54" s="448">
        <f>IF(E47&lt;G47,G47/E47-1,E47/G47-1)</f>
        <v>1.946522582432797E-2</v>
      </c>
      <c r="F54" s="449" t="str">
        <f>IF(OR(E54&gt;=0.3,E54&lt;=-0.3),"超过30%","")</f>
        <v/>
      </c>
      <c r="G54" s="448">
        <f>IF(G47&lt;I47,I47/G47-1,G47/I47-1)</f>
        <v>3.0457919058955341E-2</v>
      </c>
      <c r="H54" s="449" t="str">
        <f>IF(OR(G54&gt;=0.3,G54&lt;=-0.3),"超过30%","")</f>
        <v/>
      </c>
      <c r="I54" s="448">
        <f>IF(I47&lt;E47,E47/I47-1,I47/E47-1)</f>
        <v>1.0782803528917473E-2</v>
      </c>
      <c r="J54" s="449" t="str">
        <f>IF(OR(I54&gt;=0.3,I54&lt;=-0.3),"超过30%","")</f>
        <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2023-10</v>
      </c>
      <c r="D58" s="1185">
        <f>EDATE(C58,-1)</f>
        <v>45170</v>
      </c>
      <c r="E58" s="1185">
        <f>EDATE(D58,-1)</f>
        <v>45139</v>
      </c>
      <c r="F58" s="1185">
        <f t="shared" ref="F58:O58" si="19">EDATE(E58,-1)</f>
        <v>45108</v>
      </c>
      <c r="G58" s="1185">
        <f t="shared" si="19"/>
        <v>45078</v>
      </c>
      <c r="H58" s="1185">
        <f t="shared" si="19"/>
        <v>45047</v>
      </c>
      <c r="I58" s="1185">
        <f t="shared" si="19"/>
        <v>45017</v>
      </c>
      <c r="J58" s="1185">
        <f t="shared" si="19"/>
        <v>44986</v>
      </c>
      <c r="K58" s="1185">
        <f t="shared" si="19"/>
        <v>44958</v>
      </c>
      <c r="L58" s="1185">
        <f t="shared" si="19"/>
        <v>44927</v>
      </c>
      <c r="M58" s="1185">
        <f t="shared" si="19"/>
        <v>44896</v>
      </c>
      <c r="N58" s="1185">
        <f t="shared" si="19"/>
        <v>44866</v>
      </c>
      <c r="O58" s="1185">
        <f t="shared" si="19"/>
        <v>44835</v>
      </c>
      <c r="P58" s="1181"/>
    </row>
    <row r="59" spans="1:29" s="108" customFormat="1" ht="15">
      <c r="A59" s="458"/>
      <c r="B59" s="1919"/>
      <c r="C59" s="1183">
        <v>100</v>
      </c>
      <c r="D59" s="460">
        <v>100</v>
      </c>
      <c r="E59" s="461">
        <f>D59</f>
        <v>100</v>
      </c>
      <c r="F59" s="461">
        <f>D59</f>
        <v>100</v>
      </c>
      <c r="G59" s="461">
        <v>99.5</v>
      </c>
      <c r="H59" s="461">
        <v>100</v>
      </c>
      <c r="I59" s="461">
        <f>G59</f>
        <v>99.5</v>
      </c>
      <c r="J59" s="461">
        <v>100</v>
      </c>
      <c r="K59" s="461">
        <f>J59</f>
        <v>100</v>
      </c>
      <c r="L59" s="461">
        <f>J59</f>
        <v>100</v>
      </c>
      <c r="M59" s="462">
        <v>98.5</v>
      </c>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1685</v>
      </c>
      <c r="C63" s="478" t="str">
        <f>C9</f>
        <v>住宅</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1</v>
      </c>
      <c r="D68" s="498">
        <v>3</v>
      </c>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3451" t="s">
        <v>3395</v>
      </c>
      <c r="D88" s="3451" t="s">
        <v>3396</v>
      </c>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4"/>
      <c r="O89" s="934"/>
      <c r="P89" s="1922"/>
      <c r="Q89" s="453"/>
    </row>
    <row r="90" spans="1:17" s="422" customFormat="1" ht="28.5" thickTop="1">
      <c r="A90" s="502"/>
      <c r="B90" s="487" t="str">
        <f>B27</f>
        <v>楼层</v>
      </c>
      <c r="C90" s="3448" t="s">
        <v>3436</v>
      </c>
      <c r="D90" s="503" t="s">
        <v>3437</v>
      </c>
      <c r="E90" s="503" t="s">
        <v>3438</v>
      </c>
      <c r="F90" s="503" t="s">
        <v>3439</v>
      </c>
      <c r="G90" s="503"/>
      <c r="H90" s="504"/>
      <c r="I90" s="504"/>
      <c r="J90" s="504"/>
      <c r="K90" s="504"/>
      <c r="L90" s="505"/>
      <c r="M90" s="506"/>
      <c r="N90" s="935"/>
      <c r="O90" s="935"/>
      <c r="P90" s="1923"/>
      <c r="Q90" s="508"/>
    </row>
    <row r="91" spans="1:17" s="422" customFormat="1" ht="15.75" thickBot="1">
      <c r="A91" s="502"/>
      <c r="B91" s="492"/>
      <c r="C91" s="509">
        <v>100</v>
      </c>
      <c r="D91" s="509">
        <v>98</v>
      </c>
      <c r="E91" s="509">
        <v>98</v>
      </c>
      <c r="F91" s="509">
        <v>100</v>
      </c>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1735</v>
      </c>
      <c r="C100" s="3453" t="s">
        <v>3410</v>
      </c>
      <c r="D100" s="3453" t="s">
        <v>3398</v>
      </c>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95</v>
      </c>
      <c r="E101" s="493">
        <f t="shared" si="25"/>
        <v>90</v>
      </c>
      <c r="F101" s="493">
        <f t="shared" si="25"/>
        <v>85</v>
      </c>
      <c r="G101" s="493">
        <f t="shared" si="25"/>
        <v>80</v>
      </c>
      <c r="H101" s="493">
        <f t="shared" si="25"/>
        <v>75</v>
      </c>
      <c r="I101" s="493">
        <f t="shared" si="25"/>
        <v>70</v>
      </c>
      <c r="J101" s="493">
        <f t="shared" si="25"/>
        <v>65</v>
      </c>
      <c r="K101" s="493">
        <f t="shared" si="25"/>
        <v>60</v>
      </c>
      <c r="L101" s="493">
        <f t="shared" si="25"/>
        <v>55</v>
      </c>
      <c r="M101" s="493">
        <f t="shared" si="25"/>
        <v>50</v>
      </c>
      <c r="N101" s="934"/>
      <c r="O101" s="934"/>
      <c r="P101" s="1922"/>
      <c r="Q101" s="453"/>
    </row>
    <row r="102" spans="1:17" ht="15.75" thickTop="1">
      <c r="A102" s="483"/>
      <c r="B102" s="487" t="s">
        <v>1736</v>
      </c>
      <c r="C102" s="527" t="str">
        <f>C103&amp;"(含)"&amp;"-"&amp;D103</f>
        <v>0(含)-90</v>
      </c>
      <c r="D102" s="527" t="str">
        <f t="shared" ref="D102:L102" si="26">D103&amp;"(含)"&amp;"-"&amp;E103</f>
        <v>90(含)-120</v>
      </c>
      <c r="E102" s="527" t="str">
        <f t="shared" si="26"/>
        <v>120(含)-150</v>
      </c>
      <c r="F102" s="527" t="str">
        <f t="shared" si="26"/>
        <v>150(含)-180</v>
      </c>
      <c r="G102" s="527" t="str">
        <f t="shared" si="26"/>
        <v>180(含)-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90</v>
      </c>
      <c r="E103" s="544">
        <v>120</v>
      </c>
      <c r="F103" s="544">
        <v>150</v>
      </c>
      <c r="G103" s="544">
        <v>180</v>
      </c>
      <c r="H103" s="544"/>
      <c r="I103" s="544"/>
      <c r="J103" s="545"/>
      <c r="K103" s="545"/>
      <c r="L103" s="546"/>
      <c r="M103" s="547"/>
      <c r="N103" s="935"/>
      <c r="O103" s="935"/>
      <c r="P103" s="1923"/>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3"/>
      <c r="Q104" s="508"/>
    </row>
    <row r="105" spans="1:17" ht="15" thickTop="1">
      <c r="A105" s="548"/>
      <c r="B105" s="487" t="s">
        <v>1737</v>
      </c>
      <c r="C105" s="3451" t="s">
        <v>3400</v>
      </c>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3451" t="s">
        <v>3402</v>
      </c>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3451" t="s">
        <v>3404</v>
      </c>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3451" t="s">
        <v>3406</v>
      </c>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3454" t="s">
        <v>3408</v>
      </c>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3451" t="s">
        <v>3402</v>
      </c>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t="str">
        <f>B44</f>
        <v>建成年代</v>
      </c>
      <c r="C126" s="503">
        <v>2020</v>
      </c>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v>100</v>
      </c>
      <c r="D127" s="485"/>
      <c r="E127" s="485"/>
      <c r="F127" s="485"/>
      <c r="G127" s="509"/>
      <c r="H127" s="511"/>
      <c r="I127" s="511"/>
      <c r="J127" s="511"/>
      <c r="K127" s="511"/>
      <c r="L127" s="511"/>
      <c r="M127" s="512"/>
      <c r="N127" s="935"/>
      <c r="O127" s="935"/>
      <c r="P127" s="1923"/>
      <c r="Q127" s="508"/>
    </row>
    <row r="128" spans="1:17" ht="15" thickTop="1">
      <c r="A128" s="548"/>
      <c r="B128" s="487">
        <f>B45</f>
        <v>0</v>
      </c>
      <c r="C128" s="3455" t="s">
        <v>3411</v>
      </c>
      <c r="D128" s="3455" t="s">
        <v>3412</v>
      </c>
      <c r="E128" s="503"/>
      <c r="F128" s="503"/>
      <c r="G128" s="532"/>
      <c r="H128" s="532"/>
      <c r="I128" s="532"/>
      <c r="J128" s="532"/>
      <c r="K128" s="533"/>
      <c r="L128" s="534"/>
      <c r="M128" s="535"/>
      <c r="N128" s="933"/>
      <c r="O128" s="933"/>
      <c r="P128" s="1922"/>
      <c r="Q128" s="453"/>
    </row>
    <row r="129" spans="1:17" ht="15.75" thickBot="1">
      <c r="A129" s="483"/>
      <c r="B129" s="492"/>
      <c r="C129" s="509">
        <v>100</v>
      </c>
      <c r="D129" s="509">
        <v>99</v>
      </c>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H7:H46 F7:F46 J7:J46">
    <cfRule type="cellIs" dxfId="140"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1765</v>
      </c>
      <c r="C1" s="1238" t="s">
        <v>1662</v>
      </c>
      <c r="D1" s="1225"/>
      <c r="E1" s="3425"/>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1767</v>
      </c>
      <c r="D3" s="353">
        <f>IF(D1="",'数据-汇总表'!E3,SUMIF('数据-汇总表'!$C19:$C33,D1,'数据-汇总表'!$E19:$E33))</f>
        <v>72.16</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1768</v>
      </c>
      <c r="B4" s="356"/>
      <c r="C4" s="3694" t="s">
        <v>1769</v>
      </c>
      <c r="D4" s="3695"/>
      <c r="E4" s="3696" t="s">
        <v>1770</v>
      </c>
      <c r="F4" s="3697"/>
      <c r="G4" s="3694" t="s">
        <v>1771</v>
      </c>
      <c r="H4" s="3695"/>
      <c r="I4" s="3694" t="s">
        <v>1772</v>
      </c>
      <c r="J4" s="3695"/>
      <c r="K4" s="559" t="s">
        <v>1773</v>
      </c>
      <c r="L4" s="2714"/>
      <c r="M4" s="2715"/>
      <c r="N4" s="2715"/>
      <c r="O4" s="2715"/>
      <c r="P4" s="3698" t="s">
        <v>1774</v>
      </c>
      <c r="Q4" s="3699"/>
      <c r="R4" s="3681" t="s">
        <v>1770</v>
      </c>
      <c r="S4" s="3682"/>
      <c r="T4" s="3681" t="s">
        <v>1771</v>
      </c>
      <c r="U4" s="3682"/>
      <c r="V4" s="3706" t="s">
        <v>1772</v>
      </c>
      <c r="W4" s="3706"/>
      <c r="X4" s="1355"/>
      <c r="Y4" s="3681" t="s">
        <v>1774</v>
      </c>
      <c r="Z4" s="3682"/>
      <c r="AA4" s="3676" t="s">
        <v>1770</v>
      </c>
      <c r="AB4" s="3706" t="s">
        <v>1771</v>
      </c>
      <c r="AC4" s="3676" t="s">
        <v>1772</v>
      </c>
    </row>
    <row r="5" spans="1:29" ht="15">
      <c r="A5" s="358"/>
      <c r="B5" s="359"/>
      <c r="C5" s="3707" t="s">
        <v>1673</v>
      </c>
      <c r="D5" s="3688"/>
      <c r="E5" s="3723" t="s">
        <v>1674</v>
      </c>
      <c r="F5" s="3686"/>
      <c r="G5" s="3707" t="s">
        <v>1675</v>
      </c>
      <c r="H5" s="3688"/>
      <c r="I5" s="3707" t="s">
        <v>1676</v>
      </c>
      <c r="J5" s="3688"/>
      <c r="K5" s="559"/>
      <c r="L5" s="2714"/>
      <c r="M5" s="2715"/>
      <c r="N5" s="2715"/>
      <c r="O5" s="2715"/>
      <c r="P5" s="3700"/>
      <c r="Q5" s="3701"/>
      <c r="R5" s="3683"/>
      <c r="S5" s="3684"/>
      <c r="T5" s="3683"/>
      <c r="U5" s="3684"/>
      <c r="V5" s="3706"/>
      <c r="W5" s="3706"/>
      <c r="X5" s="1355"/>
      <c r="Y5" s="3683"/>
      <c r="Z5" s="3684"/>
      <c r="AA5" s="3677"/>
      <c r="AB5" s="3706"/>
      <c r="AC5" s="3677"/>
    </row>
    <row r="6" spans="1:29" ht="15.75" thickBot="1">
      <c r="A6" s="360"/>
      <c r="B6" s="361"/>
      <c r="C6" s="3689" t="s">
        <v>1677</v>
      </c>
      <c r="D6" s="3690"/>
      <c r="E6" s="3691" t="s">
        <v>1677</v>
      </c>
      <c r="F6" s="3692"/>
      <c r="G6" s="3689" t="s">
        <v>1677</v>
      </c>
      <c r="H6" s="3690"/>
      <c r="I6" s="3689" t="s">
        <v>1677</v>
      </c>
      <c r="J6" s="3690"/>
      <c r="K6" s="559" t="s">
        <v>1678</v>
      </c>
      <c r="L6" s="2714"/>
      <c r="M6" s="2715"/>
      <c r="N6" s="2715"/>
      <c r="O6" s="2715"/>
      <c r="P6" s="3702"/>
      <c r="Q6" s="3703"/>
      <c r="R6" s="3683"/>
      <c r="S6" s="3684"/>
      <c r="T6" s="3704"/>
      <c r="U6" s="3705"/>
      <c r="V6" s="3706"/>
      <c r="W6" s="3706"/>
      <c r="X6" s="1355"/>
      <c r="Y6" s="3704"/>
      <c r="Z6" s="3705"/>
      <c r="AA6" s="3678"/>
      <c r="AB6" s="3706"/>
      <c r="AC6" s="3678"/>
    </row>
    <row r="7" spans="1:29" s="108" customFormat="1" ht="15.75" thickBot="1">
      <c r="A7" s="362" t="s">
        <v>1679</v>
      </c>
      <c r="B7" s="363"/>
      <c r="C7" s="364">
        <f>'数据-取费表'!B2</f>
        <v>45214</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79" t="s">
        <v>1680</v>
      </c>
      <c r="Q7" s="3708"/>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79" t="s">
        <v>1683</v>
      </c>
      <c r="Q8" s="3680"/>
      <c r="R8" s="701" t="s">
        <v>14</v>
      </c>
      <c r="S8" s="702">
        <f t="shared" si="0"/>
        <v>100</v>
      </c>
      <c r="T8" s="701" t="s">
        <v>14</v>
      </c>
      <c r="U8" s="702">
        <f t="shared" si="1"/>
        <v>100</v>
      </c>
      <c r="V8" s="701" t="s">
        <v>14</v>
      </c>
      <c r="W8" s="702">
        <f t="shared" si="2"/>
        <v>100</v>
      </c>
      <c r="X8" s="703"/>
      <c r="Y8" s="3679" t="s">
        <v>1683</v>
      </c>
      <c r="Z8" s="368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93"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3"/>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93"/>
      <c r="Q11" s="1343" t="str">
        <f t="shared" si="6"/>
        <v>容积率</v>
      </c>
      <c r="R11" s="701" t="s">
        <v>14</v>
      </c>
      <c r="S11" s="702" t="e">
        <f t="shared" si="0"/>
        <v>#N/A</v>
      </c>
      <c r="T11" s="701" t="s">
        <v>14</v>
      </c>
      <c r="U11" s="702" t="e">
        <f t="shared" si="1"/>
        <v>#N/A</v>
      </c>
      <c r="V11" s="701" t="s">
        <v>14</v>
      </c>
      <c r="W11" s="702" t="e">
        <f t="shared" si="2"/>
        <v>#N/A</v>
      </c>
      <c r="X11" s="703"/>
      <c r="Y11" s="362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3"/>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3"/>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3"/>
      <c r="Q14" s="1343">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704">
        <f t="shared" si="5"/>
        <v>1</v>
      </c>
    </row>
    <row r="15" spans="1:29" ht="71.25">
      <c r="A15" s="391" t="s">
        <v>1690</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21" t="s">
        <v>1691</v>
      </c>
      <c r="Q15" s="1352" t="str">
        <f t="shared" si="6"/>
        <v>商业繁华度</v>
      </c>
      <c r="R15" s="705" t="s">
        <v>14</v>
      </c>
      <c r="S15" s="706">
        <f t="shared" si="0"/>
        <v>100</v>
      </c>
      <c r="T15" s="705" t="s">
        <v>14</v>
      </c>
      <c r="U15" s="706">
        <f t="shared" si="1"/>
        <v>100</v>
      </c>
      <c r="V15" s="705" t="s">
        <v>14</v>
      </c>
      <c r="W15" s="706">
        <f t="shared" si="2"/>
        <v>100</v>
      </c>
      <c r="X15" s="1355"/>
      <c r="Y15" s="371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22"/>
      <c r="Q16" s="1352"/>
      <c r="R16" s="705"/>
      <c r="S16" s="706"/>
      <c r="T16" s="705"/>
      <c r="U16" s="706"/>
      <c r="V16" s="705"/>
      <c r="W16" s="706"/>
      <c r="X16" s="1355"/>
      <c r="Y16" s="3715"/>
      <c r="Z16" s="1356"/>
      <c r="AA16" s="1353">
        <v>1</v>
      </c>
      <c r="AB16" s="1353">
        <v>1</v>
      </c>
      <c r="AC16" s="1353">
        <v>1</v>
      </c>
    </row>
    <row r="17" spans="1:29" ht="142.5">
      <c r="A17" s="379"/>
      <c r="B17" s="402" t="s">
        <v>1259</v>
      </c>
      <c r="C17" s="1900" t="str">
        <f>估价对象房地状况!C6</f>
        <v>估价对象紧邻城市支路——天达路，有专171路、411路等多条公共交通线路，距离最近的地铁7号线（郎辛庄站）约0.8公里，综合评价交通便捷度一般</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22"/>
      <c r="Q17" s="1352" t="str">
        <f>B17</f>
        <v>交通便捷度</v>
      </c>
      <c r="R17" s="705" t="s">
        <v>14</v>
      </c>
      <c r="S17" s="706">
        <f>F17</f>
        <v>100</v>
      </c>
      <c r="T17" s="705" t="s">
        <v>14</v>
      </c>
      <c r="U17" s="706">
        <f>H17</f>
        <v>100</v>
      </c>
      <c r="V17" s="705" t="s">
        <v>14</v>
      </c>
      <c r="W17" s="706">
        <f>J17</f>
        <v>100</v>
      </c>
      <c r="X17" s="1355"/>
      <c r="Y17" s="371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22"/>
      <c r="Q18" s="1352"/>
      <c r="R18" s="705"/>
      <c r="S18" s="706"/>
      <c r="T18" s="705"/>
      <c r="U18" s="706"/>
      <c r="V18" s="705"/>
      <c r="W18" s="706"/>
      <c r="X18" s="1355"/>
      <c r="Y18" s="3715"/>
      <c r="Z18" s="1356"/>
      <c r="AA18" s="1353">
        <v>1</v>
      </c>
      <c r="AB18" s="1353">
        <v>1</v>
      </c>
      <c r="AC18" s="1353">
        <v>1</v>
      </c>
    </row>
    <row r="19" spans="1:29" ht="42.75">
      <c r="A19" s="379"/>
      <c r="B19" s="402" t="s">
        <v>1777</v>
      </c>
      <c r="C19" s="1900" t="str">
        <f>估价对象房地状况!C7</f>
        <v>估价对象所在区域公共配套设施齐备情况较好</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22"/>
      <c r="Q19" s="1352" t="str">
        <f>B19</f>
        <v>公共配套设施</v>
      </c>
      <c r="R19" s="705" t="s">
        <v>14</v>
      </c>
      <c r="S19" s="706">
        <f>F19</f>
        <v>100</v>
      </c>
      <c r="T19" s="705" t="s">
        <v>14</v>
      </c>
      <c r="U19" s="706">
        <f>H19</f>
        <v>100</v>
      </c>
      <c r="V19" s="705" t="s">
        <v>14</v>
      </c>
      <c r="W19" s="706">
        <f>J19</f>
        <v>100</v>
      </c>
      <c r="X19" s="1355"/>
      <c r="Y19" s="371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22"/>
      <c r="Q20" s="1352"/>
      <c r="R20" s="705"/>
      <c r="S20" s="706"/>
      <c r="T20" s="705"/>
      <c r="U20" s="706"/>
      <c r="V20" s="705"/>
      <c r="W20" s="706"/>
      <c r="X20" s="1355"/>
      <c r="Y20" s="3715"/>
      <c r="Z20" s="1356"/>
      <c r="AA20" s="1353">
        <v>1</v>
      </c>
      <c r="AB20" s="1353">
        <v>1</v>
      </c>
      <c r="AC20" s="1353">
        <v>1</v>
      </c>
    </row>
    <row r="21" spans="1:29" ht="15">
      <c r="A21" s="379"/>
      <c r="B21" s="1131" t="s">
        <v>1778</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22"/>
      <c r="Q21" s="1352" t="str">
        <f>B21</f>
        <v>基础设施水平</v>
      </c>
      <c r="R21" s="705" t="s">
        <v>14</v>
      </c>
      <c r="S21" s="706">
        <f>F21</f>
        <v>100</v>
      </c>
      <c r="T21" s="705" t="s">
        <v>14</v>
      </c>
      <c r="U21" s="706">
        <f>H21</f>
        <v>100</v>
      </c>
      <c r="V21" s="705" t="s">
        <v>14</v>
      </c>
      <c r="W21" s="706">
        <f>J21</f>
        <v>100</v>
      </c>
      <c r="X21" s="1355"/>
      <c r="Y21" s="371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22"/>
      <c r="Q22" s="1352"/>
      <c r="R22" s="705"/>
      <c r="S22" s="706"/>
      <c r="T22" s="705"/>
      <c r="U22" s="706"/>
      <c r="V22" s="705"/>
      <c r="W22" s="706"/>
      <c r="X22" s="1355"/>
      <c r="Y22" s="3715"/>
      <c r="Z22" s="1356"/>
      <c r="AA22" s="1353">
        <v>1</v>
      </c>
      <c r="AB22" s="1353">
        <v>1</v>
      </c>
      <c r="AC22" s="1353">
        <v>1</v>
      </c>
    </row>
    <row r="23" spans="1:29" ht="85.5">
      <c r="A23" s="379"/>
      <c r="B23" s="402" t="s">
        <v>1261</v>
      </c>
      <c r="C23" s="1955" t="str">
        <f>估价对象房地状况!C9</f>
        <v>区域自然环境：西排干渠；人文环境；豆各庄乡情博物馆；综合评价环境状况一般。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22"/>
      <c r="Q23" s="1352" t="str">
        <f>B23</f>
        <v>自然及人文环境</v>
      </c>
      <c r="R23" s="705" t="s">
        <v>14</v>
      </c>
      <c r="S23" s="706">
        <f>F23</f>
        <v>100</v>
      </c>
      <c r="T23" s="705" t="s">
        <v>14</v>
      </c>
      <c r="U23" s="706">
        <f>H23</f>
        <v>100</v>
      </c>
      <c r="V23" s="705" t="s">
        <v>14</v>
      </c>
      <c r="W23" s="706">
        <f>J23</f>
        <v>100</v>
      </c>
      <c r="X23" s="1355"/>
      <c r="Y23" s="371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22"/>
      <c r="Q24" s="1352"/>
      <c r="R24" s="705"/>
      <c r="S24" s="706"/>
      <c r="T24" s="705"/>
      <c r="U24" s="706"/>
      <c r="V24" s="705"/>
      <c r="W24" s="706"/>
      <c r="X24" s="1355"/>
      <c r="Y24" s="3715"/>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22"/>
      <c r="Q25" s="1352" t="str">
        <f t="shared" ref="Q25:Q46" si="11">B25</f>
        <v>临街状况</v>
      </c>
      <c r="R25" s="705" t="s">
        <v>14</v>
      </c>
      <c r="S25" s="706">
        <f>F25</f>
        <v>100</v>
      </c>
      <c r="T25" s="705" t="s">
        <v>14</v>
      </c>
      <c r="U25" s="706">
        <f>H25</f>
        <v>100</v>
      </c>
      <c r="V25" s="705" t="s">
        <v>14</v>
      </c>
      <c r="W25" s="706">
        <f>J25</f>
        <v>100</v>
      </c>
      <c r="X25" s="1355"/>
      <c r="Y25" s="3715"/>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22"/>
      <c r="Q26" s="1352" t="str">
        <f t="shared" si="11"/>
        <v>平面位置/可视性</v>
      </c>
      <c r="R26" s="705" t="s">
        <v>14</v>
      </c>
      <c r="S26" s="706">
        <f>F26</f>
        <v>100</v>
      </c>
      <c r="T26" s="705" t="s">
        <v>14</v>
      </c>
      <c r="U26" s="706">
        <f>H26</f>
        <v>100</v>
      </c>
      <c r="V26" s="705" t="s">
        <v>14</v>
      </c>
      <c r="W26" s="706">
        <f>J26</f>
        <v>100</v>
      </c>
      <c r="X26" s="1355"/>
      <c r="Y26" s="3715"/>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22"/>
      <c r="Q27" s="1343" t="str">
        <f t="shared" si="11"/>
        <v>人流量</v>
      </c>
      <c r="R27" s="701" t="s">
        <v>14</v>
      </c>
      <c r="S27" s="702">
        <f>F27</f>
        <v>100</v>
      </c>
      <c r="T27" s="701" t="s">
        <v>14</v>
      </c>
      <c r="U27" s="702">
        <f>H27</f>
        <v>100</v>
      </c>
      <c r="V27" s="701" t="s">
        <v>14</v>
      </c>
      <c r="W27" s="702">
        <f>J27</f>
        <v>100</v>
      </c>
      <c r="X27" s="703"/>
      <c r="Y27" s="3715"/>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2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22"/>
      <c r="Q29" s="1352">
        <f t="shared" si="11"/>
        <v>111</v>
      </c>
      <c r="R29" s="705" t="s">
        <v>14</v>
      </c>
      <c r="S29" s="706">
        <f t="shared" si="12"/>
        <v>100</v>
      </c>
      <c r="T29" s="705" t="s">
        <v>14</v>
      </c>
      <c r="U29" s="706">
        <f t="shared" si="13"/>
        <v>100</v>
      </c>
      <c r="V29" s="705" t="s">
        <v>14</v>
      </c>
      <c r="W29" s="706">
        <f t="shared" si="14"/>
        <v>100</v>
      </c>
      <c r="X29" s="1355"/>
      <c r="Y29" s="371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22"/>
      <c r="Q30" s="1352">
        <f t="shared" si="11"/>
        <v>111</v>
      </c>
      <c r="R30" s="705" t="s">
        <v>14</v>
      </c>
      <c r="S30" s="706">
        <f t="shared" si="12"/>
        <v>100</v>
      </c>
      <c r="T30" s="705" t="s">
        <v>14</v>
      </c>
      <c r="U30" s="706">
        <f t="shared" si="13"/>
        <v>100</v>
      </c>
      <c r="V30" s="705" t="s">
        <v>14</v>
      </c>
      <c r="W30" s="706">
        <f t="shared" si="14"/>
        <v>100</v>
      </c>
      <c r="X30" s="1355"/>
      <c r="Y30" s="371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22"/>
      <c r="Q31" s="1352">
        <f t="shared" si="11"/>
        <v>111</v>
      </c>
      <c r="R31" s="705" t="s">
        <v>14</v>
      </c>
      <c r="S31" s="706">
        <f t="shared" si="12"/>
        <v>100</v>
      </c>
      <c r="T31" s="705" t="s">
        <v>14</v>
      </c>
      <c r="U31" s="706">
        <f t="shared" si="13"/>
        <v>100</v>
      </c>
      <c r="V31" s="705" t="s">
        <v>14</v>
      </c>
      <c r="W31" s="706">
        <f t="shared" si="14"/>
        <v>100</v>
      </c>
      <c r="X31" s="1355"/>
      <c r="Y31" s="3715"/>
      <c r="Z31" s="1356">
        <f t="shared" si="15"/>
        <v>111</v>
      </c>
      <c r="AA31" s="1353">
        <f t="shared" si="3"/>
        <v>1</v>
      </c>
      <c r="AB31" s="1353">
        <f t="shared" si="4"/>
        <v>1</v>
      </c>
      <c r="AC31" s="1353">
        <f t="shared" si="5"/>
        <v>1</v>
      </c>
    </row>
    <row r="32" spans="1:29" ht="15">
      <c r="A32" s="391" t="s">
        <v>1694</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16" t="s">
        <v>1696</v>
      </c>
      <c r="Q32" s="1352" t="str">
        <f t="shared" si="11"/>
        <v>商业类型</v>
      </c>
      <c r="R32" s="705" t="s">
        <v>14</v>
      </c>
      <c r="S32" s="706">
        <f t="shared" si="12"/>
        <v>100</v>
      </c>
      <c r="T32" s="705" t="s">
        <v>14</v>
      </c>
      <c r="U32" s="706">
        <f t="shared" si="13"/>
        <v>100</v>
      </c>
      <c r="V32" s="705" t="s">
        <v>14</v>
      </c>
      <c r="W32" s="706">
        <f t="shared" si="14"/>
        <v>100</v>
      </c>
      <c r="X32" s="1355"/>
      <c r="Y32" s="371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17"/>
      <c r="Q33" s="707" t="str">
        <f t="shared" si="11"/>
        <v>项目建筑规模</v>
      </c>
      <c r="R33" s="708" t="s">
        <v>14</v>
      </c>
      <c r="S33" s="709" t="e">
        <f t="shared" si="12"/>
        <v>#N/A</v>
      </c>
      <c r="T33" s="708" t="s">
        <v>14</v>
      </c>
      <c r="U33" s="709" t="e">
        <f t="shared" si="13"/>
        <v>#N/A</v>
      </c>
      <c r="V33" s="708" t="s">
        <v>14</v>
      </c>
      <c r="W33" s="709" t="e">
        <f t="shared" si="14"/>
        <v>#N/A</v>
      </c>
      <c r="X33" s="710"/>
      <c r="Y33" s="371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17"/>
      <c r="Q34" s="1352" t="str">
        <f t="shared" si="11"/>
        <v>建筑结构</v>
      </c>
      <c r="R34" s="705" t="s">
        <v>14</v>
      </c>
      <c r="S34" s="706">
        <f t="shared" si="12"/>
        <v>100</v>
      </c>
      <c r="T34" s="705" t="s">
        <v>14</v>
      </c>
      <c r="U34" s="706">
        <f t="shared" si="13"/>
        <v>100</v>
      </c>
      <c r="V34" s="705" t="s">
        <v>14</v>
      </c>
      <c r="W34" s="706">
        <f t="shared" si="14"/>
        <v>100</v>
      </c>
      <c r="X34" s="1355"/>
      <c r="Y34" s="3719"/>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17"/>
      <c r="Q35" s="1352" t="str">
        <f t="shared" si="11"/>
        <v>公共部分装修</v>
      </c>
      <c r="R35" s="705" t="s">
        <v>14</v>
      </c>
      <c r="S35" s="706">
        <f t="shared" si="12"/>
        <v>100</v>
      </c>
      <c r="T35" s="705" t="s">
        <v>14</v>
      </c>
      <c r="U35" s="706">
        <f t="shared" si="13"/>
        <v>100</v>
      </c>
      <c r="V35" s="705" t="s">
        <v>14</v>
      </c>
      <c r="W35" s="706">
        <f t="shared" si="14"/>
        <v>100</v>
      </c>
      <c r="X35" s="1355"/>
      <c r="Y35" s="3719"/>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17"/>
      <c r="Q36" s="1352" t="str">
        <f t="shared" si="11"/>
        <v>成新度</v>
      </c>
      <c r="R36" s="705" t="s">
        <v>14</v>
      </c>
      <c r="S36" s="706" t="e">
        <f t="shared" si="12"/>
        <v>#N/A</v>
      </c>
      <c r="T36" s="705" t="s">
        <v>14</v>
      </c>
      <c r="U36" s="706" t="e">
        <f t="shared" si="13"/>
        <v>#N/A</v>
      </c>
      <c r="V36" s="705" t="s">
        <v>14</v>
      </c>
      <c r="W36" s="706" t="e">
        <f t="shared" si="14"/>
        <v>#N/A</v>
      </c>
      <c r="X36" s="1355"/>
      <c r="Y36" s="3719"/>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17"/>
      <c r="Q37" s="1343" t="str">
        <f t="shared" si="11"/>
        <v>市政基础设施</v>
      </c>
      <c r="R37" s="701" t="s">
        <v>14</v>
      </c>
      <c r="S37" s="702">
        <f t="shared" si="12"/>
        <v>100</v>
      </c>
      <c r="T37" s="701" t="s">
        <v>14</v>
      </c>
      <c r="U37" s="702">
        <f t="shared" si="13"/>
        <v>100</v>
      </c>
      <c r="V37" s="701" t="s">
        <v>14</v>
      </c>
      <c r="W37" s="702">
        <f t="shared" si="14"/>
        <v>100</v>
      </c>
      <c r="X37" s="703"/>
      <c r="Y37" s="3719"/>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17" t="s">
        <v>1696</v>
      </c>
      <c r="Q38" s="1352" t="str">
        <f t="shared" si="11"/>
        <v>业态</v>
      </c>
      <c r="R38" s="705" t="s">
        <v>14</v>
      </c>
      <c r="S38" s="706">
        <f t="shared" si="12"/>
        <v>100</v>
      </c>
      <c r="T38" s="705" t="s">
        <v>14</v>
      </c>
      <c r="U38" s="706">
        <f t="shared" si="13"/>
        <v>100</v>
      </c>
      <c r="V38" s="705" t="s">
        <v>14</v>
      </c>
      <c r="W38" s="706">
        <f t="shared" si="14"/>
        <v>100</v>
      </c>
      <c r="X38" s="1355"/>
      <c r="Y38" s="3719" t="s">
        <v>1696</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17"/>
      <c r="Q39" s="1352" t="str">
        <f t="shared" si="11"/>
        <v>层高</v>
      </c>
      <c r="R39" s="705" t="s">
        <v>14</v>
      </c>
      <c r="S39" s="706">
        <f t="shared" si="12"/>
        <v>100</v>
      </c>
      <c r="T39" s="705" t="s">
        <v>14</v>
      </c>
      <c r="U39" s="706">
        <f t="shared" si="13"/>
        <v>100</v>
      </c>
      <c r="V39" s="705" t="s">
        <v>14</v>
      </c>
      <c r="W39" s="706">
        <f t="shared" si="14"/>
        <v>100</v>
      </c>
      <c r="X39" s="1355"/>
      <c r="Y39" s="3719"/>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17"/>
      <c r="Q40" s="1352" t="str">
        <f t="shared" si="11"/>
        <v>单套建筑面积</v>
      </c>
      <c r="R40" s="705" t="s">
        <v>14</v>
      </c>
      <c r="S40" s="706">
        <f t="shared" si="12"/>
        <v>100</v>
      </c>
      <c r="T40" s="705" t="s">
        <v>14</v>
      </c>
      <c r="U40" s="706">
        <f t="shared" si="13"/>
        <v>100</v>
      </c>
      <c r="V40" s="705" t="s">
        <v>14</v>
      </c>
      <c r="W40" s="706">
        <f t="shared" si="14"/>
        <v>100</v>
      </c>
      <c r="X40" s="1355"/>
      <c r="Y40" s="3719"/>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17"/>
      <c r="Q41" s="707" t="str">
        <f t="shared" si="11"/>
        <v>进深比</v>
      </c>
      <c r="R41" s="708" t="s">
        <v>14</v>
      </c>
      <c r="S41" s="709">
        <f t="shared" si="12"/>
        <v>100</v>
      </c>
      <c r="T41" s="708" t="s">
        <v>14</v>
      </c>
      <c r="U41" s="709">
        <f t="shared" si="13"/>
        <v>100</v>
      </c>
      <c r="V41" s="708" t="s">
        <v>14</v>
      </c>
      <c r="W41" s="709">
        <f t="shared" si="14"/>
        <v>100</v>
      </c>
      <c r="X41" s="710"/>
      <c r="Y41" s="3719"/>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17"/>
      <c r="Q42" s="1352" t="str">
        <f t="shared" si="11"/>
        <v>内部装修</v>
      </c>
      <c r="R42" s="705" t="s">
        <v>14</v>
      </c>
      <c r="S42" s="706">
        <f t="shared" si="12"/>
        <v>100</v>
      </c>
      <c r="T42" s="705" t="s">
        <v>14</v>
      </c>
      <c r="U42" s="706">
        <f t="shared" si="13"/>
        <v>100</v>
      </c>
      <c r="V42" s="705" t="s">
        <v>14</v>
      </c>
      <c r="W42" s="706">
        <f t="shared" si="14"/>
        <v>100</v>
      </c>
      <c r="X42" s="1355"/>
      <c r="Y42" s="371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17"/>
      <c r="Q43" s="1352" t="str">
        <f t="shared" si="11"/>
        <v>内部装修维护情况</v>
      </c>
      <c r="R43" s="705" t="s">
        <v>14</v>
      </c>
      <c r="S43" s="706">
        <f t="shared" si="12"/>
        <v>100</v>
      </c>
      <c r="T43" s="705" t="s">
        <v>14</v>
      </c>
      <c r="U43" s="706">
        <f t="shared" si="13"/>
        <v>100</v>
      </c>
      <c r="V43" s="705" t="s">
        <v>14</v>
      </c>
      <c r="W43" s="706">
        <f t="shared" si="14"/>
        <v>100</v>
      </c>
      <c r="X43" s="1355"/>
      <c r="Y43" s="371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17"/>
      <c r="Q44" s="1343">
        <f t="shared" si="11"/>
        <v>111</v>
      </c>
      <c r="R44" s="701" t="s">
        <v>14</v>
      </c>
      <c r="S44" s="702">
        <f t="shared" si="12"/>
        <v>100</v>
      </c>
      <c r="T44" s="701" t="s">
        <v>14</v>
      </c>
      <c r="U44" s="702">
        <f t="shared" si="13"/>
        <v>100</v>
      </c>
      <c r="V44" s="701" t="s">
        <v>14</v>
      </c>
      <c r="W44" s="702">
        <f t="shared" si="14"/>
        <v>100</v>
      </c>
      <c r="X44" s="703"/>
      <c r="Y44" s="371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17"/>
      <c r="Q45" s="1352">
        <f t="shared" si="11"/>
        <v>111</v>
      </c>
      <c r="R45" s="705" t="s">
        <v>14</v>
      </c>
      <c r="S45" s="706">
        <f t="shared" si="12"/>
        <v>100</v>
      </c>
      <c r="T45" s="705" t="s">
        <v>14</v>
      </c>
      <c r="U45" s="706">
        <f t="shared" si="13"/>
        <v>100</v>
      </c>
      <c r="V45" s="705" t="s">
        <v>14</v>
      </c>
      <c r="W45" s="706">
        <f t="shared" si="14"/>
        <v>100</v>
      </c>
      <c r="X45" s="1355"/>
      <c r="Y45" s="371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18"/>
      <c r="Q46" s="1352">
        <f t="shared" si="11"/>
        <v>111</v>
      </c>
      <c r="R46" s="705" t="s">
        <v>14</v>
      </c>
      <c r="S46" s="706">
        <f t="shared" si="12"/>
        <v>100</v>
      </c>
      <c r="T46" s="705" t="s">
        <v>14</v>
      </c>
      <c r="U46" s="706">
        <f t="shared" si="13"/>
        <v>100</v>
      </c>
      <c r="V46" s="705" t="s">
        <v>14</v>
      </c>
      <c r="W46" s="706">
        <f t="shared" si="14"/>
        <v>100</v>
      </c>
      <c r="X46" s="1355"/>
      <c r="Y46" s="372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712" t="str">
        <f>A47</f>
        <v>成交单价（元/平方米）</v>
      </c>
      <c r="Q47" s="3712"/>
      <c r="R47" s="3706">
        <f>E47</f>
        <v>0</v>
      </c>
      <c r="S47" s="3706"/>
      <c r="T47" s="3706">
        <f>G47</f>
        <v>0</v>
      </c>
      <c r="U47" s="3706"/>
      <c r="V47" s="3706">
        <f>I47</f>
        <v>0</v>
      </c>
      <c r="W47" s="3706"/>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3"/>
      <c r="M48" s="2724"/>
      <c r="N48" s="2715"/>
      <c r="O48" s="2724"/>
      <c r="P48" s="3712" t="str">
        <f>A48</f>
        <v>比较价值（元/平方米）</v>
      </c>
      <c r="Q48" s="3712"/>
      <c r="R48" s="3713" t="e">
        <f>IF(F1="售价",ROUND(PRODUCT(R47,AA7:AA46),0),ROUND(PRODUCT(R47,AA7:AA46),1))</f>
        <v>#DIV/0!</v>
      </c>
      <c r="S48" s="3713"/>
      <c r="T48" s="3713" t="e">
        <f>IF(F1="售价",ROUND(PRODUCT(T47,AB7:AB46),0),ROUND(PRODUCT(T47,AB7:AB46),1))</f>
        <v>#DIV/0!</v>
      </c>
      <c r="U48" s="3713"/>
      <c r="V48" s="3713" t="e">
        <f>IF(F1="售价",ROUND(PRODUCT(V47,AC7:AC46),0),ROUND(PRODUCT(V47,AC7:AC46),1))</f>
        <v>#DIV/0!</v>
      </c>
      <c r="W48" s="3713"/>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3"/>
      <c r="M49" s="2724"/>
      <c r="N49" s="2715"/>
      <c r="O49" s="2724"/>
      <c r="P49" s="3709" t="str">
        <f>A49</f>
        <v>估价对象XX用房的比较价值（楼面单价，元/平方米）</v>
      </c>
      <c r="Q49" s="3710"/>
      <c r="R49" s="3711" t="e">
        <f>IF(F1="售价",ROUND(IF(D48="简单平均",AVERAGE(R48:V48),R48*F48+T48*H48+V48*J48),0),ROUND(IF(D48="简单平均",AVERAGE(R48:V48),R48*F48+T48*H48+V48*J48),1))</f>
        <v>#DIV/0!</v>
      </c>
      <c r="S49" s="3711"/>
      <c r="T49" s="3711"/>
      <c r="U49" s="3711"/>
      <c r="V49" s="3711"/>
      <c r="W49" s="3711"/>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1797</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2023-10</v>
      </c>
      <c r="D58" s="1185">
        <f>EDATE(C58,-1)</f>
        <v>45170</v>
      </c>
      <c r="E58" s="1185">
        <f t="shared" ref="E58:N58" si="16">EDATE(D58,-1)</f>
        <v>45139</v>
      </c>
      <c r="F58" s="1185">
        <f t="shared" si="16"/>
        <v>45108</v>
      </c>
      <c r="G58" s="1185">
        <f t="shared" si="16"/>
        <v>45078</v>
      </c>
      <c r="H58" s="1185">
        <f t="shared" si="16"/>
        <v>45047</v>
      </c>
      <c r="I58" s="1185">
        <f t="shared" si="16"/>
        <v>45017</v>
      </c>
      <c r="J58" s="1185">
        <f t="shared" si="16"/>
        <v>44986</v>
      </c>
      <c r="K58" s="1185">
        <f t="shared" si="16"/>
        <v>44958</v>
      </c>
      <c r="L58" s="1185">
        <f t="shared" si="16"/>
        <v>44927</v>
      </c>
      <c r="M58" s="1185">
        <f t="shared" si="16"/>
        <v>44896</v>
      </c>
      <c r="N58" s="1185">
        <f t="shared" si="16"/>
        <v>44866</v>
      </c>
      <c r="O58" s="1185">
        <f>EDATE(N58,-1)</f>
        <v>44835</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1715</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1775</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1718</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1719</v>
      </c>
      <c r="C76" s="522" t="s">
        <v>1720</v>
      </c>
      <c r="D76" s="522" t="s">
        <v>1721</v>
      </c>
      <c r="E76" s="522" t="s">
        <v>1722</v>
      </c>
      <c r="F76" s="522" t="s">
        <v>1723</v>
      </c>
      <c r="G76" s="522" t="s">
        <v>1724</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1725</v>
      </c>
      <c r="C78" s="527" t="s">
        <v>1720</v>
      </c>
      <c r="D78" s="527" t="s">
        <v>1721</v>
      </c>
      <c r="E78" s="527" t="s">
        <v>1722</v>
      </c>
      <c r="F78" s="527" t="s">
        <v>1723</v>
      </c>
      <c r="G78" s="527" t="s">
        <v>1724</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1726</v>
      </c>
      <c r="C80" s="527" t="s">
        <v>1720</v>
      </c>
      <c r="D80" s="527" t="s">
        <v>1721</v>
      </c>
      <c r="E80" s="527" t="s">
        <v>1722</v>
      </c>
      <c r="F80" s="527" t="s">
        <v>1723</v>
      </c>
      <c r="G80" s="527" t="s">
        <v>1724</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1778</v>
      </c>
      <c r="C82" s="608" t="s">
        <v>1798</v>
      </c>
      <c r="D82" s="608" t="s">
        <v>1799</v>
      </c>
      <c r="E82" s="608" t="s">
        <v>1800</v>
      </c>
      <c r="F82" s="608" t="s">
        <v>1801</v>
      </c>
      <c r="G82" s="608" t="s">
        <v>1802</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1732</v>
      </c>
      <c r="C84" s="527" t="s">
        <v>1720</v>
      </c>
      <c r="D84" s="527" t="s">
        <v>1721</v>
      </c>
      <c r="E84" s="527" t="s">
        <v>1722</v>
      </c>
      <c r="F84" s="527" t="s">
        <v>1723</v>
      </c>
      <c r="G84" s="527" t="s">
        <v>1724</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1803</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1804</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1737</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1739</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1741</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1805</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1806</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1807</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1808</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1743</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1809</v>
      </c>
      <c r="C1" s="1224" t="s">
        <v>1662</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72.16</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1768</v>
      </c>
      <c r="B4" s="356"/>
      <c r="C4" s="3694" t="s">
        <v>1769</v>
      </c>
      <c r="D4" s="3695"/>
      <c r="E4" s="3696" t="s">
        <v>1770</v>
      </c>
      <c r="F4" s="3697"/>
      <c r="G4" s="3694" t="s">
        <v>1771</v>
      </c>
      <c r="H4" s="3695"/>
      <c r="I4" s="3694" t="s">
        <v>1772</v>
      </c>
      <c r="J4" s="3695"/>
      <c r="K4" s="559" t="s">
        <v>1773</v>
      </c>
      <c r="L4" s="2714"/>
      <c r="M4" s="2715"/>
      <c r="N4" s="2715"/>
      <c r="O4" s="2715"/>
      <c r="P4" s="3730" t="s">
        <v>1774</v>
      </c>
      <c r="Q4" s="3731"/>
      <c r="R4" s="3725" t="s">
        <v>1770</v>
      </c>
      <c r="S4" s="3726"/>
      <c r="T4" s="3725" t="s">
        <v>1771</v>
      </c>
      <c r="U4" s="3726"/>
      <c r="V4" s="3734" t="s">
        <v>1772</v>
      </c>
      <c r="W4" s="3734"/>
      <c r="X4" s="1958"/>
      <c r="Y4" s="3725" t="s">
        <v>1774</v>
      </c>
      <c r="Z4" s="3726"/>
      <c r="AA4" s="3724" t="s">
        <v>1770</v>
      </c>
      <c r="AB4" s="3724" t="s">
        <v>1771</v>
      </c>
      <c r="AC4" s="3727" t="s">
        <v>1772</v>
      </c>
    </row>
    <row r="5" spans="1:29" ht="15">
      <c r="A5" s="358"/>
      <c r="B5" s="359"/>
      <c r="C5" s="3707" t="s">
        <v>1673</v>
      </c>
      <c r="D5" s="3688"/>
      <c r="E5" s="3723" t="s">
        <v>1674</v>
      </c>
      <c r="F5" s="3686"/>
      <c r="G5" s="3707" t="s">
        <v>1675</v>
      </c>
      <c r="H5" s="3688"/>
      <c r="I5" s="3707" t="s">
        <v>1676</v>
      </c>
      <c r="J5" s="3688"/>
      <c r="K5" s="559"/>
      <c r="L5" s="2714"/>
      <c r="M5" s="2715"/>
      <c r="N5" s="2715"/>
      <c r="O5" s="2715"/>
      <c r="P5" s="3732"/>
      <c r="Q5" s="3701"/>
      <c r="R5" s="3683"/>
      <c r="S5" s="3684"/>
      <c r="T5" s="3683"/>
      <c r="U5" s="3684"/>
      <c r="V5" s="3706"/>
      <c r="W5" s="3706"/>
      <c r="X5" s="1355"/>
      <c r="Y5" s="3683"/>
      <c r="Z5" s="3684"/>
      <c r="AA5" s="3677"/>
      <c r="AB5" s="3677"/>
      <c r="AC5" s="3728"/>
    </row>
    <row r="6" spans="1:29" ht="15.75" thickBot="1">
      <c r="A6" s="360"/>
      <c r="B6" s="361"/>
      <c r="C6" s="3689" t="s">
        <v>1677</v>
      </c>
      <c r="D6" s="3690"/>
      <c r="E6" s="3691" t="s">
        <v>1677</v>
      </c>
      <c r="F6" s="3692"/>
      <c r="G6" s="3689" t="s">
        <v>1677</v>
      </c>
      <c r="H6" s="3690"/>
      <c r="I6" s="3689" t="s">
        <v>1677</v>
      </c>
      <c r="J6" s="3690"/>
      <c r="K6" s="559" t="s">
        <v>1678</v>
      </c>
      <c r="L6" s="2714"/>
      <c r="M6" s="2715"/>
      <c r="N6" s="2715"/>
      <c r="O6" s="2715"/>
      <c r="P6" s="3733"/>
      <c r="Q6" s="3703"/>
      <c r="R6" s="3683"/>
      <c r="S6" s="3684"/>
      <c r="T6" s="3704"/>
      <c r="U6" s="3705"/>
      <c r="V6" s="3706"/>
      <c r="W6" s="3706"/>
      <c r="X6" s="1355"/>
      <c r="Y6" s="3704"/>
      <c r="Z6" s="3705"/>
      <c r="AA6" s="3678"/>
      <c r="AB6" s="3678"/>
      <c r="AC6" s="3729"/>
    </row>
    <row r="7" spans="1:29" s="108" customFormat="1" ht="15.75" thickBot="1">
      <c r="A7" s="362" t="s">
        <v>1679</v>
      </c>
      <c r="B7" s="363"/>
      <c r="C7" s="364">
        <f>'数据-取费表'!B2</f>
        <v>45214</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5" t="s">
        <v>1680</v>
      </c>
      <c r="Q7" s="3708"/>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5" t="s">
        <v>1683</v>
      </c>
      <c r="Q8" s="3680"/>
      <c r="R8" s="701" t="s">
        <v>14</v>
      </c>
      <c r="S8" s="702">
        <f t="shared" si="0"/>
        <v>100</v>
      </c>
      <c r="T8" s="701" t="s">
        <v>14</v>
      </c>
      <c r="U8" s="702">
        <f t="shared" si="1"/>
        <v>100</v>
      </c>
      <c r="V8" s="701" t="s">
        <v>14</v>
      </c>
      <c r="W8" s="702">
        <f t="shared" si="2"/>
        <v>100</v>
      </c>
      <c r="X8" s="703"/>
      <c r="Y8" s="3679" t="s">
        <v>1683</v>
      </c>
      <c r="Z8" s="368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3"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3"/>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3"/>
      <c r="Q11" s="1343" t="str">
        <f t="shared" si="6"/>
        <v>容积率</v>
      </c>
      <c r="R11" s="701" t="s">
        <v>14</v>
      </c>
      <c r="S11" s="702">
        <f t="shared" si="0"/>
        <v>100</v>
      </c>
      <c r="T11" s="701" t="s">
        <v>14</v>
      </c>
      <c r="U11" s="702">
        <f t="shared" si="1"/>
        <v>100</v>
      </c>
      <c r="V11" s="701" t="s">
        <v>14</v>
      </c>
      <c r="W11" s="702">
        <f t="shared" si="2"/>
        <v>100</v>
      </c>
      <c r="X11" s="703"/>
      <c r="Y11" s="362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93"/>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93"/>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93"/>
      <c r="Q14" s="1343">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1959">
        <f t="shared" si="5"/>
        <v>1</v>
      </c>
    </row>
    <row r="15" spans="1:29" ht="71.25">
      <c r="A15" s="391" t="s">
        <v>1690</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21" t="s">
        <v>1691</v>
      </c>
      <c r="Q15" s="1352" t="str">
        <f t="shared" si="6"/>
        <v>办公集聚程度</v>
      </c>
      <c r="R15" s="705" t="s">
        <v>14</v>
      </c>
      <c r="S15" s="706">
        <f t="shared" si="0"/>
        <v>100</v>
      </c>
      <c r="T15" s="705" t="s">
        <v>14</v>
      </c>
      <c r="U15" s="706">
        <f t="shared" si="1"/>
        <v>100</v>
      </c>
      <c r="V15" s="705" t="s">
        <v>14</v>
      </c>
      <c r="W15" s="706">
        <f t="shared" si="2"/>
        <v>100</v>
      </c>
      <c r="X15" s="1355"/>
      <c r="Y15" s="371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22"/>
      <c r="Q16" s="1352"/>
      <c r="R16" s="705"/>
      <c r="S16" s="706"/>
      <c r="T16" s="705"/>
      <c r="U16" s="706"/>
      <c r="V16" s="705"/>
      <c r="W16" s="706"/>
      <c r="X16" s="1355"/>
      <c r="Y16" s="3715"/>
      <c r="Z16" s="1356"/>
      <c r="AA16" s="1353">
        <v>1</v>
      </c>
      <c r="AB16" s="1353">
        <v>1</v>
      </c>
      <c r="AC16" s="1962">
        <v>1</v>
      </c>
    </row>
    <row r="17" spans="1:29" ht="128.25">
      <c r="A17" s="379"/>
      <c r="B17" s="579" t="s">
        <v>1259</v>
      </c>
      <c r="C17" s="1963" t="str">
        <f>估价对象房地状况!C6</f>
        <v>估价对象紧邻城市支路——天达路，有专171路、411路等多条公共交通线路，距离最近的地铁7号线（郎辛庄站）约0.8公里，综合评价交通便捷度一般</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22"/>
      <c r="Q17" s="1352" t="str">
        <f>B17</f>
        <v>交通便捷度</v>
      </c>
      <c r="R17" s="705" t="s">
        <v>14</v>
      </c>
      <c r="S17" s="706">
        <f>F17</f>
        <v>100</v>
      </c>
      <c r="T17" s="705" t="s">
        <v>14</v>
      </c>
      <c r="U17" s="706">
        <f>H17</f>
        <v>100</v>
      </c>
      <c r="V17" s="705" t="s">
        <v>14</v>
      </c>
      <c r="W17" s="706">
        <f>J17</f>
        <v>100</v>
      </c>
      <c r="X17" s="1355"/>
      <c r="Y17" s="371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22"/>
      <c r="Q18" s="1352"/>
      <c r="R18" s="705"/>
      <c r="S18" s="706"/>
      <c r="T18" s="705"/>
      <c r="U18" s="706"/>
      <c r="V18" s="705"/>
      <c r="W18" s="706"/>
      <c r="X18" s="1355"/>
      <c r="Y18" s="3715"/>
      <c r="Z18" s="1356"/>
      <c r="AA18" s="1353">
        <v>1</v>
      </c>
      <c r="AB18" s="1353">
        <v>1</v>
      </c>
      <c r="AC18" s="1962">
        <v>1</v>
      </c>
    </row>
    <row r="19" spans="1:29" ht="42.75">
      <c r="A19" s="379"/>
      <c r="B19" s="579" t="s">
        <v>1811</v>
      </c>
      <c r="C19" s="1963" t="str">
        <f>估价对象房地状况!C7</f>
        <v>估价对象所在区域公共配套设施齐备情况较好</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22"/>
      <c r="Q19" s="1352" t="str">
        <f>B19</f>
        <v>公共配套设施</v>
      </c>
      <c r="R19" s="705" t="s">
        <v>14</v>
      </c>
      <c r="S19" s="706">
        <f>F19</f>
        <v>100</v>
      </c>
      <c r="T19" s="705" t="s">
        <v>14</v>
      </c>
      <c r="U19" s="706">
        <f>H19</f>
        <v>100</v>
      </c>
      <c r="V19" s="705" t="s">
        <v>14</v>
      </c>
      <c r="W19" s="706">
        <f>J19</f>
        <v>100</v>
      </c>
      <c r="X19" s="1355"/>
      <c r="Y19" s="371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22"/>
      <c r="Q20" s="1352"/>
      <c r="R20" s="705"/>
      <c r="S20" s="706"/>
      <c r="T20" s="705"/>
      <c r="U20" s="706"/>
      <c r="V20" s="705"/>
      <c r="W20" s="706"/>
      <c r="X20" s="1355"/>
      <c r="Y20" s="3715"/>
      <c r="Z20" s="1356"/>
      <c r="AA20" s="1353">
        <v>1</v>
      </c>
      <c r="AB20" s="1353">
        <v>1</v>
      </c>
      <c r="AC20" s="1962">
        <v>1</v>
      </c>
    </row>
    <row r="21" spans="1:29" ht="15">
      <c r="A21" s="379"/>
      <c r="B21" s="581" t="s">
        <v>1812</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22"/>
      <c r="Q21" s="1352" t="str">
        <f>B21</f>
        <v>基础设施水平</v>
      </c>
      <c r="R21" s="705" t="s">
        <v>14</v>
      </c>
      <c r="S21" s="706">
        <f>F21</f>
        <v>100</v>
      </c>
      <c r="T21" s="705" t="s">
        <v>14</v>
      </c>
      <c r="U21" s="706">
        <f>H21</f>
        <v>100</v>
      </c>
      <c r="V21" s="705" t="s">
        <v>14</v>
      </c>
      <c r="W21" s="706">
        <f>J21</f>
        <v>100</v>
      </c>
      <c r="X21" s="1355"/>
      <c r="Y21" s="371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22"/>
      <c r="Q22" s="1352"/>
      <c r="R22" s="705"/>
      <c r="S22" s="706"/>
      <c r="T22" s="705"/>
      <c r="U22" s="706"/>
      <c r="V22" s="705"/>
      <c r="W22" s="706"/>
      <c r="X22" s="1355"/>
      <c r="Y22" s="3715"/>
      <c r="Z22" s="1356"/>
      <c r="AA22" s="1353">
        <v>1</v>
      </c>
      <c r="AB22" s="1353">
        <v>1</v>
      </c>
      <c r="AC22" s="1962">
        <v>1</v>
      </c>
    </row>
    <row r="23" spans="1:29" ht="71.25">
      <c r="A23" s="379"/>
      <c r="B23" s="579" t="s">
        <v>1813</v>
      </c>
      <c r="C23" s="1963" t="str">
        <f>估价对象房地状况!C9</f>
        <v>区域自然环境：西排干渠；人文环境；豆各庄乡情博物馆；综合评价环境状况一般。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22"/>
      <c r="Q23" s="1352" t="str">
        <f>B23</f>
        <v>环境质量</v>
      </c>
      <c r="R23" s="705" t="s">
        <v>14</v>
      </c>
      <c r="S23" s="706">
        <f>F23</f>
        <v>100</v>
      </c>
      <c r="T23" s="705" t="s">
        <v>14</v>
      </c>
      <c r="U23" s="706">
        <f>H23</f>
        <v>100</v>
      </c>
      <c r="V23" s="705" t="s">
        <v>14</v>
      </c>
      <c r="W23" s="706">
        <f>J23</f>
        <v>100</v>
      </c>
      <c r="X23" s="1355"/>
      <c r="Y23" s="371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22"/>
      <c r="Q24" s="1352"/>
      <c r="R24" s="705"/>
      <c r="S24" s="706"/>
      <c r="T24" s="705"/>
      <c r="U24" s="706"/>
      <c r="V24" s="705"/>
      <c r="W24" s="706"/>
      <c r="X24" s="1355"/>
      <c r="Y24" s="3715"/>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22"/>
      <c r="Q25" s="1352" t="str">
        <f>B25</f>
        <v>毗邻道路的类型与等级</v>
      </c>
      <c r="R25" s="705" t="s">
        <v>14</v>
      </c>
      <c r="S25" s="706">
        <f>F25</f>
        <v>100</v>
      </c>
      <c r="T25" s="705" t="s">
        <v>14</v>
      </c>
      <c r="U25" s="706">
        <f>H25</f>
        <v>100</v>
      </c>
      <c r="V25" s="705" t="s">
        <v>14</v>
      </c>
      <c r="W25" s="706">
        <f>J25</f>
        <v>100</v>
      </c>
      <c r="X25" s="1355"/>
      <c r="Y25" s="371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22"/>
      <c r="Q26" s="1352"/>
      <c r="R26" s="705"/>
      <c r="S26" s="706"/>
      <c r="T26" s="705"/>
      <c r="U26" s="706"/>
      <c r="V26" s="705"/>
      <c r="W26" s="706"/>
      <c r="X26" s="1355"/>
      <c r="Y26" s="3715"/>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22"/>
      <c r="Q27" s="1352" t="str">
        <f t="shared" ref="Q27:Q47" si="11">B27</f>
        <v>楼层</v>
      </c>
      <c r="R27" s="705" t="s">
        <v>14</v>
      </c>
      <c r="S27" s="706">
        <f>F27</f>
        <v>100</v>
      </c>
      <c r="T27" s="705" t="s">
        <v>14</v>
      </c>
      <c r="U27" s="706">
        <f>H27</f>
        <v>100</v>
      </c>
      <c r="V27" s="705" t="s">
        <v>14</v>
      </c>
      <c r="W27" s="706">
        <f>J27</f>
        <v>100</v>
      </c>
      <c r="X27" s="1355"/>
      <c r="Y27" s="3715"/>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22"/>
      <c r="Q28" s="1343" t="str">
        <f t="shared" si="11"/>
        <v>朝向</v>
      </c>
      <c r="R28" s="701" t="s">
        <v>14</v>
      </c>
      <c r="S28" s="702">
        <f>F28</f>
        <v>100</v>
      </c>
      <c r="T28" s="701" t="s">
        <v>14</v>
      </c>
      <c r="U28" s="702">
        <f>H28</f>
        <v>100</v>
      </c>
      <c r="V28" s="701" t="s">
        <v>14</v>
      </c>
      <c r="W28" s="702">
        <f>J28</f>
        <v>100</v>
      </c>
      <c r="X28" s="703"/>
      <c r="Y28" s="371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22"/>
      <c r="Q29" s="1352">
        <f t="shared" si="11"/>
        <v>111</v>
      </c>
      <c r="R29" s="705" t="s">
        <v>14</v>
      </c>
      <c r="S29" s="706">
        <f t="shared" ref="S29:S47" si="12">F29</f>
        <v>100</v>
      </c>
      <c r="T29" s="705" t="s">
        <v>14</v>
      </c>
      <c r="U29" s="706">
        <f t="shared" ref="U29:U47" si="13">H29</f>
        <v>100</v>
      </c>
      <c r="V29" s="705" t="s">
        <v>14</v>
      </c>
      <c r="W29" s="706">
        <f t="shared" ref="W29:W47" si="14">J29</f>
        <v>100</v>
      </c>
      <c r="X29" s="1355"/>
      <c r="Y29" s="371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22"/>
      <c r="Q30" s="1352">
        <f t="shared" si="11"/>
        <v>111</v>
      </c>
      <c r="R30" s="705" t="s">
        <v>14</v>
      </c>
      <c r="S30" s="706">
        <f t="shared" si="12"/>
        <v>100</v>
      </c>
      <c r="T30" s="705" t="s">
        <v>14</v>
      </c>
      <c r="U30" s="706">
        <f t="shared" si="13"/>
        <v>100</v>
      </c>
      <c r="V30" s="705" t="s">
        <v>14</v>
      </c>
      <c r="W30" s="706">
        <f t="shared" si="14"/>
        <v>100</v>
      </c>
      <c r="X30" s="1355"/>
      <c r="Y30" s="371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22"/>
      <c r="Q31" s="1352">
        <f t="shared" si="11"/>
        <v>111</v>
      </c>
      <c r="R31" s="705" t="s">
        <v>14</v>
      </c>
      <c r="S31" s="706">
        <f t="shared" si="12"/>
        <v>100</v>
      </c>
      <c r="T31" s="705" t="s">
        <v>14</v>
      </c>
      <c r="U31" s="706">
        <f t="shared" si="13"/>
        <v>100</v>
      </c>
      <c r="V31" s="705" t="s">
        <v>14</v>
      </c>
      <c r="W31" s="706">
        <f t="shared" si="14"/>
        <v>100</v>
      </c>
      <c r="X31" s="1355"/>
      <c r="Y31" s="371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22"/>
      <c r="Q32" s="1352">
        <f t="shared" si="11"/>
        <v>111</v>
      </c>
      <c r="R32" s="705" t="s">
        <v>14</v>
      </c>
      <c r="S32" s="706">
        <f t="shared" si="12"/>
        <v>100</v>
      </c>
      <c r="T32" s="705" t="s">
        <v>14</v>
      </c>
      <c r="U32" s="706">
        <f t="shared" si="13"/>
        <v>100</v>
      </c>
      <c r="V32" s="705" t="s">
        <v>14</v>
      </c>
      <c r="W32" s="706">
        <f t="shared" si="14"/>
        <v>100</v>
      </c>
      <c r="X32" s="1355"/>
      <c r="Y32" s="3715"/>
      <c r="Z32" s="1356">
        <f t="shared" si="15"/>
        <v>111</v>
      </c>
      <c r="AA32" s="1353">
        <f t="shared" si="3"/>
        <v>1</v>
      </c>
      <c r="AB32" s="1353">
        <f t="shared" si="4"/>
        <v>1</v>
      </c>
      <c r="AC32" s="1962">
        <f t="shared" si="5"/>
        <v>1</v>
      </c>
    </row>
    <row r="33" spans="1:29" ht="15">
      <c r="A33" s="391" t="s">
        <v>1694</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16" t="s">
        <v>1696</v>
      </c>
      <c r="Q33" s="1352" t="str">
        <f t="shared" si="11"/>
        <v>建筑类型</v>
      </c>
      <c r="R33" s="705" t="s">
        <v>14</v>
      </c>
      <c r="S33" s="706">
        <f t="shared" si="12"/>
        <v>100</v>
      </c>
      <c r="T33" s="705" t="s">
        <v>14</v>
      </c>
      <c r="U33" s="706">
        <f t="shared" si="13"/>
        <v>100</v>
      </c>
      <c r="V33" s="705" t="s">
        <v>14</v>
      </c>
      <c r="W33" s="706">
        <f t="shared" si="14"/>
        <v>100</v>
      </c>
      <c r="X33" s="1355"/>
      <c r="Y33" s="3719"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17"/>
      <c r="Q34" s="707" t="str">
        <f t="shared" si="11"/>
        <v>项目建筑规模</v>
      </c>
      <c r="R34" s="708" t="s">
        <v>14</v>
      </c>
      <c r="S34" s="709" t="e">
        <f t="shared" si="12"/>
        <v>#N/A</v>
      </c>
      <c r="T34" s="708" t="s">
        <v>14</v>
      </c>
      <c r="U34" s="709" t="e">
        <f t="shared" si="13"/>
        <v>#N/A</v>
      </c>
      <c r="V34" s="708" t="s">
        <v>14</v>
      </c>
      <c r="W34" s="709" t="e">
        <f t="shared" si="14"/>
        <v>#N/A</v>
      </c>
      <c r="X34" s="710"/>
      <c r="Y34" s="3719"/>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17"/>
      <c r="Q35" s="1352" t="str">
        <f t="shared" si="11"/>
        <v>建筑结构</v>
      </c>
      <c r="R35" s="705" t="s">
        <v>14</v>
      </c>
      <c r="S35" s="706">
        <f t="shared" si="12"/>
        <v>100</v>
      </c>
      <c r="T35" s="705" t="s">
        <v>14</v>
      </c>
      <c r="U35" s="706">
        <f t="shared" si="13"/>
        <v>100</v>
      </c>
      <c r="V35" s="705" t="s">
        <v>14</v>
      </c>
      <c r="W35" s="706">
        <f t="shared" si="14"/>
        <v>100</v>
      </c>
      <c r="X35" s="1355"/>
      <c r="Y35" s="3719"/>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17"/>
      <c r="Q36" s="1352" t="str">
        <f t="shared" si="11"/>
        <v>公共部分装修</v>
      </c>
      <c r="R36" s="705" t="s">
        <v>14</v>
      </c>
      <c r="S36" s="706">
        <f t="shared" si="12"/>
        <v>100</v>
      </c>
      <c r="T36" s="705" t="s">
        <v>14</v>
      </c>
      <c r="U36" s="706">
        <f t="shared" si="13"/>
        <v>100</v>
      </c>
      <c r="V36" s="705" t="s">
        <v>14</v>
      </c>
      <c r="W36" s="706">
        <f t="shared" si="14"/>
        <v>100</v>
      </c>
      <c r="X36" s="1355"/>
      <c r="Y36" s="3719"/>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17"/>
      <c r="Q37" s="1352" t="str">
        <f t="shared" si="11"/>
        <v>成新度</v>
      </c>
      <c r="R37" s="705" t="s">
        <v>14</v>
      </c>
      <c r="S37" s="706" t="e">
        <f t="shared" si="12"/>
        <v>#N/A</v>
      </c>
      <c r="T37" s="705" t="s">
        <v>14</v>
      </c>
      <c r="U37" s="706" t="e">
        <f t="shared" si="13"/>
        <v>#N/A</v>
      </c>
      <c r="V37" s="705" t="s">
        <v>14</v>
      </c>
      <c r="W37" s="706" t="e">
        <f t="shared" si="14"/>
        <v>#N/A</v>
      </c>
      <c r="X37" s="1355"/>
      <c r="Y37" s="3719"/>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17"/>
      <c r="Q38" s="1343" t="str">
        <f t="shared" si="11"/>
        <v>写字楼等级</v>
      </c>
      <c r="R38" s="701" t="s">
        <v>14</v>
      </c>
      <c r="S38" s="702">
        <f t="shared" si="12"/>
        <v>100</v>
      </c>
      <c r="T38" s="701" t="s">
        <v>14</v>
      </c>
      <c r="U38" s="702">
        <f t="shared" si="13"/>
        <v>100</v>
      </c>
      <c r="V38" s="701" t="s">
        <v>14</v>
      </c>
      <c r="W38" s="702">
        <f t="shared" si="14"/>
        <v>100</v>
      </c>
      <c r="X38" s="703"/>
      <c r="Y38" s="3719"/>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17" t="s">
        <v>1696</v>
      </c>
      <c r="Q39" s="1352" t="str">
        <f t="shared" si="11"/>
        <v>物业管理</v>
      </c>
      <c r="R39" s="705" t="s">
        <v>14</v>
      </c>
      <c r="S39" s="706">
        <f t="shared" si="12"/>
        <v>100</v>
      </c>
      <c r="T39" s="705" t="s">
        <v>14</v>
      </c>
      <c r="U39" s="706">
        <f t="shared" si="13"/>
        <v>100</v>
      </c>
      <c r="V39" s="705" t="s">
        <v>14</v>
      </c>
      <c r="W39" s="706">
        <f t="shared" si="14"/>
        <v>100</v>
      </c>
      <c r="X39" s="1355"/>
      <c r="Y39" s="3719" t="s">
        <v>1696</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17"/>
      <c r="Q40" s="1352" t="str">
        <f t="shared" si="11"/>
        <v>市政基础设施</v>
      </c>
      <c r="R40" s="705" t="s">
        <v>14</v>
      </c>
      <c r="S40" s="706">
        <f t="shared" si="12"/>
        <v>100</v>
      </c>
      <c r="T40" s="705" t="s">
        <v>14</v>
      </c>
      <c r="U40" s="706">
        <f t="shared" si="13"/>
        <v>100</v>
      </c>
      <c r="V40" s="705" t="s">
        <v>14</v>
      </c>
      <c r="W40" s="706">
        <f t="shared" si="14"/>
        <v>100</v>
      </c>
      <c r="X40" s="1355"/>
      <c r="Y40" s="3719"/>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17"/>
      <c r="Q41" s="1352" t="str">
        <f t="shared" si="11"/>
        <v>层高</v>
      </c>
      <c r="R41" s="705" t="s">
        <v>14</v>
      </c>
      <c r="S41" s="706">
        <f t="shared" si="12"/>
        <v>100</v>
      </c>
      <c r="T41" s="705" t="s">
        <v>14</v>
      </c>
      <c r="U41" s="706">
        <f t="shared" si="13"/>
        <v>100</v>
      </c>
      <c r="V41" s="705" t="s">
        <v>14</v>
      </c>
      <c r="W41" s="706">
        <f t="shared" si="14"/>
        <v>100</v>
      </c>
      <c r="X41" s="1355"/>
      <c r="Y41" s="3719"/>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17"/>
      <c r="Q42" s="707" t="str">
        <f t="shared" si="11"/>
        <v>单套建筑面积</v>
      </c>
      <c r="R42" s="708" t="s">
        <v>14</v>
      </c>
      <c r="S42" s="709">
        <f t="shared" si="12"/>
        <v>100</v>
      </c>
      <c r="T42" s="708" t="s">
        <v>14</v>
      </c>
      <c r="U42" s="709">
        <f t="shared" si="13"/>
        <v>100</v>
      </c>
      <c r="V42" s="708" t="s">
        <v>14</v>
      </c>
      <c r="W42" s="709">
        <f t="shared" si="14"/>
        <v>100</v>
      </c>
      <c r="X42" s="710"/>
      <c r="Y42" s="3719"/>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17"/>
      <c r="Q43" s="1352" t="str">
        <f t="shared" si="11"/>
        <v>内部装修</v>
      </c>
      <c r="R43" s="705" t="s">
        <v>14</v>
      </c>
      <c r="S43" s="706">
        <f t="shared" si="12"/>
        <v>100</v>
      </c>
      <c r="T43" s="705" t="s">
        <v>14</v>
      </c>
      <c r="U43" s="706">
        <f t="shared" si="13"/>
        <v>100</v>
      </c>
      <c r="V43" s="705" t="s">
        <v>14</v>
      </c>
      <c r="W43" s="706">
        <f t="shared" si="14"/>
        <v>100</v>
      </c>
      <c r="X43" s="1355"/>
      <c r="Y43" s="371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17"/>
      <c r="Q44" s="1352" t="str">
        <f t="shared" si="11"/>
        <v>内部装修维护情况</v>
      </c>
      <c r="R44" s="705" t="s">
        <v>14</v>
      </c>
      <c r="S44" s="706">
        <f t="shared" si="12"/>
        <v>100</v>
      </c>
      <c r="T44" s="705" t="s">
        <v>14</v>
      </c>
      <c r="U44" s="706">
        <f t="shared" si="13"/>
        <v>100</v>
      </c>
      <c r="V44" s="705" t="s">
        <v>14</v>
      </c>
      <c r="W44" s="706">
        <f t="shared" si="14"/>
        <v>100</v>
      </c>
      <c r="X44" s="1355"/>
      <c r="Y44" s="371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17"/>
      <c r="Q45" s="1343">
        <f t="shared" si="11"/>
        <v>111</v>
      </c>
      <c r="R45" s="701" t="s">
        <v>14</v>
      </c>
      <c r="S45" s="702">
        <f t="shared" si="12"/>
        <v>100</v>
      </c>
      <c r="T45" s="701" t="s">
        <v>14</v>
      </c>
      <c r="U45" s="702">
        <f t="shared" si="13"/>
        <v>100</v>
      </c>
      <c r="V45" s="701" t="s">
        <v>14</v>
      </c>
      <c r="W45" s="702">
        <f t="shared" si="14"/>
        <v>100</v>
      </c>
      <c r="X45" s="703"/>
      <c r="Y45" s="371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17"/>
      <c r="Q46" s="1352">
        <f t="shared" si="11"/>
        <v>111</v>
      </c>
      <c r="R46" s="705" t="s">
        <v>14</v>
      </c>
      <c r="S46" s="706">
        <f t="shared" si="12"/>
        <v>100</v>
      </c>
      <c r="T46" s="705" t="s">
        <v>14</v>
      </c>
      <c r="U46" s="706">
        <f t="shared" si="13"/>
        <v>100</v>
      </c>
      <c r="V46" s="705" t="s">
        <v>14</v>
      </c>
      <c r="W46" s="706">
        <f t="shared" si="14"/>
        <v>100</v>
      </c>
      <c r="X46" s="1355"/>
      <c r="Y46" s="371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18"/>
      <c r="Q47" s="1352">
        <f t="shared" si="11"/>
        <v>111</v>
      </c>
      <c r="R47" s="705" t="s">
        <v>14</v>
      </c>
      <c r="S47" s="706">
        <f t="shared" si="12"/>
        <v>100</v>
      </c>
      <c r="T47" s="705" t="s">
        <v>14</v>
      </c>
      <c r="U47" s="706">
        <f t="shared" si="13"/>
        <v>100</v>
      </c>
      <c r="V47" s="705" t="s">
        <v>14</v>
      </c>
      <c r="W47" s="706">
        <f t="shared" si="14"/>
        <v>100</v>
      </c>
      <c r="X47" s="1355"/>
      <c r="Y47" s="3720"/>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693" t="str">
        <f>A48</f>
        <v>成交单价（元/平方米）</v>
      </c>
      <c r="Q48" s="3712"/>
      <c r="R48" s="3713">
        <f>E48</f>
        <v>0</v>
      </c>
      <c r="S48" s="3713"/>
      <c r="T48" s="3713">
        <f>G48</f>
        <v>0</v>
      </c>
      <c r="U48" s="3713"/>
      <c r="V48" s="3713">
        <f>I48</f>
        <v>0</v>
      </c>
      <c r="W48" s="3713"/>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23"/>
      <c r="M49" s="2715"/>
      <c r="N49" s="2715"/>
      <c r="O49" s="2715"/>
      <c r="P49" s="3693" t="str">
        <f>A49</f>
        <v>比较价值（元/平方米）</v>
      </c>
      <c r="Q49" s="3712"/>
      <c r="R49" s="3713" t="e">
        <f>IF(F1="售价",ROUND(PRODUCT(R48,AA7:AA47),0),ROUND(PRODUCT(R48,AA7:AA47),1))</f>
        <v>#DIV/0!</v>
      </c>
      <c r="S49" s="3713"/>
      <c r="T49" s="3713" t="e">
        <f>IF(F1="售价",ROUND(PRODUCT(T48,AB7:AB47),0),ROUND(PRODUCT(T48,AB7:AB47),1))</f>
        <v>#DIV/0!</v>
      </c>
      <c r="U49" s="3713"/>
      <c r="V49" s="3713" t="e">
        <f>IF(F1="售价",ROUND(PRODUCT(V48,AC7:AC47),0),ROUND(PRODUCT(V48,AC7:AC47),1))</f>
        <v>#DIV/0!</v>
      </c>
      <c r="W49" s="3713"/>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3"/>
      <c r="M50" s="2715"/>
      <c r="N50" s="2715"/>
      <c r="O50" s="2715"/>
      <c r="P50" s="3736" t="str">
        <f>A50</f>
        <v>估价对象XX用房的比较价值（楼面单价，元/平方米）</v>
      </c>
      <c r="Q50" s="3737"/>
      <c r="R50" s="3738" t="e">
        <f>IF(F1="售价",ROUND(IF(D49="简单平均",AVERAGE(R49:V49),R49*F49+T49*H49+V49*J49),0),ROUND(IF(D49="简单平均",AVERAGE(R49:V49),R49*F49+T49*H49+V49*J49),1))</f>
        <v>#DIV/0!</v>
      </c>
      <c r="S50" s="3738"/>
      <c r="T50" s="3738"/>
      <c r="U50" s="3738"/>
      <c r="V50" s="3738"/>
      <c r="W50" s="3738"/>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1797</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2023-10</v>
      </c>
      <c r="D59" s="1185">
        <f>EDATE(C59,-1)</f>
        <v>45170</v>
      </c>
      <c r="E59" s="1185">
        <f>EDATE(D59,-1)</f>
        <v>45139</v>
      </c>
      <c r="F59" s="1185">
        <f t="shared" ref="F59:O59" si="16">EDATE(E59,-1)</f>
        <v>45108</v>
      </c>
      <c r="G59" s="1185">
        <f t="shared" si="16"/>
        <v>45078</v>
      </c>
      <c r="H59" s="1185">
        <f t="shared" si="16"/>
        <v>45047</v>
      </c>
      <c r="I59" s="1185">
        <f t="shared" si="16"/>
        <v>45017</v>
      </c>
      <c r="J59" s="1185">
        <f t="shared" si="16"/>
        <v>44986</v>
      </c>
      <c r="K59" s="1185">
        <f t="shared" si="16"/>
        <v>44958</v>
      </c>
      <c r="L59" s="1185">
        <f t="shared" si="16"/>
        <v>44927</v>
      </c>
      <c r="M59" s="1185">
        <f t="shared" si="16"/>
        <v>44896</v>
      </c>
      <c r="N59" s="1185">
        <f t="shared" si="16"/>
        <v>44866</v>
      </c>
      <c r="O59" s="1185">
        <f t="shared" si="16"/>
        <v>44835</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1715</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1775</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1718</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1820</v>
      </c>
      <c r="C77" s="522" t="s">
        <v>1720</v>
      </c>
      <c r="D77" s="522" t="s">
        <v>1721</v>
      </c>
      <c r="E77" s="522" t="s">
        <v>1722</v>
      </c>
      <c r="F77" s="522" t="s">
        <v>1723</v>
      </c>
      <c r="G77" s="522" t="s">
        <v>1724</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1725</v>
      </c>
      <c r="C79" s="527" t="s">
        <v>1720</v>
      </c>
      <c r="D79" s="527" t="s">
        <v>1721</v>
      </c>
      <c r="E79" s="527" t="s">
        <v>1722</v>
      </c>
      <c r="F79" s="527" t="s">
        <v>1723</v>
      </c>
      <c r="G79" s="527" t="s">
        <v>1724</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1726</v>
      </c>
      <c r="C81" s="527" t="s">
        <v>1720</v>
      </c>
      <c r="D81" s="527" t="s">
        <v>1721</v>
      </c>
      <c r="E81" s="527" t="s">
        <v>1722</v>
      </c>
      <c r="F81" s="527" t="s">
        <v>1723</v>
      </c>
      <c r="G81" s="527" t="s">
        <v>1724</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1812</v>
      </c>
      <c r="C83" s="608" t="s">
        <v>1798</v>
      </c>
      <c r="D83" s="608" t="s">
        <v>1799</v>
      </c>
      <c r="E83" s="608" t="s">
        <v>1800</v>
      </c>
      <c r="F83" s="608" t="s">
        <v>1801</v>
      </c>
      <c r="G83" s="608" t="s">
        <v>1802</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1821</v>
      </c>
      <c r="C85" s="527" t="s">
        <v>1720</v>
      </c>
      <c r="D85" s="527" t="s">
        <v>1721</v>
      </c>
      <c r="E85" s="527" t="s">
        <v>1722</v>
      </c>
      <c r="F85" s="527" t="s">
        <v>1723</v>
      </c>
      <c r="G85" s="527" t="s">
        <v>1724</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1822</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1735</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1737</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1739</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1823</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1740</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1741</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1824</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1807</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1743</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1825</v>
      </c>
      <c r="C1" s="1224" t="s">
        <v>1662</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72.16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94" t="s">
        <v>1769</v>
      </c>
      <c r="D4" s="3695"/>
      <c r="E4" s="3696" t="s">
        <v>1770</v>
      </c>
      <c r="F4" s="3697"/>
      <c r="G4" s="3694" t="s">
        <v>1771</v>
      </c>
      <c r="H4" s="3695"/>
      <c r="I4" s="3694" t="s">
        <v>1772</v>
      </c>
      <c r="J4" s="3695"/>
      <c r="K4" s="559" t="s">
        <v>1773</v>
      </c>
      <c r="L4" s="913"/>
      <c r="M4" s="914"/>
      <c r="N4" s="914"/>
      <c r="O4" s="914"/>
      <c r="P4" s="3698" t="s">
        <v>1774</v>
      </c>
      <c r="Q4" s="3699"/>
      <c r="R4" s="3681" t="s">
        <v>1770</v>
      </c>
      <c r="S4" s="3682"/>
      <c r="T4" s="3681" t="s">
        <v>1771</v>
      </c>
      <c r="U4" s="3682"/>
      <c r="V4" s="3706" t="s">
        <v>1772</v>
      </c>
      <c r="W4" s="3706"/>
      <c r="X4" s="1355"/>
      <c r="Y4" s="3681" t="s">
        <v>1774</v>
      </c>
      <c r="Z4" s="3682"/>
      <c r="AA4" s="3676" t="s">
        <v>1770</v>
      </c>
      <c r="AB4" s="3677" t="s">
        <v>1771</v>
      </c>
      <c r="AC4" s="3676" t="s">
        <v>1772</v>
      </c>
    </row>
    <row r="5" spans="1:29" ht="15">
      <c r="A5" s="358"/>
      <c r="B5" s="359"/>
      <c r="C5" s="3707" t="s">
        <v>1673</v>
      </c>
      <c r="D5" s="3688"/>
      <c r="E5" s="3723" t="s">
        <v>1674</v>
      </c>
      <c r="F5" s="3686"/>
      <c r="G5" s="3707" t="s">
        <v>1675</v>
      </c>
      <c r="H5" s="3688"/>
      <c r="I5" s="3707" t="s">
        <v>1676</v>
      </c>
      <c r="J5" s="3688"/>
      <c r="K5" s="559"/>
      <c r="L5" s="913"/>
      <c r="M5" s="914"/>
      <c r="N5" s="914"/>
      <c r="O5" s="914"/>
      <c r="P5" s="3700"/>
      <c r="Q5" s="3701"/>
      <c r="R5" s="3683"/>
      <c r="S5" s="3684"/>
      <c r="T5" s="3683"/>
      <c r="U5" s="3684"/>
      <c r="V5" s="3706"/>
      <c r="W5" s="3706"/>
      <c r="X5" s="1355"/>
      <c r="Y5" s="3683"/>
      <c r="Z5" s="3684"/>
      <c r="AA5" s="3677"/>
      <c r="AB5" s="3677"/>
      <c r="AC5" s="3677"/>
    </row>
    <row r="6" spans="1:29" ht="15.75" thickBot="1">
      <c r="A6" s="360"/>
      <c r="B6" s="361"/>
      <c r="C6" s="3689" t="s">
        <v>1677</v>
      </c>
      <c r="D6" s="3690"/>
      <c r="E6" s="3691" t="s">
        <v>1677</v>
      </c>
      <c r="F6" s="3692"/>
      <c r="G6" s="3689" t="s">
        <v>1677</v>
      </c>
      <c r="H6" s="3690"/>
      <c r="I6" s="3689" t="s">
        <v>1677</v>
      </c>
      <c r="J6" s="3690"/>
      <c r="K6" s="559" t="s">
        <v>1678</v>
      </c>
      <c r="L6" s="913"/>
      <c r="M6" s="914"/>
      <c r="N6" s="914"/>
      <c r="O6" s="914"/>
      <c r="P6" s="3702"/>
      <c r="Q6" s="3703"/>
      <c r="R6" s="3683"/>
      <c r="S6" s="3684"/>
      <c r="T6" s="3704"/>
      <c r="U6" s="3705"/>
      <c r="V6" s="3706"/>
      <c r="W6" s="3706"/>
      <c r="X6" s="1355"/>
      <c r="Y6" s="3704"/>
      <c r="Z6" s="3705"/>
      <c r="AA6" s="3678"/>
      <c r="AB6" s="3678"/>
      <c r="AC6" s="3678"/>
    </row>
    <row r="7" spans="1:29" s="108" customFormat="1" ht="15.75" thickBot="1">
      <c r="A7" s="362" t="s">
        <v>1679</v>
      </c>
      <c r="B7" s="363"/>
      <c r="C7" s="364">
        <f>'数据-取费表'!B2</f>
        <v>45214</v>
      </c>
      <c r="D7" s="365">
        <v>100</v>
      </c>
      <c r="E7" s="366"/>
      <c r="F7" s="367">
        <f>SUMIF(52:52,YEAR(E7)&amp;"-"&amp;MONTH(E7),53:53)</f>
        <v>0</v>
      </c>
      <c r="G7" s="366"/>
      <c r="H7" s="365">
        <f>SUMIF(52:52,YEAR(G7)&amp;"-"&amp;MONTH(G7),53:53)</f>
        <v>0</v>
      </c>
      <c r="I7" s="366"/>
      <c r="J7" s="365">
        <f>SUMIF(52:52,YEAR(I7)&amp;"-"&amp;MONTH(I7),53:53)</f>
        <v>0</v>
      </c>
      <c r="K7" s="560"/>
      <c r="L7" s="915"/>
      <c r="M7" s="916"/>
      <c r="N7" s="916"/>
      <c r="O7" s="916"/>
      <c r="P7" s="3679" t="s">
        <v>1680</v>
      </c>
      <c r="Q7" s="3708"/>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9" t="s">
        <v>1683</v>
      </c>
      <c r="Q8" s="3680"/>
      <c r="R8" s="701" t="s">
        <v>14</v>
      </c>
      <c r="S8" s="702">
        <f t="shared" si="0"/>
        <v>100</v>
      </c>
      <c r="T8" s="701" t="s">
        <v>14</v>
      </c>
      <c r="U8" s="702">
        <f t="shared" si="1"/>
        <v>100</v>
      </c>
      <c r="V8" s="701" t="s">
        <v>14</v>
      </c>
      <c r="W8" s="702">
        <f t="shared" si="2"/>
        <v>100</v>
      </c>
      <c r="X8" s="703"/>
      <c r="Y8" s="3679" t="s">
        <v>1683</v>
      </c>
      <c r="Z8" s="368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2"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12"/>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2"/>
      <c r="Q11" s="1343" t="str">
        <f t="shared" si="6"/>
        <v>容积率</v>
      </c>
      <c r="R11" s="701" t="s">
        <v>14</v>
      </c>
      <c r="S11" s="702">
        <f t="shared" si="0"/>
        <v>100</v>
      </c>
      <c r="T11" s="701" t="s">
        <v>14</v>
      </c>
      <c r="U11" s="702">
        <f t="shared" si="1"/>
        <v>100</v>
      </c>
      <c r="V11" s="701" t="s">
        <v>14</v>
      </c>
      <c r="W11" s="702">
        <f t="shared" si="2"/>
        <v>100</v>
      </c>
      <c r="X11" s="703"/>
      <c r="Y11" s="362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2"/>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2"/>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2"/>
      <c r="Q14" s="1343">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704">
        <f t="shared" si="5"/>
        <v>1</v>
      </c>
    </row>
    <row r="15" spans="1:29" ht="57">
      <c r="A15" s="391" t="s">
        <v>1690</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4" t="s">
        <v>1691</v>
      </c>
      <c r="Q15" s="1352" t="str">
        <f t="shared" si="6"/>
        <v>产业集聚程度</v>
      </c>
      <c r="R15" s="705" t="s">
        <v>14</v>
      </c>
      <c r="S15" s="706">
        <f t="shared" si="0"/>
        <v>100</v>
      </c>
      <c r="T15" s="705" t="s">
        <v>14</v>
      </c>
      <c r="U15" s="706">
        <f t="shared" si="1"/>
        <v>100</v>
      </c>
      <c r="V15" s="705" t="s">
        <v>14</v>
      </c>
      <c r="W15" s="706">
        <f t="shared" si="2"/>
        <v>100</v>
      </c>
      <c r="X15" s="1355"/>
      <c r="Y15" s="371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5"/>
      <c r="Q16" s="1352"/>
      <c r="R16" s="705"/>
      <c r="S16" s="706"/>
      <c r="T16" s="705"/>
      <c r="U16" s="706"/>
      <c r="V16" s="705"/>
      <c r="W16" s="706"/>
      <c r="X16" s="1355"/>
      <c r="Y16" s="371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5"/>
      <c r="Q17" s="1352" t="str">
        <f>B17</f>
        <v>交通便捷度</v>
      </c>
      <c r="R17" s="705" t="s">
        <v>14</v>
      </c>
      <c r="S17" s="706">
        <f>F17</f>
        <v>100</v>
      </c>
      <c r="T17" s="705" t="s">
        <v>14</v>
      </c>
      <c r="U17" s="706">
        <f>H17</f>
        <v>100</v>
      </c>
      <c r="V17" s="705" t="s">
        <v>14</v>
      </c>
      <c r="W17" s="706">
        <f>J17</f>
        <v>100</v>
      </c>
      <c r="X17" s="1355"/>
      <c r="Y17" s="371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5"/>
      <c r="Q18" s="1352"/>
      <c r="R18" s="705"/>
      <c r="S18" s="706"/>
      <c r="T18" s="705"/>
      <c r="U18" s="706"/>
      <c r="V18" s="705"/>
      <c r="W18" s="706"/>
      <c r="X18" s="1355"/>
      <c r="Y18" s="3715"/>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5"/>
      <c r="Q19" s="1352" t="str">
        <f>B19</f>
        <v>公共配套设施</v>
      </c>
      <c r="R19" s="705" t="s">
        <v>14</v>
      </c>
      <c r="S19" s="706">
        <f>F19</f>
        <v>100</v>
      </c>
      <c r="T19" s="705" t="s">
        <v>14</v>
      </c>
      <c r="U19" s="706">
        <f>H19</f>
        <v>100</v>
      </c>
      <c r="V19" s="705" t="s">
        <v>14</v>
      </c>
      <c r="W19" s="706">
        <f>J19</f>
        <v>100</v>
      </c>
      <c r="X19" s="1355"/>
      <c r="Y19" s="371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5"/>
      <c r="Q20" s="1352"/>
      <c r="R20" s="705"/>
      <c r="S20" s="706"/>
      <c r="T20" s="705"/>
      <c r="U20" s="706"/>
      <c r="V20" s="705"/>
      <c r="W20" s="706"/>
      <c r="X20" s="1355"/>
      <c r="Y20" s="3715"/>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5"/>
      <c r="Q21" s="1352" t="str">
        <f>B21</f>
        <v>基础设施水平</v>
      </c>
      <c r="R21" s="705" t="s">
        <v>14</v>
      </c>
      <c r="S21" s="706">
        <f>F21</f>
        <v>100</v>
      </c>
      <c r="T21" s="705" t="s">
        <v>14</v>
      </c>
      <c r="U21" s="706">
        <f>H21</f>
        <v>100</v>
      </c>
      <c r="V21" s="705" t="s">
        <v>14</v>
      </c>
      <c r="W21" s="706">
        <f>J21</f>
        <v>100</v>
      </c>
      <c r="X21" s="1355"/>
      <c r="Y21" s="371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5"/>
      <c r="Q22" s="1352"/>
      <c r="R22" s="705"/>
      <c r="S22" s="706"/>
      <c r="T22" s="705"/>
      <c r="U22" s="706"/>
      <c r="V22" s="705"/>
      <c r="W22" s="706"/>
      <c r="X22" s="1355"/>
      <c r="Y22" s="3715"/>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5"/>
      <c r="Q23" s="1352" t="str">
        <f>B23</f>
        <v>环境质量</v>
      </c>
      <c r="R23" s="705" t="s">
        <v>14</v>
      </c>
      <c r="S23" s="706">
        <f>F23</f>
        <v>100</v>
      </c>
      <c r="T23" s="705" t="s">
        <v>14</v>
      </c>
      <c r="U23" s="706">
        <f>H23</f>
        <v>100</v>
      </c>
      <c r="V23" s="705" t="s">
        <v>14</v>
      </c>
      <c r="W23" s="706">
        <f>J23</f>
        <v>100</v>
      </c>
      <c r="X23" s="1355"/>
      <c r="Y23" s="371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5"/>
      <c r="Q24" s="1352"/>
      <c r="R24" s="705"/>
      <c r="S24" s="706"/>
      <c r="T24" s="705"/>
      <c r="U24" s="706"/>
      <c r="V24" s="705"/>
      <c r="W24" s="706"/>
      <c r="X24" s="1355"/>
      <c r="Y24" s="371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5"/>
      <c r="Q25" s="1352">
        <f>B25</f>
        <v>111</v>
      </c>
      <c r="R25" s="705" t="s">
        <v>14</v>
      </c>
      <c r="S25" s="706">
        <f>F25</f>
        <v>100</v>
      </c>
      <c r="T25" s="705" t="s">
        <v>14</v>
      </c>
      <c r="U25" s="706">
        <f>H25</f>
        <v>100</v>
      </c>
      <c r="V25" s="705" t="s">
        <v>14</v>
      </c>
      <c r="W25" s="706">
        <f>J25</f>
        <v>100</v>
      </c>
      <c r="X25" s="1355"/>
      <c r="Y25" s="371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5"/>
      <c r="Q26" s="1352">
        <f t="shared" ref="Q26:Q40" si="11">B26</f>
        <v>111</v>
      </c>
      <c r="R26" s="705" t="s">
        <v>14</v>
      </c>
      <c r="S26" s="706">
        <f>F26</f>
        <v>100</v>
      </c>
      <c r="T26" s="705" t="s">
        <v>14</v>
      </c>
      <c r="U26" s="706">
        <f>H26</f>
        <v>100</v>
      </c>
      <c r="V26" s="705" t="s">
        <v>14</v>
      </c>
      <c r="W26" s="706">
        <f>J26</f>
        <v>100</v>
      </c>
      <c r="X26" s="1355"/>
      <c r="Y26" s="371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5"/>
      <c r="Q27" s="1343">
        <f t="shared" si="11"/>
        <v>111</v>
      </c>
      <c r="R27" s="701" t="s">
        <v>14</v>
      </c>
      <c r="S27" s="702">
        <f>F27</f>
        <v>100</v>
      </c>
      <c r="T27" s="701" t="s">
        <v>14</v>
      </c>
      <c r="U27" s="702">
        <f>H27</f>
        <v>100</v>
      </c>
      <c r="V27" s="701" t="s">
        <v>14</v>
      </c>
      <c r="W27" s="702">
        <f>J27</f>
        <v>100</v>
      </c>
      <c r="X27" s="703"/>
      <c r="Y27" s="371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5"/>
      <c r="Q28" s="1352">
        <f t="shared" si="11"/>
        <v>111</v>
      </c>
      <c r="R28" s="705" t="s">
        <v>14</v>
      </c>
      <c r="S28" s="706">
        <f t="shared" ref="S28:S40" si="12">F28</f>
        <v>100</v>
      </c>
      <c r="T28" s="705" t="s">
        <v>14</v>
      </c>
      <c r="U28" s="706">
        <f t="shared" ref="U28:U40" si="13">H28</f>
        <v>100</v>
      </c>
      <c r="V28" s="705" t="s">
        <v>14</v>
      </c>
      <c r="W28" s="706">
        <f t="shared" ref="W28:W40" si="14">J28</f>
        <v>100</v>
      </c>
      <c r="X28" s="1355"/>
      <c r="Y28" s="3715"/>
      <c r="Z28" s="1356">
        <f t="shared" ref="Z28:Z40" si="15">Q28</f>
        <v>111</v>
      </c>
      <c r="AA28" s="1353">
        <f t="shared" si="3"/>
        <v>1</v>
      </c>
      <c r="AB28" s="1353">
        <f t="shared" si="4"/>
        <v>1</v>
      </c>
      <c r="AC28" s="1353">
        <f t="shared" si="5"/>
        <v>1</v>
      </c>
    </row>
    <row r="29" spans="1:29" ht="29.25">
      <c r="A29" s="417" t="s">
        <v>1694</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9" t="s">
        <v>1696</v>
      </c>
      <c r="Q29" s="1352" t="str">
        <f t="shared" si="11"/>
        <v>建筑类型</v>
      </c>
      <c r="R29" s="705" t="s">
        <v>14</v>
      </c>
      <c r="S29" s="706">
        <f t="shared" si="12"/>
        <v>100</v>
      </c>
      <c r="T29" s="705" t="s">
        <v>14</v>
      </c>
      <c r="U29" s="706">
        <f t="shared" si="13"/>
        <v>100</v>
      </c>
      <c r="V29" s="705" t="s">
        <v>14</v>
      </c>
      <c r="W29" s="706">
        <f t="shared" si="14"/>
        <v>100</v>
      </c>
      <c r="X29" s="1355"/>
      <c r="Y29" s="371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9"/>
      <c r="Q30" s="707" t="str">
        <f t="shared" si="11"/>
        <v>项目建筑规模</v>
      </c>
      <c r="R30" s="708" t="s">
        <v>14</v>
      </c>
      <c r="S30" s="709" t="e">
        <f t="shared" si="12"/>
        <v>#N/A</v>
      </c>
      <c r="T30" s="708" t="s">
        <v>14</v>
      </c>
      <c r="U30" s="709" t="e">
        <f t="shared" si="13"/>
        <v>#N/A</v>
      </c>
      <c r="V30" s="708" t="s">
        <v>14</v>
      </c>
      <c r="W30" s="709" t="e">
        <f t="shared" si="14"/>
        <v>#N/A</v>
      </c>
      <c r="X30" s="710"/>
      <c r="Y30" s="371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9"/>
      <c r="Q31" s="1352" t="str">
        <f t="shared" si="11"/>
        <v>建筑结构</v>
      </c>
      <c r="R31" s="705" t="s">
        <v>14</v>
      </c>
      <c r="S31" s="706">
        <f t="shared" si="12"/>
        <v>100</v>
      </c>
      <c r="T31" s="705" t="s">
        <v>14</v>
      </c>
      <c r="U31" s="706">
        <f t="shared" si="13"/>
        <v>100</v>
      </c>
      <c r="V31" s="705" t="s">
        <v>14</v>
      </c>
      <c r="W31" s="706">
        <f t="shared" si="14"/>
        <v>100</v>
      </c>
      <c r="X31" s="1355"/>
      <c r="Y31" s="3719"/>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9"/>
      <c r="Q32" s="1352" t="str">
        <f t="shared" si="11"/>
        <v>公共部分装修</v>
      </c>
      <c r="R32" s="705" t="s">
        <v>14</v>
      </c>
      <c r="S32" s="706">
        <f t="shared" si="12"/>
        <v>100</v>
      </c>
      <c r="T32" s="705" t="s">
        <v>14</v>
      </c>
      <c r="U32" s="706">
        <f t="shared" si="13"/>
        <v>100</v>
      </c>
      <c r="V32" s="705" t="s">
        <v>14</v>
      </c>
      <c r="W32" s="706">
        <f t="shared" si="14"/>
        <v>100</v>
      </c>
      <c r="X32" s="1355"/>
      <c r="Y32" s="3719"/>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9"/>
      <c r="Q33" s="1352" t="str">
        <f t="shared" si="11"/>
        <v>成新度</v>
      </c>
      <c r="R33" s="705" t="s">
        <v>14</v>
      </c>
      <c r="S33" s="706" t="e">
        <f t="shared" si="12"/>
        <v>#N/A</v>
      </c>
      <c r="T33" s="705" t="s">
        <v>14</v>
      </c>
      <c r="U33" s="706" t="e">
        <f t="shared" si="13"/>
        <v>#N/A</v>
      </c>
      <c r="V33" s="705" t="s">
        <v>14</v>
      </c>
      <c r="W33" s="706" t="e">
        <f t="shared" si="14"/>
        <v>#N/A</v>
      </c>
      <c r="X33" s="1355"/>
      <c r="Y33" s="3719"/>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9"/>
      <c r="Q34" s="1343" t="str">
        <f t="shared" si="11"/>
        <v>物业管理</v>
      </c>
      <c r="R34" s="701" t="s">
        <v>14</v>
      </c>
      <c r="S34" s="702">
        <f t="shared" si="12"/>
        <v>100</v>
      </c>
      <c r="T34" s="701" t="s">
        <v>14</v>
      </c>
      <c r="U34" s="702">
        <f t="shared" si="13"/>
        <v>100</v>
      </c>
      <c r="V34" s="701" t="s">
        <v>14</v>
      </c>
      <c r="W34" s="702">
        <f t="shared" si="14"/>
        <v>100</v>
      </c>
      <c r="X34" s="703"/>
      <c r="Y34" s="3719"/>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9" t="s">
        <v>1696</v>
      </c>
      <c r="Q35" s="1352" t="str">
        <f t="shared" si="11"/>
        <v>市政基础设施</v>
      </c>
      <c r="R35" s="705" t="s">
        <v>14</v>
      </c>
      <c r="S35" s="706">
        <f t="shared" si="12"/>
        <v>100</v>
      </c>
      <c r="T35" s="705" t="s">
        <v>14</v>
      </c>
      <c r="U35" s="706">
        <f t="shared" si="13"/>
        <v>100</v>
      </c>
      <c r="V35" s="705" t="s">
        <v>14</v>
      </c>
      <c r="W35" s="706">
        <f t="shared" si="14"/>
        <v>100</v>
      </c>
      <c r="X35" s="1355"/>
      <c r="Y35" s="3719" t="s">
        <v>1696</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9"/>
      <c r="Q36" s="1352" t="str">
        <f t="shared" si="11"/>
        <v>内部装修</v>
      </c>
      <c r="R36" s="705" t="s">
        <v>14</v>
      </c>
      <c r="S36" s="706">
        <f t="shared" si="12"/>
        <v>100</v>
      </c>
      <c r="T36" s="705" t="s">
        <v>14</v>
      </c>
      <c r="U36" s="706">
        <f t="shared" si="13"/>
        <v>100</v>
      </c>
      <c r="V36" s="705" t="s">
        <v>14</v>
      </c>
      <c r="W36" s="706">
        <f t="shared" si="14"/>
        <v>100</v>
      </c>
      <c r="X36" s="1355"/>
      <c r="Y36" s="3719"/>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9"/>
      <c r="Q37" s="1352" t="str">
        <f t="shared" si="11"/>
        <v>内部装修状况</v>
      </c>
      <c r="R37" s="705" t="s">
        <v>14</v>
      </c>
      <c r="S37" s="706">
        <f t="shared" si="12"/>
        <v>100</v>
      </c>
      <c r="T37" s="705" t="s">
        <v>14</v>
      </c>
      <c r="U37" s="706">
        <f t="shared" si="13"/>
        <v>100</v>
      </c>
      <c r="V37" s="705" t="s">
        <v>14</v>
      </c>
      <c r="W37" s="706">
        <f t="shared" si="14"/>
        <v>100</v>
      </c>
      <c r="X37" s="1355"/>
      <c r="Y37" s="371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9"/>
      <c r="Q38" s="707">
        <f t="shared" si="11"/>
        <v>111</v>
      </c>
      <c r="R38" s="708" t="s">
        <v>14</v>
      </c>
      <c r="S38" s="709">
        <f t="shared" si="12"/>
        <v>100</v>
      </c>
      <c r="T38" s="708" t="s">
        <v>14</v>
      </c>
      <c r="U38" s="709">
        <f t="shared" si="13"/>
        <v>100</v>
      </c>
      <c r="V38" s="708" t="s">
        <v>14</v>
      </c>
      <c r="W38" s="709">
        <f t="shared" si="14"/>
        <v>100</v>
      </c>
      <c r="X38" s="710"/>
      <c r="Y38" s="371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9"/>
      <c r="Q39" s="1352">
        <f t="shared" si="11"/>
        <v>111</v>
      </c>
      <c r="R39" s="705" t="s">
        <v>14</v>
      </c>
      <c r="S39" s="706">
        <f t="shared" si="12"/>
        <v>100</v>
      </c>
      <c r="T39" s="705" t="s">
        <v>14</v>
      </c>
      <c r="U39" s="706">
        <f t="shared" si="13"/>
        <v>100</v>
      </c>
      <c r="V39" s="705" t="s">
        <v>14</v>
      </c>
      <c r="W39" s="706">
        <f t="shared" si="14"/>
        <v>100</v>
      </c>
      <c r="X39" s="1355"/>
      <c r="Y39" s="371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0"/>
      <c r="Q40" s="1352">
        <f t="shared" si="11"/>
        <v>111</v>
      </c>
      <c r="R40" s="705" t="s">
        <v>14</v>
      </c>
      <c r="S40" s="706">
        <f t="shared" si="12"/>
        <v>100</v>
      </c>
      <c r="T40" s="705" t="s">
        <v>14</v>
      </c>
      <c r="U40" s="706">
        <f t="shared" si="13"/>
        <v>100</v>
      </c>
      <c r="V40" s="705" t="s">
        <v>14</v>
      </c>
      <c r="W40" s="706">
        <f t="shared" si="14"/>
        <v>100</v>
      </c>
      <c r="X40" s="1355"/>
      <c r="Y40" s="372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2" t="str">
        <f>A41</f>
        <v>成交单价（元/平方米）</v>
      </c>
      <c r="Q41" s="3712"/>
      <c r="R41" s="3713">
        <f>E41</f>
        <v>0</v>
      </c>
      <c r="S41" s="3713"/>
      <c r="T41" s="3713">
        <f>G41</f>
        <v>0</v>
      </c>
      <c r="U41" s="3713"/>
      <c r="V41" s="3713">
        <f>I41</f>
        <v>0</v>
      </c>
      <c r="W41" s="3713"/>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12" t="str">
        <f>A42</f>
        <v>比较价值（元/平方米）</v>
      </c>
      <c r="Q42" s="3712"/>
      <c r="R42" s="3713" t="e">
        <f>IF(F1="售价",ROUND(PRODUCT(R41,AA7:AA40),0),ROUND(PRODUCT(R41,AA7:AA40),1))</f>
        <v>#DIV/0!</v>
      </c>
      <c r="S42" s="3713"/>
      <c r="T42" s="3713" t="e">
        <f>IF(F1="售价",ROUND(PRODUCT(T41,AB7:AB40),0),ROUND(PRODUCT(T41,AB7:AB40),1))</f>
        <v>#DIV/0!</v>
      </c>
      <c r="U42" s="3713"/>
      <c r="V42" s="3713" t="e">
        <f>IF(F1="售价",ROUND(PRODUCT(V41,AC7:AC40),0),ROUND(PRODUCT(V41,AC7:AC40),1))</f>
        <v>#DIV/0!</v>
      </c>
      <c r="W42" s="3713"/>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09" t="str">
        <f>A43</f>
        <v>估价对象XX用房的比较价值（楼面单价，元/平方米）</v>
      </c>
      <c r="Q43" s="3710"/>
      <c r="R43" s="3711" t="e">
        <f>IF(F1="售价",ROUND(IF(D42="简单平均",AVERAGE(R42:V42),R42*F42+T42*H42+V42*J42),0),ROUND(IF(D42="简单平均",AVERAGE(R42:V42),R42*F42+T42*H42+V42*J42),1))</f>
        <v>#DIV/0!</v>
      </c>
      <c r="S43" s="3711"/>
      <c r="T43" s="3711"/>
      <c r="U43" s="3711"/>
      <c r="V43" s="3711"/>
      <c r="W43" s="3711"/>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2023-10</v>
      </c>
      <c r="D52" s="1185">
        <f>EDATE(C52,-1)</f>
        <v>45170</v>
      </c>
      <c r="E52" s="1185">
        <f t="shared" ref="E52:O52" si="16">EDATE(D52,-1)</f>
        <v>45139</v>
      </c>
      <c r="F52" s="1185">
        <f t="shared" si="16"/>
        <v>45108</v>
      </c>
      <c r="G52" s="1185">
        <f t="shared" si="16"/>
        <v>45078</v>
      </c>
      <c r="H52" s="1185">
        <f t="shared" si="16"/>
        <v>45047</v>
      </c>
      <c r="I52" s="1185">
        <f t="shared" si="16"/>
        <v>45017</v>
      </c>
      <c r="J52" s="1185">
        <f t="shared" si="16"/>
        <v>44986</v>
      </c>
      <c r="K52" s="1185">
        <f t="shared" si="16"/>
        <v>44958</v>
      </c>
      <c r="L52" s="1185">
        <f t="shared" si="16"/>
        <v>44927</v>
      </c>
      <c r="M52" s="1185">
        <f t="shared" si="16"/>
        <v>44896</v>
      </c>
      <c r="N52" s="1185">
        <f t="shared" si="16"/>
        <v>44866</v>
      </c>
      <c r="O52" s="1185">
        <f t="shared" si="16"/>
        <v>44835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估价对象为北京市房地产，为所有。根据《国有土地使用证》[]，估价对象（分摊）出让国有建设用地使用权面积为0平方米，建筑面积为72.16平方米。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估价对象为北京市房地产,属开发建设的，该项目尚在开发建设中。根据《国有土地使用证》[]，估价对象（分摊）出让国有建设用地使用权面积为0平方米，规划建筑面积为72.16平方米。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2023年10月15日（评估专业人员实地查勘之日）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3332</v>
      </c>
      <c r="C1" s="1224" t="s">
        <v>1662</v>
      </c>
      <c r="D1" s="1225"/>
      <c r="E1" s="3432"/>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1768</v>
      </c>
      <c r="B4" s="356"/>
      <c r="C4" s="3694" t="s">
        <v>1769</v>
      </c>
      <c r="D4" s="3695"/>
      <c r="E4" s="3696" t="s">
        <v>1770</v>
      </c>
      <c r="F4" s="3697"/>
      <c r="G4" s="3694" t="s">
        <v>1771</v>
      </c>
      <c r="H4" s="3695"/>
      <c r="I4" s="3694" t="s">
        <v>1772</v>
      </c>
      <c r="J4" s="3695"/>
      <c r="K4" s="559" t="s">
        <v>1773</v>
      </c>
      <c r="L4" s="2714"/>
      <c r="M4" s="2715"/>
      <c r="N4" s="2715"/>
      <c r="O4" s="2715"/>
      <c r="P4" s="3698" t="s">
        <v>1774</v>
      </c>
      <c r="Q4" s="3699"/>
      <c r="R4" s="3681" t="s">
        <v>1770</v>
      </c>
      <c r="S4" s="3682"/>
      <c r="T4" s="3681" t="s">
        <v>1771</v>
      </c>
      <c r="U4" s="3682"/>
      <c r="V4" s="3706" t="s">
        <v>1772</v>
      </c>
      <c r="W4" s="3706"/>
      <c r="X4" s="1355"/>
      <c r="Y4" s="3681" t="s">
        <v>1774</v>
      </c>
      <c r="Z4" s="3682"/>
      <c r="AA4" s="3676" t="s">
        <v>1770</v>
      </c>
      <c r="AB4" s="3677" t="s">
        <v>1771</v>
      </c>
      <c r="AC4" s="3676" t="s">
        <v>1772</v>
      </c>
    </row>
    <row r="5" spans="1:29" ht="15">
      <c r="A5" s="358"/>
      <c r="B5" s="359"/>
      <c r="C5" s="3707" t="s">
        <v>1673</v>
      </c>
      <c r="D5" s="3688"/>
      <c r="E5" s="3723" t="s">
        <v>1674</v>
      </c>
      <c r="F5" s="3686"/>
      <c r="G5" s="3707" t="s">
        <v>1675</v>
      </c>
      <c r="H5" s="3688"/>
      <c r="I5" s="3707" t="s">
        <v>1676</v>
      </c>
      <c r="J5" s="3688"/>
      <c r="K5" s="559"/>
      <c r="L5" s="2714"/>
      <c r="M5" s="2715"/>
      <c r="N5" s="2715"/>
      <c r="O5" s="2715"/>
      <c r="P5" s="3700"/>
      <c r="Q5" s="3701"/>
      <c r="R5" s="3683"/>
      <c r="S5" s="3684"/>
      <c r="T5" s="3683"/>
      <c r="U5" s="3684"/>
      <c r="V5" s="3706"/>
      <c r="W5" s="3706"/>
      <c r="X5" s="1355"/>
      <c r="Y5" s="3683"/>
      <c r="Z5" s="3684"/>
      <c r="AA5" s="3677"/>
      <c r="AB5" s="3677"/>
      <c r="AC5" s="3677"/>
    </row>
    <row r="6" spans="1:29" ht="15.75" thickBot="1">
      <c r="A6" s="360"/>
      <c r="B6" s="361"/>
      <c r="C6" s="3689" t="s">
        <v>1677</v>
      </c>
      <c r="D6" s="3690"/>
      <c r="E6" s="3691" t="s">
        <v>1677</v>
      </c>
      <c r="F6" s="3692"/>
      <c r="G6" s="3689" t="s">
        <v>1677</v>
      </c>
      <c r="H6" s="3690"/>
      <c r="I6" s="3689" t="s">
        <v>1677</v>
      </c>
      <c r="J6" s="3690"/>
      <c r="K6" s="559" t="s">
        <v>1678</v>
      </c>
      <c r="L6" s="2714"/>
      <c r="M6" s="2715"/>
      <c r="N6" s="2715"/>
      <c r="O6" s="2715"/>
      <c r="P6" s="3702"/>
      <c r="Q6" s="3703"/>
      <c r="R6" s="3683"/>
      <c r="S6" s="3684"/>
      <c r="T6" s="3704"/>
      <c r="U6" s="3705"/>
      <c r="V6" s="3706"/>
      <c r="W6" s="3706"/>
      <c r="X6" s="1355"/>
      <c r="Y6" s="3704"/>
      <c r="Z6" s="3705"/>
      <c r="AA6" s="3678"/>
      <c r="AB6" s="3678"/>
      <c r="AC6" s="3678"/>
    </row>
    <row r="7" spans="1:29" s="108" customFormat="1" ht="15.75" thickBot="1">
      <c r="A7" s="362" t="s">
        <v>1679</v>
      </c>
      <c r="B7" s="363"/>
      <c r="C7" s="364">
        <f>'数据-取费表'!B2</f>
        <v>45214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79" t="s">
        <v>1680</v>
      </c>
      <c r="Q7" s="3708"/>
      <c r="R7" s="701" t="s">
        <v>14</v>
      </c>
      <c r="S7" s="702">
        <f t="shared" ref="S7:S14" si="0">F7</f>
        <v>0</v>
      </c>
      <c r="T7" s="701" t="s">
        <v>14</v>
      </c>
      <c r="U7" s="702">
        <f t="shared" ref="U7:U14" si="1">H7</f>
        <v>0</v>
      </c>
      <c r="V7" s="701" t="s">
        <v>14</v>
      </c>
      <c r="W7" s="702">
        <f t="shared" ref="W7:W14"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79" t="s">
        <v>1683</v>
      </c>
      <c r="Q8" s="3680"/>
      <c r="R8" s="701" t="s">
        <v>14</v>
      </c>
      <c r="S8" s="702">
        <f t="shared" si="0"/>
        <v>100</v>
      </c>
      <c r="T8" s="701" t="s">
        <v>14</v>
      </c>
      <c r="U8" s="702">
        <f t="shared" si="1"/>
        <v>100</v>
      </c>
      <c r="V8" s="701" t="s">
        <v>14</v>
      </c>
      <c r="W8" s="702">
        <f t="shared" si="2"/>
        <v>100</v>
      </c>
      <c r="X8" s="703"/>
      <c r="Y8" s="3679" t="s">
        <v>1683</v>
      </c>
      <c r="Z8" s="368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12" t="s">
        <v>1686</v>
      </c>
      <c r="Q9" s="1343" t="str">
        <f t="shared" ref="Q9:Q14" si="6">B9</f>
        <v>用途</v>
      </c>
      <c r="R9" s="701" t="s">
        <v>14</v>
      </c>
      <c r="S9" s="702">
        <f t="shared" si="0"/>
        <v>100</v>
      </c>
      <c r="T9" s="701" t="s">
        <v>14</v>
      </c>
      <c r="U9" s="702">
        <f t="shared" si="1"/>
        <v>100</v>
      </c>
      <c r="V9" s="701" t="s">
        <v>14</v>
      </c>
      <c r="W9" s="702">
        <f t="shared" si="2"/>
        <v>100</v>
      </c>
      <c r="X9" s="703"/>
      <c r="Y9" s="3623"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12"/>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12"/>
      <c r="Q11" s="1343">
        <f t="shared" si="6"/>
        <v>111</v>
      </c>
      <c r="R11" s="701" t="s">
        <v>14</v>
      </c>
      <c r="S11" s="702">
        <f t="shared" si="0"/>
        <v>100</v>
      </c>
      <c r="T11" s="701" t="s">
        <v>14</v>
      </c>
      <c r="U11" s="702">
        <f t="shared" si="1"/>
        <v>100</v>
      </c>
      <c r="V11" s="701" t="s">
        <v>14</v>
      </c>
      <c r="W11" s="702">
        <f t="shared" si="2"/>
        <v>100</v>
      </c>
      <c r="X11" s="703"/>
      <c r="Y11" s="362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12"/>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12"/>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42.5">
      <c r="A14" s="355" t="s">
        <v>1690</v>
      </c>
      <c r="B14" s="577" t="s">
        <v>1832</v>
      </c>
      <c r="C14" s="1971" t="str">
        <f>IF(B1="工业",估价对象房地状况!G4,估价对象房地状况!C6)</f>
        <v>估价对象紧邻城市支路——天达路，有专171路、411路等多条公共交通线路，距离最近的地铁7号线（郎辛庄站）约0.8公里，综合评价交通便捷度一般</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14" t="s">
        <v>1691</v>
      </c>
      <c r="Q14" s="1352" t="str">
        <f t="shared" si="6"/>
        <v>交通便捷度</v>
      </c>
      <c r="R14" s="705" t="s">
        <v>14</v>
      </c>
      <c r="S14" s="706">
        <f t="shared" si="0"/>
        <v>100</v>
      </c>
      <c r="T14" s="705" t="s">
        <v>14</v>
      </c>
      <c r="U14" s="706">
        <f t="shared" si="1"/>
        <v>100</v>
      </c>
      <c r="V14" s="705" t="s">
        <v>14</v>
      </c>
      <c r="W14" s="706">
        <f t="shared" si="2"/>
        <v>100</v>
      </c>
      <c r="X14" s="1355"/>
      <c r="Y14" s="371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15"/>
      <c r="Q15" s="1352"/>
      <c r="R15" s="705"/>
      <c r="S15" s="706"/>
      <c r="T15" s="705"/>
      <c r="U15" s="706"/>
      <c r="V15" s="705"/>
      <c r="W15" s="706"/>
      <c r="X15" s="1355"/>
      <c r="Y15" s="3715"/>
      <c r="Z15" s="1356"/>
      <c r="AA15" s="1353">
        <v>1</v>
      </c>
      <c r="AB15" s="1353">
        <v>1</v>
      </c>
      <c r="AC15" s="1353">
        <v>1</v>
      </c>
    </row>
    <row r="16" spans="1:29" ht="42.75">
      <c r="A16" s="358"/>
      <c r="B16" s="579" t="s">
        <v>1811</v>
      </c>
      <c r="C16" s="1900" t="str">
        <f>IF(B1="工业",估价对象房地状况!G5,估价对象房地状况!C7)</f>
        <v>估价对象所在区域公共配套设施齐备情况较好</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15"/>
      <c r="Q16" s="1352" t="str">
        <f>B16</f>
        <v>公共配套设施</v>
      </c>
      <c r="R16" s="705" t="s">
        <v>14</v>
      </c>
      <c r="S16" s="706">
        <f>F16</f>
        <v>100</v>
      </c>
      <c r="T16" s="705" t="s">
        <v>14</v>
      </c>
      <c r="U16" s="706">
        <f>H16</f>
        <v>100</v>
      </c>
      <c r="V16" s="705" t="s">
        <v>14</v>
      </c>
      <c r="W16" s="706">
        <f>J16</f>
        <v>100</v>
      </c>
      <c r="X16" s="1355"/>
      <c r="Y16" s="371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15"/>
      <c r="Q17" s="1352"/>
      <c r="R17" s="705"/>
      <c r="S17" s="706"/>
      <c r="T17" s="705"/>
      <c r="U17" s="706"/>
      <c r="V17" s="705"/>
      <c r="W17" s="706"/>
      <c r="X17" s="1355"/>
      <c r="Y17" s="3715"/>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15"/>
      <c r="Q18" s="1352" t="str">
        <f>B18</f>
        <v>基础设施水平</v>
      </c>
      <c r="R18" s="705" t="s">
        <v>14</v>
      </c>
      <c r="S18" s="706">
        <f>F18</f>
        <v>100</v>
      </c>
      <c r="T18" s="705" t="s">
        <v>14</v>
      </c>
      <c r="U18" s="706">
        <f>H18</f>
        <v>100</v>
      </c>
      <c r="V18" s="705" t="s">
        <v>14</v>
      </c>
      <c r="W18" s="706">
        <f>J18</f>
        <v>100</v>
      </c>
      <c r="X18" s="1355"/>
      <c r="Y18" s="371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15"/>
      <c r="Q19" s="1352"/>
      <c r="R19" s="705"/>
      <c r="S19" s="706"/>
      <c r="T19" s="705"/>
      <c r="U19" s="706"/>
      <c r="V19" s="705"/>
      <c r="W19" s="706"/>
      <c r="X19" s="1355"/>
      <c r="Y19" s="3715"/>
      <c r="Z19" s="1356"/>
      <c r="AA19" s="1353">
        <v>1</v>
      </c>
      <c r="AB19" s="1353">
        <v>1</v>
      </c>
      <c r="AC19" s="1353">
        <v>1</v>
      </c>
    </row>
    <row r="20" spans="1:29" ht="85.5">
      <c r="A20" s="358"/>
      <c r="B20" s="579" t="s">
        <v>1833</v>
      </c>
      <c r="C20" s="1900" t="str">
        <f>IF(B1="工业",估价对象房地状况!G7,估价对象房地状况!C9)</f>
        <v>区域自然环境：西排干渠；人文环境；豆各庄乡情博物馆；综合评价环境状况一般。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15"/>
      <c r="Q20" s="1352" t="str">
        <f>B20</f>
        <v>自然及人文环境</v>
      </c>
      <c r="R20" s="705" t="s">
        <v>14</v>
      </c>
      <c r="S20" s="706">
        <f>F20</f>
        <v>100</v>
      </c>
      <c r="T20" s="705" t="s">
        <v>14</v>
      </c>
      <c r="U20" s="706">
        <f>H20</f>
        <v>100</v>
      </c>
      <c r="V20" s="705" t="s">
        <v>14</v>
      </c>
      <c r="W20" s="706">
        <f>J20</f>
        <v>100</v>
      </c>
      <c r="X20" s="1355"/>
      <c r="Y20" s="371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15"/>
      <c r="Q21" s="1352"/>
      <c r="R21" s="705"/>
      <c r="S21" s="706"/>
      <c r="T21" s="705"/>
      <c r="U21" s="706"/>
      <c r="V21" s="705"/>
      <c r="W21" s="706"/>
      <c r="X21" s="1355"/>
      <c r="Y21" s="3715"/>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15"/>
      <c r="Q22" s="1352" t="str">
        <f>B22</f>
        <v>楼层</v>
      </c>
      <c r="R22" s="705" t="s">
        <v>14</v>
      </c>
      <c r="S22" s="706">
        <f>F22</f>
        <v>100</v>
      </c>
      <c r="T22" s="705" t="s">
        <v>14</v>
      </c>
      <c r="U22" s="706">
        <f>H22</f>
        <v>100</v>
      </c>
      <c r="V22" s="705" t="s">
        <v>14</v>
      </c>
      <c r="W22" s="706">
        <f>J22</f>
        <v>100</v>
      </c>
      <c r="X22" s="1355"/>
      <c r="Y22" s="371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15"/>
      <c r="Q23" s="1352">
        <f>B23</f>
        <v>111</v>
      </c>
      <c r="R23" s="705" t="s">
        <v>14</v>
      </c>
      <c r="S23" s="706">
        <f>F23</f>
        <v>100</v>
      </c>
      <c r="T23" s="705" t="s">
        <v>14</v>
      </c>
      <c r="U23" s="706">
        <f>H23</f>
        <v>100</v>
      </c>
      <c r="V23" s="705" t="s">
        <v>14</v>
      </c>
      <c r="W23" s="706">
        <f>J23</f>
        <v>100</v>
      </c>
      <c r="X23" s="1355"/>
      <c r="Y23" s="371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15"/>
      <c r="Q24" s="1352">
        <f t="shared" ref="Q24:Q36" si="11">B24</f>
        <v>111</v>
      </c>
      <c r="R24" s="705" t="s">
        <v>14</v>
      </c>
      <c r="S24" s="706">
        <f>F24</f>
        <v>100</v>
      </c>
      <c r="T24" s="705" t="s">
        <v>14</v>
      </c>
      <c r="U24" s="706">
        <f>H24</f>
        <v>100</v>
      </c>
      <c r="V24" s="705" t="s">
        <v>14</v>
      </c>
      <c r="W24" s="706">
        <f>J24</f>
        <v>100</v>
      </c>
      <c r="X24" s="1355"/>
      <c r="Y24" s="371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15"/>
      <c r="Q25" s="1343">
        <f t="shared" si="11"/>
        <v>111</v>
      </c>
      <c r="R25" s="701" t="s">
        <v>14</v>
      </c>
      <c r="S25" s="702">
        <f>F25</f>
        <v>100</v>
      </c>
      <c r="T25" s="701" t="s">
        <v>14</v>
      </c>
      <c r="U25" s="702">
        <f>H25</f>
        <v>100</v>
      </c>
      <c r="V25" s="701" t="s">
        <v>14</v>
      </c>
      <c r="W25" s="702">
        <f>J25</f>
        <v>100</v>
      </c>
      <c r="X25" s="703"/>
      <c r="Y25" s="3715"/>
      <c r="Z25" s="52">
        <f>Q25</f>
        <v>111</v>
      </c>
      <c r="AA25" s="1353">
        <f>D25/F25</f>
        <v>1</v>
      </c>
      <c r="AB25" s="1353">
        <f>D25/H25</f>
        <v>1</v>
      </c>
      <c r="AC25" s="1353">
        <f>D25/J25</f>
        <v>1</v>
      </c>
    </row>
    <row r="26" spans="1:29" ht="29.25">
      <c r="A26" s="600" t="s">
        <v>1694</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9" t="s">
        <v>1696</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19"/>
      <c r="Q27" s="707" t="str">
        <f t="shared" si="11"/>
        <v>项目停车位配比</v>
      </c>
      <c r="R27" s="708" t="s">
        <v>14</v>
      </c>
      <c r="S27" s="709">
        <f t="shared" si="12"/>
        <v>100</v>
      </c>
      <c r="T27" s="708" t="s">
        <v>14</v>
      </c>
      <c r="U27" s="709">
        <f t="shared" si="13"/>
        <v>100</v>
      </c>
      <c r="V27" s="708" t="s">
        <v>14</v>
      </c>
      <c r="W27" s="709">
        <f t="shared" si="14"/>
        <v>100</v>
      </c>
      <c r="X27" s="710"/>
      <c r="Y27" s="3719"/>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19"/>
      <c r="Q28" s="1352" t="str">
        <f t="shared" si="11"/>
        <v>公共部分装修</v>
      </c>
      <c r="R28" s="705" t="s">
        <v>14</v>
      </c>
      <c r="S28" s="706">
        <f t="shared" si="12"/>
        <v>100</v>
      </c>
      <c r="T28" s="705" t="s">
        <v>14</v>
      </c>
      <c r="U28" s="706">
        <f t="shared" si="13"/>
        <v>100</v>
      </c>
      <c r="V28" s="705" t="s">
        <v>14</v>
      </c>
      <c r="W28" s="706">
        <f t="shared" si="14"/>
        <v>100</v>
      </c>
      <c r="X28" s="1355"/>
      <c r="Y28" s="3719"/>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19"/>
      <c r="Q29" s="1352" t="str">
        <f t="shared" si="11"/>
        <v>成新率</v>
      </c>
      <c r="R29" s="705" t="s">
        <v>14</v>
      </c>
      <c r="S29" s="706" t="e">
        <f t="shared" si="12"/>
        <v>#N/A</v>
      </c>
      <c r="T29" s="705" t="s">
        <v>14</v>
      </c>
      <c r="U29" s="706" t="e">
        <f t="shared" si="13"/>
        <v>#N/A</v>
      </c>
      <c r="V29" s="705" t="s">
        <v>14</v>
      </c>
      <c r="W29" s="706" t="e">
        <f t="shared" si="14"/>
        <v>#N/A</v>
      </c>
      <c r="X29" s="1355"/>
      <c r="Y29" s="3719"/>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19"/>
      <c r="Q30" s="1352" t="str">
        <f t="shared" si="11"/>
        <v>物业等级</v>
      </c>
      <c r="R30" s="705" t="s">
        <v>14</v>
      </c>
      <c r="S30" s="706">
        <f t="shared" si="12"/>
        <v>100</v>
      </c>
      <c r="T30" s="705" t="s">
        <v>14</v>
      </c>
      <c r="U30" s="706">
        <f t="shared" si="13"/>
        <v>100</v>
      </c>
      <c r="V30" s="705" t="s">
        <v>14</v>
      </c>
      <c r="W30" s="706">
        <f t="shared" si="14"/>
        <v>100</v>
      </c>
      <c r="X30" s="1355"/>
      <c r="Y30" s="3719"/>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19"/>
      <c r="Q31" s="1343" t="str">
        <f t="shared" si="11"/>
        <v>停车位面积</v>
      </c>
      <c r="R31" s="701" t="s">
        <v>14</v>
      </c>
      <c r="S31" s="702" t="e">
        <f t="shared" si="12"/>
        <v>#N/A</v>
      </c>
      <c r="T31" s="701" t="s">
        <v>14</v>
      </c>
      <c r="U31" s="702" t="e">
        <f t="shared" si="13"/>
        <v>#N/A</v>
      </c>
      <c r="V31" s="701" t="s">
        <v>14</v>
      </c>
      <c r="W31" s="702" t="e">
        <f t="shared" si="14"/>
        <v>#N/A</v>
      </c>
      <c r="X31" s="703"/>
      <c r="Y31" s="3719"/>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19" t="s">
        <v>1696</v>
      </c>
      <c r="Q32" s="1352" t="str">
        <f t="shared" si="11"/>
        <v>车位类型</v>
      </c>
      <c r="R32" s="705" t="s">
        <v>14</v>
      </c>
      <c r="S32" s="706">
        <f t="shared" si="12"/>
        <v>100</v>
      </c>
      <c r="T32" s="705" t="s">
        <v>14</v>
      </c>
      <c r="U32" s="706">
        <f t="shared" si="13"/>
        <v>100</v>
      </c>
      <c r="V32" s="705" t="s">
        <v>14</v>
      </c>
      <c r="W32" s="706">
        <f t="shared" si="14"/>
        <v>100</v>
      </c>
      <c r="X32" s="1355"/>
      <c r="Y32" s="3719" t="s">
        <v>1696</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19"/>
      <c r="Q33" s="1352" t="str">
        <f t="shared" si="11"/>
        <v>是否直接入户</v>
      </c>
      <c r="R33" s="705" t="s">
        <v>14</v>
      </c>
      <c r="S33" s="706">
        <f t="shared" si="12"/>
        <v>100</v>
      </c>
      <c r="T33" s="705" t="s">
        <v>14</v>
      </c>
      <c r="U33" s="706">
        <f t="shared" si="13"/>
        <v>100</v>
      </c>
      <c r="V33" s="705" t="s">
        <v>14</v>
      </c>
      <c r="W33" s="706">
        <f t="shared" si="14"/>
        <v>100</v>
      </c>
      <c r="X33" s="1355"/>
      <c r="Y33" s="371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19"/>
      <c r="Q34" s="1352">
        <f t="shared" si="11"/>
        <v>111</v>
      </c>
      <c r="R34" s="705" t="s">
        <v>14</v>
      </c>
      <c r="S34" s="706">
        <f t="shared" si="12"/>
        <v>100</v>
      </c>
      <c r="T34" s="705" t="s">
        <v>14</v>
      </c>
      <c r="U34" s="706">
        <f t="shared" si="13"/>
        <v>100</v>
      </c>
      <c r="V34" s="705" t="s">
        <v>14</v>
      </c>
      <c r="W34" s="706">
        <f t="shared" si="14"/>
        <v>100</v>
      </c>
      <c r="X34" s="1355"/>
      <c r="Y34" s="371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19"/>
      <c r="Q35" s="707">
        <f t="shared" si="11"/>
        <v>111</v>
      </c>
      <c r="R35" s="708" t="s">
        <v>14</v>
      </c>
      <c r="S35" s="709">
        <f t="shared" si="12"/>
        <v>100</v>
      </c>
      <c r="T35" s="708" t="s">
        <v>14</v>
      </c>
      <c r="U35" s="709">
        <f t="shared" si="13"/>
        <v>100</v>
      </c>
      <c r="V35" s="708" t="s">
        <v>14</v>
      </c>
      <c r="W35" s="709">
        <f t="shared" si="14"/>
        <v>100</v>
      </c>
      <c r="X35" s="710"/>
      <c r="Y35" s="371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19"/>
      <c r="Q36" s="1352">
        <f t="shared" si="11"/>
        <v>111</v>
      </c>
      <c r="R36" s="705" t="s">
        <v>14</v>
      </c>
      <c r="S36" s="706">
        <f t="shared" si="12"/>
        <v>100</v>
      </c>
      <c r="T36" s="705" t="s">
        <v>14</v>
      </c>
      <c r="U36" s="706">
        <f t="shared" si="13"/>
        <v>100</v>
      </c>
      <c r="V36" s="705" t="s">
        <v>14</v>
      </c>
      <c r="W36" s="706">
        <f t="shared" si="14"/>
        <v>100</v>
      </c>
      <c r="X36" s="1355"/>
      <c r="Y36" s="3719"/>
      <c r="Z36" s="1356">
        <f t="shared" si="15"/>
        <v>111</v>
      </c>
      <c r="AA36" s="1353">
        <f t="shared" si="3"/>
        <v>1</v>
      </c>
      <c r="AB36" s="1353">
        <f t="shared" si="4"/>
        <v>1</v>
      </c>
      <c r="AC36" s="1353">
        <f t="shared" si="5"/>
        <v>1</v>
      </c>
    </row>
    <row r="37" spans="1:29" ht="15">
      <c r="A37" s="430" t="s">
        <v>1843</v>
      </c>
      <c r="B37" s="1973" t="s">
        <v>3353</v>
      </c>
      <c r="C37" s="1154" t="s">
        <v>0</v>
      </c>
      <c r="D37" s="1155"/>
      <c r="E37" s="1156"/>
      <c r="F37" s="1157"/>
      <c r="G37" s="1158"/>
      <c r="H37" s="1159"/>
      <c r="I37" s="1156"/>
      <c r="J37" s="1159"/>
      <c r="K37" s="568"/>
      <c r="L37" s="2723"/>
      <c r="M37" s="2724"/>
      <c r="N37" s="2715"/>
      <c r="O37" s="2724"/>
      <c r="P37" s="3712" t="str">
        <f>A37</f>
        <v>成交单价</v>
      </c>
      <c r="Q37" s="3712"/>
      <c r="R37" s="3713">
        <f>E37</f>
        <v>0</v>
      </c>
      <c r="S37" s="3713"/>
      <c r="T37" s="3713">
        <f>G37</f>
        <v>0</v>
      </c>
      <c r="U37" s="3713"/>
      <c r="V37" s="3713">
        <f>I37</f>
        <v>0</v>
      </c>
      <c r="W37" s="3713"/>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3"/>
      <c r="M38" s="2724"/>
      <c r="N38" s="2724"/>
      <c r="O38" s="2724"/>
      <c r="P38" s="3712" t="str">
        <f>A38</f>
        <v>比较价值（元/平方米）</v>
      </c>
      <c r="Q38" s="3712"/>
      <c r="R38" s="3713" t="e">
        <f>IF(F1="售价",ROUND(PRODUCT(R37,AA7:AA36),0),ROUND(PRODUCT(R37,AA7:AA36),1))</f>
        <v>#DIV/0!</v>
      </c>
      <c r="S38" s="3713"/>
      <c r="T38" s="3713" t="e">
        <f>IF(F1="售价",ROUND(PRODUCT(T37,AB7:AB36),0),ROUND(PRODUCT(T37,AB7:AB36),1))</f>
        <v>#DIV/0!</v>
      </c>
      <c r="U38" s="3713"/>
      <c r="V38" s="3713" t="e">
        <f>IF(F1="售价",ROUND(PRODUCT(V37,AC7:AC36),0),ROUND(PRODUCT(V37,AC7:AC36),1))</f>
        <v>#DIV/0!</v>
      </c>
      <c r="W38" s="3713"/>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3"/>
      <c r="M39" s="2724"/>
      <c r="N39" s="2724"/>
      <c r="O39" s="2724"/>
      <c r="P39" s="3709" t="str">
        <f>A39</f>
        <v>估价对象XX用房的比较价值（楼面单价，元/平方米）</v>
      </c>
      <c r="Q39" s="3710"/>
      <c r="R39" s="3740" t="e">
        <f>IF(F1="售价",ROUND(IF(D38="简单平均",AVERAGE(R38:W38),R38*F38+T38*H38+V38*J38),0),ROUND(IF(D38="简单平均",AVERAGE(R38:V38),R38*F38+T38*H38+V38*J38),1))</f>
        <v>#DIV/0!</v>
      </c>
      <c r="S39" s="3740"/>
      <c r="T39" s="3740"/>
      <c r="U39" s="3740"/>
      <c r="V39" s="3740"/>
      <c r="W39" s="3740"/>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1849</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1850</v>
      </c>
      <c r="B48" s="455"/>
      <c r="C48" s="1184" t="str">
        <f>YEAR(C7)&amp;"-"&amp;MONTH(C7)</f>
        <v>2023-10</v>
      </c>
      <c r="D48" s="1185">
        <f>EDATE(C48,-1)</f>
        <v>45170</v>
      </c>
      <c r="E48" s="1185">
        <f t="shared" ref="E48:O48" si="16">EDATE(D48,-1)</f>
        <v>45139</v>
      </c>
      <c r="F48" s="1185">
        <f t="shared" si="16"/>
        <v>45108</v>
      </c>
      <c r="G48" s="1185">
        <f t="shared" si="16"/>
        <v>45078</v>
      </c>
      <c r="H48" s="1185">
        <f t="shared" si="16"/>
        <v>45047</v>
      </c>
      <c r="I48" s="1185">
        <f t="shared" si="16"/>
        <v>45017</v>
      </c>
      <c r="J48" s="1185">
        <f t="shared" si="16"/>
        <v>44986</v>
      </c>
      <c r="K48" s="1185">
        <f t="shared" si="16"/>
        <v>44958</v>
      </c>
      <c r="L48" s="1185">
        <f t="shared" si="16"/>
        <v>44927</v>
      </c>
      <c r="M48" s="1185">
        <f t="shared" si="16"/>
        <v>44896</v>
      </c>
      <c r="N48" s="1185">
        <f t="shared" si="16"/>
        <v>44866</v>
      </c>
      <c r="O48" s="1185">
        <f t="shared" si="16"/>
        <v>44835</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1715</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1775</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1718</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1726</v>
      </c>
      <c r="C65" s="527" t="s">
        <v>1720</v>
      </c>
      <c r="D65" s="527" t="s">
        <v>1721</v>
      </c>
      <c r="E65" s="527" t="s">
        <v>1722</v>
      </c>
      <c r="F65" s="527" t="s">
        <v>1723</v>
      </c>
      <c r="G65" s="527" t="s">
        <v>1724</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1812</v>
      </c>
      <c r="C67" s="608" t="s">
        <v>1798</v>
      </c>
      <c r="D67" s="608" t="s">
        <v>1799</v>
      </c>
      <c r="E67" s="608" t="s">
        <v>1800</v>
      </c>
      <c r="F67" s="608" t="s">
        <v>1801</v>
      </c>
      <c r="G67" s="608" t="s">
        <v>1802</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1732</v>
      </c>
      <c r="C69" s="527" t="s">
        <v>1720</v>
      </c>
      <c r="D69" s="527" t="s">
        <v>1721</v>
      </c>
      <c r="E69" s="527" t="s">
        <v>1722</v>
      </c>
      <c r="F69" s="527" t="s">
        <v>1723</v>
      </c>
      <c r="G69" s="527" t="s">
        <v>1724</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1851</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1852</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1853</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1739</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1855</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1857</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1858</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1662</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1768</v>
      </c>
      <c r="B4" s="356"/>
      <c r="C4" s="3694" t="s">
        <v>1769</v>
      </c>
      <c r="D4" s="3695"/>
      <c r="E4" s="3696" t="s">
        <v>1770</v>
      </c>
      <c r="F4" s="3697"/>
      <c r="G4" s="3694" t="s">
        <v>1771</v>
      </c>
      <c r="H4" s="3695"/>
      <c r="I4" s="3694" t="s">
        <v>1772</v>
      </c>
      <c r="J4" s="3695"/>
      <c r="K4" s="559" t="s">
        <v>1773</v>
      </c>
      <c r="L4" s="2714"/>
      <c r="M4" s="2715"/>
      <c r="N4" s="2715"/>
      <c r="O4" s="2715"/>
      <c r="P4" s="3698" t="s">
        <v>1774</v>
      </c>
      <c r="Q4" s="3699"/>
      <c r="R4" s="3681" t="s">
        <v>1770</v>
      </c>
      <c r="S4" s="3682"/>
      <c r="T4" s="3681" t="s">
        <v>1771</v>
      </c>
      <c r="U4" s="3682"/>
      <c r="V4" s="3706" t="s">
        <v>1772</v>
      </c>
      <c r="W4" s="3706"/>
      <c r="X4" s="1355"/>
      <c r="Y4" s="3681" t="s">
        <v>1774</v>
      </c>
      <c r="Z4" s="3682"/>
      <c r="AA4" s="3676" t="s">
        <v>1770</v>
      </c>
      <c r="AB4" s="3677" t="s">
        <v>1771</v>
      </c>
      <c r="AC4" s="3676" t="s">
        <v>1772</v>
      </c>
    </row>
    <row r="5" spans="1:29" ht="15">
      <c r="A5" s="358"/>
      <c r="B5" s="359"/>
      <c r="C5" s="3707" t="s">
        <v>1673</v>
      </c>
      <c r="D5" s="3688"/>
      <c r="E5" s="3723" t="s">
        <v>1674</v>
      </c>
      <c r="F5" s="3686"/>
      <c r="G5" s="3707" t="s">
        <v>1675</v>
      </c>
      <c r="H5" s="3688"/>
      <c r="I5" s="3707" t="s">
        <v>1676</v>
      </c>
      <c r="J5" s="3688"/>
      <c r="K5" s="559"/>
      <c r="L5" s="2714"/>
      <c r="M5" s="2715"/>
      <c r="N5" s="2715"/>
      <c r="O5" s="2715"/>
      <c r="P5" s="3700"/>
      <c r="Q5" s="3701"/>
      <c r="R5" s="3683"/>
      <c r="S5" s="3684"/>
      <c r="T5" s="3683"/>
      <c r="U5" s="3684"/>
      <c r="V5" s="3706"/>
      <c r="W5" s="3706"/>
      <c r="X5" s="1355"/>
      <c r="Y5" s="3683"/>
      <c r="Z5" s="3684"/>
      <c r="AA5" s="3677"/>
      <c r="AB5" s="3677"/>
      <c r="AC5" s="3677"/>
    </row>
    <row r="6" spans="1:29" ht="15.75" thickBot="1">
      <c r="A6" s="360"/>
      <c r="B6" s="361"/>
      <c r="C6" s="3689" t="s">
        <v>1677</v>
      </c>
      <c r="D6" s="3690"/>
      <c r="E6" s="3691" t="s">
        <v>1677</v>
      </c>
      <c r="F6" s="3692"/>
      <c r="G6" s="3689" t="s">
        <v>1677</v>
      </c>
      <c r="H6" s="3690"/>
      <c r="I6" s="3689" t="s">
        <v>1677</v>
      </c>
      <c r="J6" s="3690"/>
      <c r="K6" s="559" t="s">
        <v>1678</v>
      </c>
      <c r="L6" s="2714"/>
      <c r="M6" s="2715"/>
      <c r="N6" s="2715"/>
      <c r="O6" s="2715"/>
      <c r="P6" s="3702"/>
      <c r="Q6" s="3703"/>
      <c r="R6" s="3683"/>
      <c r="S6" s="3684"/>
      <c r="T6" s="3704"/>
      <c r="U6" s="3705"/>
      <c r="V6" s="3706"/>
      <c r="W6" s="3706"/>
      <c r="X6" s="1355"/>
      <c r="Y6" s="3704"/>
      <c r="Z6" s="3705"/>
      <c r="AA6" s="3678"/>
      <c r="AB6" s="3678"/>
      <c r="AC6" s="3678"/>
    </row>
    <row r="7" spans="1:29" s="108" customFormat="1" ht="15.75" thickBot="1">
      <c r="A7" s="362" t="s">
        <v>1679</v>
      </c>
      <c r="B7" s="363"/>
      <c r="C7" s="364">
        <f>'数据-取费表'!B2</f>
        <v>45214</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79" t="s">
        <v>1680</v>
      </c>
      <c r="Q7" s="3708"/>
      <c r="R7" s="701" t="s">
        <v>14</v>
      </c>
      <c r="S7" s="702">
        <f t="shared" ref="S7:S14" si="0">F7</f>
        <v>0</v>
      </c>
      <c r="T7" s="701" t="s">
        <v>14</v>
      </c>
      <c r="U7" s="702">
        <f t="shared" ref="U7:U14" si="1">H7</f>
        <v>0</v>
      </c>
      <c r="V7" s="701" t="s">
        <v>14</v>
      </c>
      <c r="W7" s="702">
        <f t="shared" ref="W7:W14"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79" t="s">
        <v>1683</v>
      </c>
      <c r="Q8" s="3680"/>
      <c r="R8" s="701" t="s">
        <v>14</v>
      </c>
      <c r="S8" s="702">
        <f t="shared" si="0"/>
        <v>100</v>
      </c>
      <c r="T8" s="701" t="s">
        <v>14</v>
      </c>
      <c r="U8" s="702">
        <f t="shared" si="1"/>
        <v>100</v>
      </c>
      <c r="V8" s="701" t="s">
        <v>14</v>
      </c>
      <c r="W8" s="702">
        <f t="shared" si="2"/>
        <v>100</v>
      </c>
      <c r="X8" s="703"/>
      <c r="Y8" s="3679" t="s">
        <v>1683</v>
      </c>
      <c r="Z8" s="368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12" t="s">
        <v>1686</v>
      </c>
      <c r="Q9" s="1343" t="str">
        <f t="shared" ref="Q9:Q14" si="6">B9</f>
        <v>用途</v>
      </c>
      <c r="R9" s="701" t="s">
        <v>14</v>
      </c>
      <c r="S9" s="702">
        <f t="shared" si="0"/>
        <v>100</v>
      </c>
      <c r="T9" s="701" t="s">
        <v>14</v>
      </c>
      <c r="U9" s="702">
        <f t="shared" si="1"/>
        <v>100</v>
      </c>
      <c r="V9" s="701" t="s">
        <v>14</v>
      </c>
      <c r="W9" s="702">
        <f t="shared" si="2"/>
        <v>100</v>
      </c>
      <c r="X9" s="703"/>
      <c r="Y9" s="3623"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12"/>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12"/>
      <c r="Q11" s="1343">
        <f t="shared" si="6"/>
        <v>111</v>
      </c>
      <c r="R11" s="701" t="s">
        <v>14</v>
      </c>
      <c r="S11" s="702">
        <f t="shared" si="0"/>
        <v>100</v>
      </c>
      <c r="T11" s="701" t="s">
        <v>14</v>
      </c>
      <c r="U11" s="702">
        <f t="shared" si="1"/>
        <v>100</v>
      </c>
      <c r="V11" s="701" t="s">
        <v>14</v>
      </c>
      <c r="W11" s="702">
        <f t="shared" si="2"/>
        <v>100</v>
      </c>
      <c r="X11" s="703"/>
      <c r="Y11" s="362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12"/>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12"/>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42.5">
      <c r="A14" s="391" t="s">
        <v>1690</v>
      </c>
      <c r="B14" s="61" t="s">
        <v>1832</v>
      </c>
      <c r="C14" s="1971" t="str">
        <f>IF(B1="工业",估价对象房地状况!G4,估价对象房地状况!C6)</f>
        <v>估价对象紧邻城市支路——天达路，有专171路、411路等多条公共交通线路，距离最近的地铁7号线（郎辛庄站）约0.8公里，综合评价交通便捷度一般</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14" t="s">
        <v>1691</v>
      </c>
      <c r="Q14" s="1352" t="str">
        <f t="shared" si="6"/>
        <v>交通便捷度</v>
      </c>
      <c r="R14" s="705" t="s">
        <v>14</v>
      </c>
      <c r="S14" s="706">
        <f t="shared" si="0"/>
        <v>100</v>
      </c>
      <c r="T14" s="705" t="s">
        <v>14</v>
      </c>
      <c r="U14" s="706">
        <f t="shared" si="1"/>
        <v>100</v>
      </c>
      <c r="V14" s="705" t="s">
        <v>14</v>
      </c>
      <c r="W14" s="706">
        <f t="shared" si="2"/>
        <v>100</v>
      </c>
      <c r="X14" s="1355"/>
      <c r="Y14" s="371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15"/>
      <c r="Q15" s="1352"/>
      <c r="R15" s="705"/>
      <c r="S15" s="706"/>
      <c r="T15" s="705"/>
      <c r="U15" s="706"/>
      <c r="V15" s="705"/>
      <c r="W15" s="706"/>
      <c r="X15" s="1355"/>
      <c r="Y15" s="3715"/>
      <c r="Z15" s="1356"/>
      <c r="AA15" s="1353">
        <v>1</v>
      </c>
      <c r="AB15" s="1353">
        <v>1</v>
      </c>
      <c r="AC15" s="1353">
        <v>1</v>
      </c>
    </row>
    <row r="16" spans="1:29" ht="42.75">
      <c r="A16" s="379"/>
      <c r="B16" s="402" t="s">
        <v>1811</v>
      </c>
      <c r="C16" s="1900" t="str">
        <f>IF(B1="工业",估价对象房地状况!G5,估价对象房地状况!C7)</f>
        <v>估价对象所在区域公共配套设施齐备情况较好</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15"/>
      <c r="Q16" s="1352" t="str">
        <f>B16</f>
        <v>公共配套设施</v>
      </c>
      <c r="R16" s="705" t="s">
        <v>14</v>
      </c>
      <c r="S16" s="706">
        <f>F16</f>
        <v>100</v>
      </c>
      <c r="T16" s="705" t="s">
        <v>14</v>
      </c>
      <c r="U16" s="706">
        <f>H16</f>
        <v>100</v>
      </c>
      <c r="V16" s="705" t="s">
        <v>14</v>
      </c>
      <c r="W16" s="706">
        <f>J16</f>
        <v>100</v>
      </c>
      <c r="X16" s="1355"/>
      <c r="Y16" s="371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15"/>
      <c r="Q17" s="1352"/>
      <c r="R17" s="705"/>
      <c r="S17" s="706"/>
      <c r="T17" s="705"/>
      <c r="U17" s="706"/>
      <c r="V17" s="705"/>
      <c r="W17" s="706"/>
      <c r="X17" s="1355"/>
      <c r="Y17" s="3715"/>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15"/>
      <c r="Q18" s="1352" t="str">
        <f>B18</f>
        <v>基础设施水平</v>
      </c>
      <c r="R18" s="705" t="s">
        <v>14</v>
      </c>
      <c r="S18" s="706">
        <f>F18</f>
        <v>100</v>
      </c>
      <c r="T18" s="705" t="s">
        <v>14</v>
      </c>
      <c r="U18" s="706">
        <f>H18</f>
        <v>100</v>
      </c>
      <c r="V18" s="705" t="s">
        <v>14</v>
      </c>
      <c r="W18" s="706">
        <f>J18</f>
        <v>100</v>
      </c>
      <c r="X18" s="1355"/>
      <c r="Y18" s="371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15"/>
      <c r="Q19" s="1352"/>
      <c r="R19" s="705"/>
      <c r="S19" s="706"/>
      <c r="T19" s="705"/>
      <c r="U19" s="706"/>
      <c r="V19" s="705"/>
      <c r="W19" s="706"/>
      <c r="X19" s="1355"/>
      <c r="Y19" s="3715"/>
      <c r="Z19" s="1356"/>
      <c r="AA19" s="1353">
        <v>1</v>
      </c>
      <c r="AB19" s="1353">
        <v>1</v>
      </c>
      <c r="AC19" s="1353">
        <v>1</v>
      </c>
    </row>
    <row r="20" spans="1:29" ht="85.5">
      <c r="A20" s="379"/>
      <c r="B20" s="402" t="s">
        <v>1833</v>
      </c>
      <c r="C20" s="1900" t="str">
        <f>IF(B1="工业",估价对象房地状况!G7,估价对象房地状况!C9)</f>
        <v>区域自然环境：西排干渠；人文环境；豆各庄乡情博物馆；综合评价环境状况一般。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15"/>
      <c r="Q20" s="1352" t="str">
        <f>B20</f>
        <v>自然及人文环境</v>
      </c>
      <c r="R20" s="705" t="s">
        <v>14</v>
      </c>
      <c r="S20" s="706">
        <f>F20</f>
        <v>100</v>
      </c>
      <c r="T20" s="705" t="s">
        <v>14</v>
      </c>
      <c r="U20" s="706">
        <f>H20</f>
        <v>100</v>
      </c>
      <c r="V20" s="705" t="s">
        <v>14</v>
      </c>
      <c r="W20" s="706">
        <f>J20</f>
        <v>100</v>
      </c>
      <c r="X20" s="1355"/>
      <c r="Y20" s="371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15"/>
      <c r="Q21" s="1352"/>
      <c r="R21" s="705"/>
      <c r="S21" s="706"/>
      <c r="T21" s="705"/>
      <c r="U21" s="706"/>
      <c r="V21" s="705"/>
      <c r="W21" s="706"/>
      <c r="X21" s="1355"/>
      <c r="Y21" s="3715"/>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15"/>
      <c r="Q22" s="1352" t="str">
        <f>B22</f>
        <v>楼层</v>
      </c>
      <c r="R22" s="705" t="s">
        <v>14</v>
      </c>
      <c r="S22" s="706">
        <f>F22</f>
        <v>100</v>
      </c>
      <c r="T22" s="705" t="s">
        <v>14</v>
      </c>
      <c r="U22" s="706">
        <f>H22</f>
        <v>100</v>
      </c>
      <c r="V22" s="705" t="s">
        <v>14</v>
      </c>
      <c r="W22" s="706">
        <f>J22</f>
        <v>100</v>
      </c>
      <c r="X22" s="1355"/>
      <c r="Y22" s="371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15"/>
      <c r="Q23" s="1352">
        <f>B23</f>
        <v>111</v>
      </c>
      <c r="R23" s="705" t="s">
        <v>14</v>
      </c>
      <c r="S23" s="706">
        <f>F23</f>
        <v>100</v>
      </c>
      <c r="T23" s="705" t="s">
        <v>14</v>
      </c>
      <c r="U23" s="706">
        <f>H23</f>
        <v>100</v>
      </c>
      <c r="V23" s="705" t="s">
        <v>14</v>
      </c>
      <c r="W23" s="706">
        <f>J23</f>
        <v>100</v>
      </c>
      <c r="X23" s="1355"/>
      <c r="Y23" s="371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15"/>
      <c r="Q24" s="1352">
        <f t="shared" ref="Q24:Q34" si="11">B24</f>
        <v>111</v>
      </c>
      <c r="R24" s="705" t="s">
        <v>14</v>
      </c>
      <c r="S24" s="706">
        <f>F24</f>
        <v>100</v>
      </c>
      <c r="T24" s="705" t="s">
        <v>14</v>
      </c>
      <c r="U24" s="706">
        <f>H24</f>
        <v>100</v>
      </c>
      <c r="V24" s="705" t="s">
        <v>14</v>
      </c>
      <c r="W24" s="706">
        <f>J24</f>
        <v>100</v>
      </c>
      <c r="X24" s="1355"/>
      <c r="Y24" s="371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15"/>
      <c r="Q25" s="1343">
        <f t="shared" si="11"/>
        <v>111</v>
      </c>
      <c r="R25" s="701" t="s">
        <v>14</v>
      </c>
      <c r="S25" s="702">
        <f>F25</f>
        <v>100</v>
      </c>
      <c r="T25" s="701" t="s">
        <v>14</v>
      </c>
      <c r="U25" s="702">
        <f>H25</f>
        <v>100</v>
      </c>
      <c r="V25" s="701" t="s">
        <v>14</v>
      </c>
      <c r="W25" s="702">
        <f>J25</f>
        <v>100</v>
      </c>
      <c r="X25" s="703"/>
      <c r="Y25" s="3715"/>
      <c r="Z25" s="52">
        <f>Q25</f>
        <v>111</v>
      </c>
      <c r="AA25" s="1353">
        <f>D25/F25</f>
        <v>1</v>
      </c>
      <c r="AB25" s="1353">
        <f>D25/H25</f>
        <v>1</v>
      </c>
      <c r="AC25" s="1353">
        <f>D25/J25</f>
        <v>1</v>
      </c>
    </row>
    <row r="26" spans="1:29" ht="29.25">
      <c r="A26" s="417" t="s">
        <v>1694</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3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9" t="s">
        <v>1696</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19"/>
      <c r="Q27" s="707" t="str">
        <f t="shared" si="11"/>
        <v>成新率</v>
      </c>
      <c r="R27" s="708" t="s">
        <v>14</v>
      </c>
      <c r="S27" s="709" t="e">
        <f t="shared" si="12"/>
        <v>#N/A</v>
      </c>
      <c r="T27" s="708" t="s">
        <v>14</v>
      </c>
      <c r="U27" s="709" t="e">
        <f t="shared" si="13"/>
        <v>#N/A</v>
      </c>
      <c r="V27" s="708" t="s">
        <v>14</v>
      </c>
      <c r="W27" s="709" t="e">
        <f t="shared" si="14"/>
        <v>#N/A</v>
      </c>
      <c r="X27" s="710"/>
      <c r="Y27" s="3719"/>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19"/>
      <c r="Q28" s="1352" t="str">
        <f t="shared" si="11"/>
        <v>物业等级</v>
      </c>
      <c r="R28" s="705" t="s">
        <v>14</v>
      </c>
      <c r="S28" s="706">
        <f t="shared" si="12"/>
        <v>100</v>
      </c>
      <c r="T28" s="705" t="s">
        <v>14</v>
      </c>
      <c r="U28" s="706">
        <f t="shared" si="13"/>
        <v>100</v>
      </c>
      <c r="V28" s="705" t="s">
        <v>14</v>
      </c>
      <c r="W28" s="706">
        <f t="shared" si="14"/>
        <v>100</v>
      </c>
      <c r="X28" s="1355"/>
      <c r="Y28" s="3719"/>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19"/>
      <c r="Q29" s="1352" t="str">
        <f t="shared" si="11"/>
        <v>有无电梯</v>
      </c>
      <c r="R29" s="705" t="s">
        <v>14</v>
      </c>
      <c r="S29" s="706">
        <f t="shared" si="12"/>
        <v>100</v>
      </c>
      <c r="T29" s="705" t="s">
        <v>14</v>
      </c>
      <c r="U29" s="706">
        <f t="shared" si="13"/>
        <v>100</v>
      </c>
      <c r="V29" s="705" t="s">
        <v>14</v>
      </c>
      <c r="W29" s="706">
        <f t="shared" si="14"/>
        <v>100</v>
      </c>
      <c r="X29" s="1355"/>
      <c r="Y29" s="3719"/>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19"/>
      <c r="Q30" s="1352" t="str">
        <f t="shared" si="11"/>
        <v>建筑面积</v>
      </c>
      <c r="R30" s="705" t="s">
        <v>14</v>
      </c>
      <c r="S30" s="706" t="e">
        <f t="shared" si="12"/>
        <v>#N/A</v>
      </c>
      <c r="T30" s="705" t="s">
        <v>14</v>
      </c>
      <c r="U30" s="706" t="e">
        <f t="shared" si="13"/>
        <v>#N/A</v>
      </c>
      <c r="V30" s="705" t="s">
        <v>14</v>
      </c>
      <c r="W30" s="706" t="e">
        <f t="shared" si="14"/>
        <v>#N/A</v>
      </c>
      <c r="X30" s="1355"/>
      <c r="Y30" s="3719"/>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19"/>
      <c r="Q31" s="1343" t="str">
        <f t="shared" si="11"/>
        <v>是否封闭</v>
      </c>
      <c r="R31" s="701" t="s">
        <v>14</v>
      </c>
      <c r="S31" s="702">
        <f t="shared" si="12"/>
        <v>100</v>
      </c>
      <c r="T31" s="701" t="s">
        <v>14</v>
      </c>
      <c r="U31" s="702">
        <f t="shared" si="13"/>
        <v>100</v>
      </c>
      <c r="V31" s="701" t="s">
        <v>14</v>
      </c>
      <c r="W31" s="702">
        <f t="shared" si="14"/>
        <v>100</v>
      </c>
      <c r="X31" s="703"/>
      <c r="Y31" s="371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19" t="s">
        <v>1696</v>
      </c>
      <c r="Q32" s="1352">
        <f t="shared" si="11"/>
        <v>111</v>
      </c>
      <c r="R32" s="705" t="s">
        <v>14</v>
      </c>
      <c r="S32" s="706">
        <f t="shared" si="12"/>
        <v>100</v>
      </c>
      <c r="T32" s="705" t="s">
        <v>14</v>
      </c>
      <c r="U32" s="706">
        <f t="shared" si="13"/>
        <v>100</v>
      </c>
      <c r="V32" s="705" t="s">
        <v>14</v>
      </c>
      <c r="W32" s="706">
        <f t="shared" si="14"/>
        <v>100</v>
      </c>
      <c r="X32" s="1355"/>
      <c r="Y32" s="371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19"/>
      <c r="Q33" s="1352">
        <f t="shared" si="11"/>
        <v>111</v>
      </c>
      <c r="R33" s="705" t="s">
        <v>14</v>
      </c>
      <c r="S33" s="706">
        <f t="shared" si="12"/>
        <v>100</v>
      </c>
      <c r="T33" s="705" t="s">
        <v>14</v>
      </c>
      <c r="U33" s="706">
        <f t="shared" si="13"/>
        <v>100</v>
      </c>
      <c r="V33" s="705" t="s">
        <v>14</v>
      </c>
      <c r="W33" s="706">
        <f t="shared" si="14"/>
        <v>100</v>
      </c>
      <c r="X33" s="1355"/>
      <c r="Y33" s="371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19"/>
      <c r="Q34" s="1352">
        <f t="shared" si="11"/>
        <v>111</v>
      </c>
      <c r="R34" s="705" t="s">
        <v>14</v>
      </c>
      <c r="S34" s="706">
        <f t="shared" si="12"/>
        <v>100</v>
      </c>
      <c r="T34" s="705" t="s">
        <v>14</v>
      </c>
      <c r="U34" s="706">
        <f t="shared" si="13"/>
        <v>100</v>
      </c>
      <c r="V34" s="705" t="s">
        <v>14</v>
      </c>
      <c r="W34" s="706">
        <f t="shared" si="14"/>
        <v>100</v>
      </c>
      <c r="X34" s="1355"/>
      <c r="Y34" s="371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712" t="str">
        <f>A35</f>
        <v>成交单价（元/平方米）</v>
      </c>
      <c r="Q35" s="3712"/>
      <c r="R35" s="3713">
        <f>E35</f>
        <v>0</v>
      </c>
      <c r="S35" s="3713"/>
      <c r="T35" s="3713">
        <f>G35</f>
        <v>0</v>
      </c>
      <c r="U35" s="3713"/>
      <c r="V35" s="3713">
        <f>I35</f>
        <v>0</v>
      </c>
      <c r="W35" s="3713"/>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3"/>
      <c r="M36" s="2724"/>
      <c r="N36" s="2715"/>
      <c r="O36" s="2724"/>
      <c r="P36" s="3712" t="str">
        <f>A36</f>
        <v>比较价值（元/平方米）</v>
      </c>
      <c r="Q36" s="3712"/>
      <c r="R36" s="3713" t="e">
        <f>IF(F1="售价",ROUND(PRODUCT(R35,AA7:AA34),0),ROUND(PRODUCT(R35,AA7:AA34),1))</f>
        <v>#DIV/0!</v>
      </c>
      <c r="S36" s="3713"/>
      <c r="T36" s="3713" t="e">
        <f>IF(F1="售价",ROUND(PRODUCT(T35,AB7:AB34),0),ROUND(PRODUCT(T35,AB7:AB34),1))</f>
        <v>#DIV/0!</v>
      </c>
      <c r="U36" s="3713"/>
      <c r="V36" s="3713" t="e">
        <f>IF(F1="售价",ROUND(PRODUCT(V35,AC7:AC34),0),ROUND(PRODUCT(V35,AC7:AC34),1))</f>
        <v>#DIV/0!</v>
      </c>
      <c r="W36" s="3713"/>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3"/>
      <c r="M37" s="2724"/>
      <c r="N37" s="2724"/>
      <c r="O37" s="2724"/>
      <c r="P37" s="3709" t="str">
        <f>A37</f>
        <v>估价对象XX用房的比较价值（楼面单价，元/平方米）</v>
      </c>
      <c r="Q37" s="3710"/>
      <c r="R37" s="3740" t="e">
        <f>IF(F1="售价",ROUND(IF(D36="简单平均",AVERAGE(R36:W36),R36*F36+T36*H36+V36*J36),0),ROUND(IF(D36="简单平均",AVERAGE(R36:V36),R36*F36+T36*H36+V36*J36),1))</f>
        <v>#DIV/0!</v>
      </c>
      <c r="S37" s="3740"/>
      <c r="T37" s="3740"/>
      <c r="U37" s="3740"/>
      <c r="V37" s="3740"/>
      <c r="W37" s="3740"/>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1797</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2023-10</v>
      </c>
      <c r="D46" s="1185">
        <f>EDATE(C46,-1)</f>
        <v>45170</v>
      </c>
      <c r="E46" s="1185">
        <f t="shared" ref="E46:O46" si="16">EDATE(D46,-1)</f>
        <v>45139</v>
      </c>
      <c r="F46" s="1185">
        <f t="shared" si="16"/>
        <v>45108</v>
      </c>
      <c r="G46" s="1185">
        <f t="shared" si="16"/>
        <v>45078</v>
      </c>
      <c r="H46" s="1185">
        <f t="shared" si="16"/>
        <v>45047</v>
      </c>
      <c r="I46" s="1185">
        <f t="shared" si="16"/>
        <v>45017</v>
      </c>
      <c r="J46" s="1185">
        <f t="shared" si="16"/>
        <v>44986</v>
      </c>
      <c r="K46" s="1185">
        <f t="shared" si="16"/>
        <v>44958</v>
      </c>
      <c r="L46" s="1185">
        <f t="shared" si="16"/>
        <v>44927</v>
      </c>
      <c r="M46" s="1185">
        <f t="shared" si="16"/>
        <v>44896</v>
      </c>
      <c r="N46" s="1185">
        <f t="shared" si="16"/>
        <v>44866</v>
      </c>
      <c r="O46" s="1185">
        <f t="shared" si="16"/>
        <v>44835</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1715</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1775</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1718</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1862</v>
      </c>
      <c r="C63" s="527" t="s">
        <v>1720</v>
      </c>
      <c r="D63" s="527" t="s">
        <v>1721</v>
      </c>
      <c r="E63" s="527" t="s">
        <v>1722</v>
      </c>
      <c r="F63" s="527" t="s">
        <v>1723</v>
      </c>
      <c r="G63" s="527" t="s">
        <v>1724</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1812</v>
      </c>
      <c r="C65" s="608" t="s">
        <v>1798</v>
      </c>
      <c r="D65" s="608" t="s">
        <v>1799</v>
      </c>
      <c r="E65" s="608" t="s">
        <v>1800</v>
      </c>
      <c r="F65" s="608" t="s">
        <v>1801</v>
      </c>
      <c r="G65" s="608" t="s">
        <v>1802</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1732</v>
      </c>
      <c r="C67" s="527" t="s">
        <v>1720</v>
      </c>
      <c r="D67" s="527" t="s">
        <v>1721</v>
      </c>
      <c r="E67" s="527" t="s">
        <v>1722</v>
      </c>
      <c r="F67" s="527" t="s">
        <v>1723</v>
      </c>
      <c r="G67" s="527" t="s">
        <v>1724</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1851</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1739</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1855</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1863</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1865</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1768</v>
      </c>
      <c r="B4" s="356"/>
      <c r="C4" s="3694" t="s">
        <v>1769</v>
      </c>
      <c r="D4" s="3695"/>
      <c r="E4" s="3696" t="s">
        <v>1770</v>
      </c>
      <c r="F4" s="3697"/>
      <c r="G4" s="3694" t="s">
        <v>1771</v>
      </c>
      <c r="H4" s="3695"/>
      <c r="I4" s="3694" t="s">
        <v>1772</v>
      </c>
      <c r="J4" s="3695"/>
      <c r="K4" s="559" t="s">
        <v>1773</v>
      </c>
      <c r="L4" s="2714"/>
      <c r="M4" s="2715"/>
      <c r="N4" s="2715"/>
      <c r="O4" s="2715"/>
      <c r="P4" s="3698" t="s">
        <v>1774</v>
      </c>
      <c r="Q4" s="3699"/>
      <c r="R4" s="3681" t="s">
        <v>1770</v>
      </c>
      <c r="S4" s="3682"/>
      <c r="T4" s="3681" t="s">
        <v>1771</v>
      </c>
      <c r="U4" s="3682"/>
      <c r="V4" s="3706" t="s">
        <v>1772</v>
      </c>
      <c r="W4" s="3706"/>
      <c r="X4" s="1355"/>
      <c r="Y4" s="3681" t="s">
        <v>1774</v>
      </c>
      <c r="Z4" s="3682"/>
      <c r="AA4" s="3676" t="s">
        <v>1770</v>
      </c>
      <c r="AB4" s="3677" t="s">
        <v>1771</v>
      </c>
      <c r="AC4" s="3676" t="s">
        <v>1772</v>
      </c>
    </row>
    <row r="5" spans="1:30" ht="15">
      <c r="A5" s="358"/>
      <c r="B5" s="359"/>
      <c r="C5" s="3707" t="s">
        <v>1673</v>
      </c>
      <c r="D5" s="3688"/>
      <c r="E5" s="3723" t="s">
        <v>1674</v>
      </c>
      <c r="F5" s="3686"/>
      <c r="G5" s="3707" t="s">
        <v>1675</v>
      </c>
      <c r="H5" s="3688"/>
      <c r="I5" s="3707" t="s">
        <v>1676</v>
      </c>
      <c r="J5" s="3688"/>
      <c r="K5" s="559"/>
      <c r="L5" s="2714"/>
      <c r="M5" s="2715"/>
      <c r="N5" s="2715"/>
      <c r="O5" s="2715"/>
      <c r="P5" s="3700"/>
      <c r="Q5" s="3701"/>
      <c r="R5" s="3683"/>
      <c r="S5" s="3684"/>
      <c r="T5" s="3683"/>
      <c r="U5" s="3684"/>
      <c r="V5" s="3706"/>
      <c r="W5" s="3706"/>
      <c r="X5" s="1355"/>
      <c r="Y5" s="3683"/>
      <c r="Z5" s="3684"/>
      <c r="AA5" s="3677"/>
      <c r="AB5" s="3677"/>
      <c r="AC5" s="3677"/>
    </row>
    <row r="6" spans="1:30" ht="15.75" thickBot="1">
      <c r="A6" s="360"/>
      <c r="B6" s="361"/>
      <c r="C6" s="3689" t="s">
        <v>1677</v>
      </c>
      <c r="D6" s="3690"/>
      <c r="E6" s="3691" t="s">
        <v>1677</v>
      </c>
      <c r="F6" s="3692"/>
      <c r="G6" s="3689" t="s">
        <v>1677</v>
      </c>
      <c r="H6" s="3690"/>
      <c r="I6" s="3689" t="s">
        <v>1677</v>
      </c>
      <c r="J6" s="3690"/>
      <c r="K6" s="559" t="s">
        <v>1678</v>
      </c>
      <c r="L6" s="2714"/>
      <c r="M6" s="2715"/>
      <c r="N6" s="2715"/>
      <c r="O6" s="2715"/>
      <c r="P6" s="3702"/>
      <c r="Q6" s="3703"/>
      <c r="R6" s="3683"/>
      <c r="S6" s="3684"/>
      <c r="T6" s="3704"/>
      <c r="U6" s="3705"/>
      <c r="V6" s="3706"/>
      <c r="W6" s="3706"/>
      <c r="X6" s="1355"/>
      <c r="Y6" s="3704"/>
      <c r="Z6" s="3705"/>
      <c r="AA6" s="3678"/>
      <c r="AB6" s="3678"/>
      <c r="AC6" s="3678"/>
    </row>
    <row r="7" spans="1:30" s="108" customFormat="1" ht="15.75" thickBot="1">
      <c r="A7" s="362" t="s">
        <v>1679</v>
      </c>
      <c r="B7" s="363"/>
      <c r="C7" s="364">
        <f>'数据-取费表'!B2</f>
        <v>45214</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79" t="s">
        <v>1680</v>
      </c>
      <c r="Q7" s="3708"/>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79" t="s">
        <v>1683</v>
      </c>
      <c r="Q8" s="3680"/>
      <c r="R8" s="701" t="s">
        <v>14</v>
      </c>
      <c r="S8" s="702">
        <f t="shared" si="0"/>
        <v>0</v>
      </c>
      <c r="T8" s="701" t="s">
        <v>14</v>
      </c>
      <c r="U8" s="702">
        <f t="shared" si="1"/>
        <v>0</v>
      </c>
      <c r="V8" s="701" t="s">
        <v>14</v>
      </c>
      <c r="W8" s="702">
        <f t="shared" si="2"/>
        <v>0</v>
      </c>
      <c r="X8" s="703"/>
      <c r="Y8" s="3679" t="s">
        <v>1683</v>
      </c>
      <c r="Z8" s="368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12"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712"/>
      <c r="Q10" s="1343" t="str">
        <f t="shared" si="6"/>
        <v>土地使用年限（年）</v>
      </c>
      <c r="R10" s="701" t="s">
        <v>14</v>
      </c>
      <c r="S10" s="702" t="e">
        <f t="shared" si="0"/>
        <v>#DIV/0!</v>
      </c>
      <c r="T10" s="701" t="s">
        <v>14</v>
      </c>
      <c r="U10" s="702" t="e">
        <f t="shared" si="1"/>
        <v>#DIV/0!</v>
      </c>
      <c r="V10" s="701" t="s">
        <v>14</v>
      </c>
      <c r="W10" s="702" t="e">
        <f t="shared" si="2"/>
        <v>#DIV/0!</v>
      </c>
      <c r="X10" s="703"/>
      <c r="Y10" s="3623"/>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12"/>
      <c r="Q11" s="1343" t="str">
        <f t="shared" si="6"/>
        <v>容积率</v>
      </c>
      <c r="R11" s="701" t="s">
        <v>14</v>
      </c>
      <c r="S11" s="702" t="e">
        <f t="shared" si="0"/>
        <v>#N/A</v>
      </c>
      <c r="T11" s="701" t="s">
        <v>14</v>
      </c>
      <c r="U11" s="702" t="e">
        <f t="shared" si="1"/>
        <v>#N/A</v>
      </c>
      <c r="V11" s="701" t="s">
        <v>14</v>
      </c>
      <c r="W11" s="702" t="e">
        <f t="shared" si="2"/>
        <v>#N/A</v>
      </c>
      <c r="X11" s="703"/>
      <c r="Y11" s="3623"/>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12"/>
      <c r="Q12" s="1343" t="str">
        <f t="shared" si="6"/>
        <v>配建</v>
      </c>
      <c r="R12" s="701" t="s">
        <v>14</v>
      </c>
      <c r="S12" s="702">
        <f t="shared" si="0"/>
        <v>100</v>
      </c>
      <c r="T12" s="701" t="s">
        <v>14</v>
      </c>
      <c r="U12" s="702">
        <f t="shared" si="1"/>
        <v>100</v>
      </c>
      <c r="V12" s="701" t="s">
        <v>14</v>
      </c>
      <c r="W12" s="702">
        <f t="shared" si="2"/>
        <v>100</v>
      </c>
      <c r="X12" s="703"/>
      <c r="Y12" s="362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12"/>
      <c r="Q13" s="1343">
        <f t="shared" si="6"/>
        <v>111</v>
      </c>
      <c r="R13" s="701" t="s">
        <v>14</v>
      </c>
      <c r="S13" s="702">
        <f t="shared" si="0"/>
        <v>100</v>
      </c>
      <c r="T13" s="701" t="s">
        <v>14</v>
      </c>
      <c r="U13" s="702">
        <f t="shared" si="1"/>
        <v>100</v>
      </c>
      <c r="V13" s="701" t="s">
        <v>14</v>
      </c>
      <c r="W13" s="702">
        <f t="shared" si="2"/>
        <v>100</v>
      </c>
      <c r="X13" s="703"/>
      <c r="Y13" s="362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12"/>
      <c r="Q14" s="1343">
        <f t="shared" si="6"/>
        <v>111</v>
      </c>
      <c r="R14" s="701" t="s">
        <v>14</v>
      </c>
      <c r="S14" s="702">
        <f t="shared" si="0"/>
        <v>100</v>
      </c>
      <c r="T14" s="701" t="s">
        <v>14</v>
      </c>
      <c r="U14" s="702">
        <f t="shared" si="1"/>
        <v>100</v>
      </c>
      <c r="V14" s="701" t="s">
        <v>14</v>
      </c>
      <c r="W14" s="702">
        <f t="shared" si="2"/>
        <v>100</v>
      </c>
      <c r="X14" s="703"/>
      <c r="Y14" s="3623"/>
      <c r="Z14" s="52">
        <f t="shared" si="7"/>
        <v>111</v>
      </c>
      <c r="AA14" s="704">
        <f>D14/F14</f>
        <v>1</v>
      </c>
      <c r="AB14" s="704">
        <f>D14/H14</f>
        <v>1</v>
      </c>
      <c r="AC14" s="704">
        <f>D14/J14</f>
        <v>1</v>
      </c>
    </row>
    <row r="15" spans="1:30" ht="85.5">
      <c r="A15" s="391" t="s">
        <v>1690</v>
      </c>
      <c r="B15" s="61" t="s">
        <v>1257</v>
      </c>
      <c r="C15" s="1896" t="str">
        <f>估价对象房地状况!C15</f>
        <v>估价对象周边有青荷里晨风园、京城雅居、明德园等社区，综合评价居住社区成熟度较好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14" t="s">
        <v>1691</v>
      </c>
      <c r="Q15" s="1352" t="str">
        <f t="shared" si="6"/>
        <v>居住社区成熟度</v>
      </c>
      <c r="R15" s="705" t="s">
        <v>14</v>
      </c>
      <c r="S15" s="706">
        <f t="shared" si="0"/>
        <v>100</v>
      </c>
      <c r="T15" s="705" t="s">
        <v>14</v>
      </c>
      <c r="U15" s="706">
        <f t="shared" si="1"/>
        <v>100</v>
      </c>
      <c r="V15" s="705" t="s">
        <v>14</v>
      </c>
      <c r="W15" s="706">
        <f t="shared" si="2"/>
        <v>100</v>
      </c>
      <c r="X15" s="1355"/>
      <c r="Y15" s="371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15"/>
      <c r="Q16" s="1352"/>
      <c r="R16" s="705"/>
      <c r="S16" s="706"/>
      <c r="T16" s="705"/>
      <c r="U16" s="706"/>
      <c r="V16" s="705"/>
      <c r="W16" s="706"/>
      <c r="X16" s="1355"/>
      <c r="Y16" s="3715"/>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15"/>
      <c r="Q17" s="1352" t="str">
        <f>B17</f>
        <v>商业繁华度</v>
      </c>
      <c r="R17" s="705" t="s">
        <v>14</v>
      </c>
      <c r="S17" s="706">
        <f>F17</f>
        <v>100</v>
      </c>
      <c r="T17" s="705" t="s">
        <v>14</v>
      </c>
      <c r="U17" s="706">
        <f>H17</f>
        <v>100</v>
      </c>
      <c r="V17" s="705" t="s">
        <v>14</v>
      </c>
      <c r="W17" s="706">
        <f>J17</f>
        <v>100</v>
      </c>
      <c r="X17" s="1355"/>
      <c r="Y17" s="371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15"/>
      <c r="Q18" s="1352"/>
      <c r="R18" s="705"/>
      <c r="S18" s="706"/>
      <c r="T18" s="705"/>
      <c r="U18" s="706"/>
      <c r="V18" s="705"/>
      <c r="W18" s="706"/>
      <c r="X18" s="1355"/>
      <c r="Y18" s="3715"/>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15"/>
      <c r="Q19" s="1352" t="str">
        <f>B19</f>
        <v>办公集聚程度</v>
      </c>
      <c r="R19" s="705" t="s">
        <v>14</v>
      </c>
      <c r="S19" s="706">
        <f>F19</f>
        <v>100</v>
      </c>
      <c r="T19" s="705" t="s">
        <v>14</v>
      </c>
      <c r="U19" s="706">
        <f>H19</f>
        <v>100</v>
      </c>
      <c r="V19" s="705" t="s">
        <v>14</v>
      </c>
      <c r="W19" s="706">
        <f>J19</f>
        <v>100</v>
      </c>
      <c r="X19" s="1355"/>
      <c r="Y19" s="371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15"/>
      <c r="Q20" s="1352"/>
      <c r="R20" s="705"/>
      <c r="S20" s="706"/>
      <c r="T20" s="705"/>
      <c r="U20" s="706"/>
      <c r="V20" s="705"/>
      <c r="W20" s="706"/>
      <c r="X20" s="1355"/>
      <c r="Y20" s="3715"/>
      <c r="Z20" s="1356"/>
      <c r="AA20" s="1353">
        <v>1</v>
      </c>
      <c r="AB20" s="1353">
        <v>1</v>
      </c>
      <c r="AC20" s="1353">
        <v>1</v>
      </c>
    </row>
    <row r="21" spans="1:29" ht="142.5">
      <c r="A21" s="379"/>
      <c r="B21" s="402" t="s">
        <v>1832</v>
      </c>
      <c r="C21" s="1900" t="str">
        <f>估价对象房地状况!C18</f>
        <v>估价对象紧邻城市支路——天达路，有专171路、411路等多条公共交通线路，距离最近的地铁7号线（郎辛庄站）约0.8公里，综合评价交通便捷度一般</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15"/>
      <c r="Q21" s="1352" t="str">
        <f>B21</f>
        <v>交通便捷度</v>
      </c>
      <c r="R21" s="705" t="s">
        <v>14</v>
      </c>
      <c r="S21" s="706">
        <f>F21</f>
        <v>100</v>
      </c>
      <c r="T21" s="705" t="s">
        <v>14</v>
      </c>
      <c r="U21" s="706">
        <f>H21</f>
        <v>100</v>
      </c>
      <c r="V21" s="705" t="s">
        <v>14</v>
      </c>
      <c r="W21" s="706">
        <f>J21</f>
        <v>100</v>
      </c>
      <c r="X21" s="1355"/>
      <c r="Y21" s="371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15"/>
      <c r="Q22" s="1352"/>
      <c r="R22" s="705"/>
      <c r="S22" s="706"/>
      <c r="T22" s="705"/>
      <c r="U22" s="706"/>
      <c r="V22" s="705"/>
      <c r="W22" s="706"/>
      <c r="X22" s="1355"/>
      <c r="Y22" s="3715"/>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15"/>
      <c r="Q23" s="1352" t="str">
        <f t="shared" ref="Q23:Q37" si="8">B23</f>
        <v>区域土地利用方向</v>
      </c>
      <c r="R23" s="705" t="s">
        <v>14</v>
      </c>
      <c r="S23" s="706">
        <f>F23</f>
        <v>100</v>
      </c>
      <c r="T23" s="705" t="s">
        <v>14</v>
      </c>
      <c r="U23" s="706">
        <f>H23</f>
        <v>100</v>
      </c>
      <c r="V23" s="705" t="s">
        <v>14</v>
      </c>
      <c r="W23" s="706">
        <f>J23</f>
        <v>100</v>
      </c>
      <c r="X23" s="1355"/>
      <c r="Y23" s="371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15"/>
      <c r="Q24" s="1352"/>
      <c r="R24" s="705"/>
      <c r="S24" s="706"/>
      <c r="T24" s="705"/>
      <c r="U24" s="706"/>
      <c r="V24" s="705"/>
      <c r="W24" s="706"/>
      <c r="X24" s="1355"/>
      <c r="Y24" s="3715"/>
      <c r="Z24" s="1356"/>
      <c r="AA24" s="1353"/>
      <c r="AB24" s="1353"/>
      <c r="AC24" s="1353"/>
    </row>
    <row r="25" spans="1:29" ht="85.5">
      <c r="A25" s="358"/>
      <c r="B25" s="1131" t="s">
        <v>1871</v>
      </c>
      <c r="C25" s="1955" t="str">
        <f>估价对象房地状况!C20</f>
        <v>区域自然环境：西排干渠；人文环境；豆各庄乡情博物馆；综合评价环境状况一般。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15"/>
      <c r="Q25" s="1352" t="str">
        <f t="shared" si="8"/>
        <v>自然及人文环境状况</v>
      </c>
      <c r="R25" s="705" t="s">
        <v>14</v>
      </c>
      <c r="S25" s="706">
        <f>F25</f>
        <v>100</v>
      </c>
      <c r="T25" s="705" t="s">
        <v>14</v>
      </c>
      <c r="U25" s="706">
        <f>H25</f>
        <v>100</v>
      </c>
      <c r="V25" s="705" t="s">
        <v>14</v>
      </c>
      <c r="W25" s="706">
        <f>J25</f>
        <v>100</v>
      </c>
      <c r="X25" s="1355"/>
      <c r="Y25" s="371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15"/>
      <c r="Q26" s="1352"/>
      <c r="R26" s="705"/>
      <c r="S26" s="706"/>
      <c r="T26" s="705"/>
      <c r="U26" s="706"/>
      <c r="V26" s="705"/>
      <c r="W26" s="706"/>
      <c r="X26" s="1355"/>
      <c r="Y26" s="3715"/>
      <c r="Z26" s="1356"/>
      <c r="AA26" s="1353">
        <v>1</v>
      </c>
      <c r="AB26" s="1353">
        <v>1</v>
      </c>
      <c r="AC26" s="1353">
        <v>1</v>
      </c>
    </row>
    <row r="27" spans="1:29" s="108" customFormat="1" ht="42.75">
      <c r="A27" s="597"/>
      <c r="B27" s="1131" t="s">
        <v>1777</v>
      </c>
      <c r="C27" s="1900" t="str">
        <f>估价对象房地状况!C21</f>
        <v>估价对象所在区域公共配套设施齐备情况较好</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15"/>
      <c r="Q27" s="1343" t="str">
        <f t="shared" si="8"/>
        <v>公共配套设施</v>
      </c>
      <c r="R27" s="701" t="s">
        <v>14</v>
      </c>
      <c r="S27" s="702">
        <f>F27</f>
        <v>100</v>
      </c>
      <c r="T27" s="701" t="s">
        <v>14</v>
      </c>
      <c r="U27" s="702">
        <f>H27</f>
        <v>100</v>
      </c>
      <c r="V27" s="701" t="s">
        <v>14</v>
      </c>
      <c r="W27" s="702">
        <f>J27</f>
        <v>100</v>
      </c>
      <c r="X27" s="703"/>
      <c r="Y27" s="371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15"/>
      <c r="Q28" s="1343"/>
      <c r="R28" s="701"/>
      <c r="S28" s="702"/>
      <c r="T28" s="701"/>
      <c r="U28" s="702"/>
      <c r="V28" s="701"/>
      <c r="W28" s="702"/>
      <c r="X28" s="703"/>
      <c r="Y28" s="3715"/>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15"/>
      <c r="Q29" s="1343" t="str">
        <f t="shared" ref="Q29" si="9">B29</f>
        <v>基础设施水平</v>
      </c>
      <c r="R29" s="701" t="s">
        <v>14</v>
      </c>
      <c r="S29" s="702">
        <f>F29</f>
        <v>100</v>
      </c>
      <c r="T29" s="701" t="s">
        <v>14</v>
      </c>
      <c r="U29" s="702">
        <f>H29</f>
        <v>100</v>
      </c>
      <c r="V29" s="701" t="s">
        <v>14</v>
      </c>
      <c r="W29" s="702">
        <f>J29</f>
        <v>100</v>
      </c>
      <c r="X29" s="703"/>
      <c r="Y29" s="371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15"/>
      <c r="Q30" s="1343"/>
      <c r="R30" s="701"/>
      <c r="S30" s="702"/>
      <c r="T30" s="701"/>
      <c r="U30" s="702"/>
      <c r="V30" s="701"/>
      <c r="W30" s="702"/>
      <c r="X30" s="703"/>
      <c r="Y30" s="3715"/>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1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5"/>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15"/>
      <c r="Q32" s="1352" t="str">
        <f t="shared" si="8"/>
        <v>毗邻道路的类型与等级</v>
      </c>
      <c r="R32" s="705" t="s">
        <v>14</v>
      </c>
      <c r="S32" s="706">
        <f t="shared" si="10"/>
        <v>100</v>
      </c>
      <c r="T32" s="705" t="s">
        <v>14</v>
      </c>
      <c r="U32" s="706">
        <f t="shared" si="11"/>
        <v>100</v>
      </c>
      <c r="V32" s="705" t="s">
        <v>14</v>
      </c>
      <c r="W32" s="706">
        <f t="shared" si="12"/>
        <v>100</v>
      </c>
      <c r="X32" s="1355"/>
      <c r="Y32" s="371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15"/>
      <c r="Q33" s="1352"/>
      <c r="R33" s="705"/>
      <c r="S33" s="706"/>
      <c r="T33" s="705"/>
      <c r="U33" s="706"/>
      <c r="V33" s="705"/>
      <c r="W33" s="706"/>
      <c r="X33" s="1355"/>
      <c r="Y33" s="3715"/>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15"/>
      <c r="Q34" s="1352" t="str">
        <f t="shared" si="8"/>
        <v>土地级别</v>
      </c>
      <c r="R34" s="705" t="s">
        <v>14</v>
      </c>
      <c r="S34" s="706">
        <f t="shared" si="10"/>
        <v>100</v>
      </c>
      <c r="T34" s="705" t="s">
        <v>14</v>
      </c>
      <c r="U34" s="706">
        <f t="shared" si="11"/>
        <v>100</v>
      </c>
      <c r="V34" s="705" t="s">
        <v>14</v>
      </c>
      <c r="W34" s="706">
        <f t="shared" si="12"/>
        <v>100</v>
      </c>
      <c r="X34" s="1355"/>
      <c r="Y34" s="371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15"/>
      <c r="Q35" s="1352">
        <f t="shared" si="8"/>
        <v>111</v>
      </c>
      <c r="R35" s="705" t="s">
        <v>14</v>
      </c>
      <c r="S35" s="706">
        <f t="shared" si="10"/>
        <v>100</v>
      </c>
      <c r="T35" s="705" t="s">
        <v>14</v>
      </c>
      <c r="U35" s="706">
        <f t="shared" si="11"/>
        <v>100</v>
      </c>
      <c r="V35" s="705" t="s">
        <v>14</v>
      </c>
      <c r="W35" s="706">
        <f t="shared" si="12"/>
        <v>100</v>
      </c>
      <c r="X35" s="1355"/>
      <c r="Y35" s="371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9" t="s">
        <v>1696</v>
      </c>
      <c r="Q36" s="1352">
        <f t="shared" si="8"/>
        <v>111</v>
      </c>
      <c r="R36" s="705" t="s">
        <v>14</v>
      </c>
      <c r="S36" s="706">
        <f t="shared" si="10"/>
        <v>100</v>
      </c>
      <c r="T36" s="705" t="s">
        <v>14</v>
      </c>
      <c r="U36" s="706">
        <f t="shared" si="11"/>
        <v>100</v>
      </c>
      <c r="V36" s="705" t="s">
        <v>14</v>
      </c>
      <c r="W36" s="706">
        <f t="shared" si="12"/>
        <v>100</v>
      </c>
      <c r="X36" s="1355"/>
      <c r="Y36" s="371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19"/>
      <c r="Q37" s="1352">
        <f t="shared" si="8"/>
        <v>111</v>
      </c>
      <c r="R37" s="708" t="s">
        <v>14</v>
      </c>
      <c r="S37" s="709">
        <f t="shared" si="10"/>
        <v>100</v>
      </c>
      <c r="T37" s="708" t="s">
        <v>14</v>
      </c>
      <c r="U37" s="709">
        <f t="shared" si="11"/>
        <v>100</v>
      </c>
      <c r="V37" s="708" t="s">
        <v>14</v>
      </c>
      <c r="W37" s="709">
        <f t="shared" si="12"/>
        <v>100</v>
      </c>
      <c r="X37" s="710"/>
      <c r="Y37" s="3719"/>
      <c r="Z37" s="711">
        <f t="shared" si="13"/>
        <v>111</v>
      </c>
      <c r="AA37" s="1353">
        <f t="shared" si="3"/>
        <v>1</v>
      </c>
      <c r="AB37" s="1353">
        <f t="shared" si="4"/>
        <v>1</v>
      </c>
      <c r="AC37" s="1353">
        <f t="shared" si="5"/>
        <v>1</v>
      </c>
    </row>
    <row r="38" spans="1:29" ht="15">
      <c r="A38" s="423" t="s">
        <v>1694</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19"/>
      <c r="Q38" s="1352" t="str">
        <f>B38</f>
        <v>宗地面积</v>
      </c>
      <c r="R38" s="705" t="s">
        <v>14</v>
      </c>
      <c r="S38" s="706" t="e">
        <f t="shared" si="10"/>
        <v>#N/A</v>
      </c>
      <c r="T38" s="705" t="s">
        <v>14</v>
      </c>
      <c r="U38" s="706" t="e">
        <f t="shared" si="11"/>
        <v>#N/A</v>
      </c>
      <c r="V38" s="705" t="s">
        <v>14</v>
      </c>
      <c r="W38" s="706" t="e">
        <f t="shared" si="12"/>
        <v>#N/A</v>
      </c>
      <c r="X38" s="1355"/>
      <c r="Y38" s="3719"/>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19"/>
      <c r="Q39" s="1352" t="str">
        <f t="shared" ref="Q39:Q45" si="14">B39</f>
        <v>宗地形状</v>
      </c>
      <c r="R39" s="705" t="s">
        <v>14</v>
      </c>
      <c r="S39" s="706">
        <f t="shared" si="10"/>
        <v>100</v>
      </c>
      <c r="T39" s="705" t="s">
        <v>14</v>
      </c>
      <c r="U39" s="706">
        <f t="shared" si="11"/>
        <v>100</v>
      </c>
      <c r="V39" s="705" t="s">
        <v>14</v>
      </c>
      <c r="W39" s="706">
        <f t="shared" si="12"/>
        <v>100</v>
      </c>
      <c r="X39" s="1355"/>
      <c r="Y39" s="3719"/>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19"/>
      <c r="Q40" s="1352" t="str">
        <f t="shared" si="14"/>
        <v>临街宽度及深度</v>
      </c>
      <c r="R40" s="705" t="s">
        <v>14</v>
      </c>
      <c r="S40" s="706">
        <f t="shared" si="10"/>
        <v>100</v>
      </c>
      <c r="T40" s="705" t="s">
        <v>14</v>
      </c>
      <c r="U40" s="706">
        <f t="shared" si="11"/>
        <v>100</v>
      </c>
      <c r="V40" s="705" t="s">
        <v>14</v>
      </c>
      <c r="W40" s="706">
        <f t="shared" si="12"/>
        <v>100</v>
      </c>
      <c r="X40" s="1355"/>
      <c r="Y40" s="3719"/>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19"/>
      <c r="Q41" s="1352" t="str">
        <f t="shared" si="14"/>
        <v>宗地开发程度</v>
      </c>
      <c r="R41" s="701" t="s">
        <v>14</v>
      </c>
      <c r="S41" s="702">
        <f t="shared" si="10"/>
        <v>100</v>
      </c>
      <c r="T41" s="701" t="s">
        <v>14</v>
      </c>
      <c r="U41" s="702">
        <f t="shared" si="11"/>
        <v>100</v>
      </c>
      <c r="V41" s="701" t="s">
        <v>14</v>
      </c>
      <c r="W41" s="702">
        <f t="shared" si="12"/>
        <v>100</v>
      </c>
      <c r="X41" s="703"/>
      <c r="Y41" s="3719"/>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19" t="s">
        <v>1696</v>
      </c>
      <c r="Q42" s="1352" t="str">
        <f t="shared" si="14"/>
        <v>工程地质条件</v>
      </c>
      <c r="R42" s="705" t="s">
        <v>14</v>
      </c>
      <c r="S42" s="706">
        <f t="shared" si="10"/>
        <v>100</v>
      </c>
      <c r="T42" s="705" t="s">
        <v>14</v>
      </c>
      <c r="U42" s="706">
        <f t="shared" si="11"/>
        <v>100</v>
      </c>
      <c r="V42" s="705" t="s">
        <v>14</v>
      </c>
      <c r="W42" s="706">
        <f t="shared" si="12"/>
        <v>100</v>
      </c>
      <c r="X42" s="1355"/>
      <c r="Y42" s="371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19"/>
      <c r="Q43" s="1352">
        <f t="shared" si="14"/>
        <v>111</v>
      </c>
      <c r="R43" s="705" t="s">
        <v>14</v>
      </c>
      <c r="S43" s="706">
        <f t="shared" si="10"/>
        <v>100</v>
      </c>
      <c r="T43" s="705" t="s">
        <v>14</v>
      </c>
      <c r="U43" s="706">
        <f t="shared" si="11"/>
        <v>100</v>
      </c>
      <c r="V43" s="705" t="s">
        <v>14</v>
      </c>
      <c r="W43" s="706">
        <f t="shared" si="12"/>
        <v>100</v>
      </c>
      <c r="X43" s="1355"/>
      <c r="Y43" s="371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19"/>
      <c r="Q44" s="1352">
        <f t="shared" si="14"/>
        <v>111</v>
      </c>
      <c r="R44" s="705" t="s">
        <v>14</v>
      </c>
      <c r="S44" s="706">
        <f t="shared" si="10"/>
        <v>100</v>
      </c>
      <c r="T44" s="705" t="s">
        <v>14</v>
      </c>
      <c r="U44" s="706">
        <f t="shared" si="11"/>
        <v>100</v>
      </c>
      <c r="V44" s="705" t="s">
        <v>14</v>
      </c>
      <c r="W44" s="706">
        <f t="shared" si="12"/>
        <v>100</v>
      </c>
      <c r="X44" s="1355"/>
      <c r="Y44" s="371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19"/>
      <c r="Q45" s="1352">
        <f t="shared" si="14"/>
        <v>111</v>
      </c>
      <c r="R45" s="708" t="s">
        <v>14</v>
      </c>
      <c r="S45" s="709">
        <f t="shared" si="10"/>
        <v>100</v>
      </c>
      <c r="T45" s="708" t="s">
        <v>14</v>
      </c>
      <c r="U45" s="709">
        <f t="shared" si="11"/>
        <v>100</v>
      </c>
      <c r="V45" s="708" t="s">
        <v>14</v>
      </c>
      <c r="W45" s="709">
        <f t="shared" si="12"/>
        <v>100</v>
      </c>
      <c r="X45" s="710"/>
      <c r="Y45" s="3719"/>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3"/>
      <c r="M46" s="2724"/>
      <c r="N46" s="2715"/>
      <c r="O46" s="2724"/>
      <c r="P46" s="3712" t="str">
        <f>A46</f>
        <v>成交单价</v>
      </c>
      <c r="Q46" s="3712"/>
      <c r="R46" s="3706">
        <f>E46</f>
        <v>0</v>
      </c>
      <c r="S46" s="3706"/>
      <c r="T46" s="3706">
        <f>G46</f>
        <v>0</v>
      </c>
      <c r="U46" s="3706"/>
      <c r="V46" s="3706">
        <f>I46</f>
        <v>0</v>
      </c>
      <c r="W46" s="3706"/>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3"/>
      <c r="M47" s="2724"/>
      <c r="N47" s="2724"/>
      <c r="O47" s="2724"/>
      <c r="P47" s="3712" t="str">
        <f>A47</f>
        <v>比较价值（元/平方米）</v>
      </c>
      <c r="Q47" s="3712"/>
      <c r="R47" s="3741" t="e">
        <f>ROUND(PRODUCT(R46,AA7:AA45),0)</f>
        <v>#DIV/0!</v>
      </c>
      <c r="S47" s="3741"/>
      <c r="T47" s="3741" t="e">
        <f>ROUND(PRODUCT(T46,AB7:AB45),0)</f>
        <v>#DIV/0!</v>
      </c>
      <c r="U47" s="3741"/>
      <c r="V47" s="3741" t="e">
        <f>ROUND(PRODUCT(V46,AC7:AC45),0)</f>
        <v>#DIV/0!</v>
      </c>
      <c r="W47" s="3741"/>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3"/>
      <c r="M48" s="2724"/>
      <c r="N48" s="2724"/>
      <c r="O48" s="2724"/>
      <c r="P48" s="3709" t="str">
        <f>A48</f>
        <v>估价对象XX用房的比较价值（楼面单价，元/平方米）</v>
      </c>
      <c r="Q48" s="3710"/>
      <c r="R48" s="3742" t="e">
        <f>ROUND(IF(D47="简单平均",AVERAGE(R47:W47),R47*F47+T47*H47+V47*J47),0)</f>
        <v>#DIV/0!</v>
      </c>
      <c r="S48" s="3742"/>
      <c r="T48" s="3742"/>
      <c r="U48" s="3742"/>
      <c r="V48" s="3742"/>
      <c r="W48" s="3742"/>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1880</v>
      </c>
      <c r="B55" s="633" t="s">
        <v>1881</v>
      </c>
      <c r="C55" s="1983" t="s">
        <v>1882</v>
      </c>
      <c r="D55" s="1984" t="s">
        <v>1883</v>
      </c>
      <c r="E55" s="634" t="s">
        <v>1884</v>
      </c>
      <c r="F55" s="890" t="s">
        <v>1885</v>
      </c>
      <c r="G55" s="3694" t="s">
        <v>1886</v>
      </c>
      <c r="H55" s="3743"/>
      <c r="I55" s="135" t="s">
        <v>1887</v>
      </c>
      <c r="J55" s="1985">
        <f>项目基本情况!F35</f>
        <v>0</v>
      </c>
      <c r="K55" s="1986" t="s">
        <v>1888</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1889</v>
      </c>
      <c r="B56" s="637" t="e">
        <f>C48</f>
        <v>#DIV/0!</v>
      </c>
      <c r="C56" s="638">
        <v>1</v>
      </c>
      <c r="D56" s="944">
        <v>1</v>
      </c>
      <c r="E56" s="638">
        <f>'数据-汇总表'!E8+'数据-汇总表'!E9</f>
        <v>72.16</v>
      </c>
      <c r="F56" s="886" t="e">
        <f t="shared" ref="F56:F64" si="15">ROUND(B56*E56/10000,0)</f>
        <v>#DIV/0!</v>
      </c>
      <c r="G56" s="3693"/>
      <c r="H56" s="3712"/>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1890</v>
      </c>
      <c r="B57" s="218" t="e">
        <f>ROUND($C$48*C57*D57,0)</f>
        <v>#DIV/0!</v>
      </c>
      <c r="C57" s="171">
        <f t="shared" ref="C57:C64" si="16">IF($C$55="北京市系数",I57,J57)</f>
        <v>0</v>
      </c>
      <c r="D57" s="945">
        <v>0.25</v>
      </c>
      <c r="E57" s="642"/>
      <c r="F57" s="886" t="e">
        <f t="shared" si="15"/>
        <v>#DIV/0!</v>
      </c>
      <c r="G57" s="3005" t="s">
        <v>1891</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1892</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1893</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1898</v>
      </c>
      <c r="B62" s="218" t="e">
        <f t="shared" si="17"/>
        <v>#DIV/0!</v>
      </c>
      <c r="C62" s="171">
        <f t="shared" si="16"/>
        <v>0.15</v>
      </c>
      <c r="D62" s="945">
        <v>0.25</v>
      </c>
      <c r="E62" s="217">
        <f>'数据-汇总表'!E13</f>
        <v>0</v>
      </c>
      <c r="F62" s="886" t="e">
        <f t="shared" si="15"/>
        <v>#DIV/0!</v>
      </c>
      <c r="G62" s="892" t="s">
        <v>1899</v>
      </c>
      <c r="H62" s="887" t="str">
        <f>IF(G62="商业",项目基本情况!B37,IF(G62="办公",项目基本情况!C37,IF(G62="住宅",项目基本情况!D37,项目基本情况!E37)))</f>
        <v>六级</v>
      </c>
      <c r="I62" s="891">
        <f>SUMIF(修正!A57:A68,H62,修正!G57:G68)</f>
        <v>0.15</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1902</v>
      </c>
      <c r="B65" s="644" t="s">
        <v>22</v>
      </c>
      <c r="C65" s="644" t="s">
        <v>23</v>
      </c>
      <c r="D65" s="644" t="s">
        <v>392</v>
      </c>
      <c r="E65" s="644">
        <f>IF(B46="楼面地价",SUM(E56:E64),'数据-汇总表'!D3)</f>
        <v>72.16</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2023-10-1</v>
      </c>
      <c r="D67" s="692">
        <f>EDATE(C67,-3)</f>
        <v>45108</v>
      </c>
      <c r="E67" s="692">
        <f>EDATE(D67,-3)</f>
        <v>45017</v>
      </c>
      <c r="F67" s="692">
        <f t="shared" ref="F67:O67" si="18">EDATE(E67,-3)</f>
        <v>44927</v>
      </c>
      <c r="G67" s="692">
        <f t="shared" si="18"/>
        <v>44835</v>
      </c>
      <c r="H67" s="692">
        <f t="shared" si="18"/>
        <v>44743</v>
      </c>
      <c r="I67" s="692">
        <f t="shared" si="18"/>
        <v>44652</v>
      </c>
      <c r="J67" s="692">
        <f t="shared" si="18"/>
        <v>44562</v>
      </c>
      <c r="K67" s="692">
        <f t="shared" si="18"/>
        <v>44470</v>
      </c>
      <c r="L67" s="692">
        <f t="shared" si="18"/>
        <v>44378</v>
      </c>
      <c r="M67" s="692">
        <f t="shared" si="18"/>
        <v>44287</v>
      </c>
      <c r="N67" s="692">
        <f t="shared" si="18"/>
        <v>44197</v>
      </c>
      <c r="O67" s="692">
        <f t="shared" si="18"/>
        <v>44105</v>
      </c>
      <c r="P67" s="2724"/>
      <c r="Q67" s="2724"/>
      <c r="R67" s="2724"/>
      <c r="S67" s="2724"/>
      <c r="T67" s="2724"/>
      <c r="U67" s="2724"/>
      <c r="V67" s="2724"/>
      <c r="W67" s="2724"/>
      <c r="X67" s="2724"/>
      <c r="Y67" s="2724"/>
      <c r="Z67" s="2724"/>
      <c r="AA67" s="2724"/>
      <c r="AB67" s="2724"/>
      <c r="AC67" s="2724"/>
    </row>
    <row r="68" spans="1:29" ht="21.75" thickBot="1">
      <c r="A68" s="694" t="s">
        <v>1797</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1903</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5"/>
      <c r="Q69" s="2740"/>
      <c r="R69" s="2740"/>
      <c r="S69" s="2740"/>
      <c r="T69" s="2740"/>
      <c r="U69" s="2740"/>
      <c r="V69" s="2740"/>
      <c r="W69" s="2740"/>
      <c r="X69" s="2740"/>
      <c r="Y69" s="2740"/>
      <c r="Z69" s="2740"/>
      <c r="AA69" s="2740"/>
      <c r="AB69" s="2740"/>
      <c r="AC69" s="2740"/>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1715</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1775</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1718</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1719</v>
      </c>
      <c r="C87" s="522" t="s">
        <v>1720</v>
      </c>
      <c r="D87" s="522" t="s">
        <v>1721</v>
      </c>
      <c r="E87" s="522" t="s">
        <v>1722</v>
      </c>
      <c r="F87" s="522" t="s">
        <v>1723</v>
      </c>
      <c r="G87" s="522" t="s">
        <v>1724</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1905</v>
      </c>
      <c r="C89" s="527" t="s">
        <v>1720</v>
      </c>
      <c r="D89" s="527" t="s">
        <v>1721</v>
      </c>
      <c r="E89" s="527" t="s">
        <v>1722</v>
      </c>
      <c r="F89" s="527" t="s">
        <v>1723</v>
      </c>
      <c r="G89" s="527" t="s">
        <v>1724</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1820</v>
      </c>
      <c r="C91" s="527" t="s">
        <v>1720</v>
      </c>
      <c r="D91" s="527" t="s">
        <v>1721</v>
      </c>
      <c r="E91" s="527" t="s">
        <v>1722</v>
      </c>
      <c r="F91" s="527" t="s">
        <v>1723</v>
      </c>
      <c r="G91" s="527" t="s">
        <v>1724</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1725</v>
      </c>
      <c r="C93" s="527" t="s">
        <v>1720</v>
      </c>
      <c r="D93" s="527" t="s">
        <v>1721</v>
      </c>
      <c r="E93" s="527" t="s">
        <v>1722</v>
      </c>
      <c r="F93" s="527" t="s">
        <v>1723</v>
      </c>
      <c r="G93" s="527" t="s">
        <v>1724</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1814</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1872</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1913</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1914</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1915</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1916</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1768</v>
      </c>
      <c r="B4" s="356"/>
      <c r="C4" s="3694" t="s">
        <v>1769</v>
      </c>
      <c r="D4" s="3695"/>
      <c r="E4" s="3696" t="s">
        <v>1770</v>
      </c>
      <c r="F4" s="3697"/>
      <c r="G4" s="3694" t="s">
        <v>1771</v>
      </c>
      <c r="H4" s="3695"/>
      <c r="I4" s="3694" t="s">
        <v>1772</v>
      </c>
      <c r="J4" s="3695"/>
      <c r="K4" s="559" t="s">
        <v>1773</v>
      </c>
      <c r="L4" s="2714"/>
      <c r="M4" s="2715"/>
      <c r="N4" s="2715"/>
      <c r="O4" s="2715"/>
      <c r="P4" s="3698" t="s">
        <v>1774</v>
      </c>
      <c r="Q4" s="3699"/>
      <c r="R4" s="3681" t="s">
        <v>1770</v>
      </c>
      <c r="S4" s="3682"/>
      <c r="T4" s="3681" t="s">
        <v>1771</v>
      </c>
      <c r="U4" s="3682"/>
      <c r="V4" s="3706" t="s">
        <v>1772</v>
      </c>
      <c r="W4" s="3706"/>
      <c r="X4" s="1355"/>
      <c r="Y4" s="3681" t="s">
        <v>1774</v>
      </c>
      <c r="Z4" s="3682"/>
      <c r="AA4" s="3676" t="s">
        <v>1770</v>
      </c>
      <c r="AB4" s="3677" t="s">
        <v>1771</v>
      </c>
      <c r="AC4" s="3676" t="s">
        <v>1772</v>
      </c>
    </row>
    <row r="5" spans="1:29" ht="15">
      <c r="A5" s="358"/>
      <c r="B5" s="359"/>
      <c r="C5" s="3707" t="s">
        <v>1673</v>
      </c>
      <c r="D5" s="3688"/>
      <c r="E5" s="3723" t="s">
        <v>1674</v>
      </c>
      <c r="F5" s="3686"/>
      <c r="G5" s="3707" t="s">
        <v>1675</v>
      </c>
      <c r="H5" s="3688"/>
      <c r="I5" s="3707" t="s">
        <v>1676</v>
      </c>
      <c r="J5" s="3688"/>
      <c r="K5" s="559"/>
      <c r="L5" s="2714"/>
      <c r="M5" s="2715"/>
      <c r="N5" s="2715"/>
      <c r="O5" s="2715"/>
      <c r="P5" s="3700"/>
      <c r="Q5" s="3701"/>
      <c r="R5" s="3683"/>
      <c r="S5" s="3684"/>
      <c r="T5" s="3683"/>
      <c r="U5" s="3684"/>
      <c r="V5" s="3706"/>
      <c r="W5" s="3706"/>
      <c r="X5" s="1355"/>
      <c r="Y5" s="3683"/>
      <c r="Z5" s="3684"/>
      <c r="AA5" s="3677"/>
      <c r="AB5" s="3677"/>
      <c r="AC5" s="3677"/>
    </row>
    <row r="6" spans="1:29" ht="15.75" thickBot="1">
      <c r="A6" s="360"/>
      <c r="B6" s="361"/>
      <c r="C6" s="3744" t="s">
        <v>1918</v>
      </c>
      <c r="D6" s="3745"/>
      <c r="E6" s="3746" t="s">
        <v>1918</v>
      </c>
      <c r="F6" s="3747"/>
      <c r="G6" s="3744" t="s">
        <v>1918</v>
      </c>
      <c r="H6" s="3745"/>
      <c r="I6" s="3744" t="s">
        <v>1918</v>
      </c>
      <c r="J6" s="3745"/>
      <c r="K6" s="559" t="s">
        <v>1678</v>
      </c>
      <c r="L6" s="2714"/>
      <c r="M6" s="2715"/>
      <c r="N6" s="2715"/>
      <c r="O6" s="2715"/>
      <c r="P6" s="3702"/>
      <c r="Q6" s="3703"/>
      <c r="R6" s="3683"/>
      <c r="S6" s="3684"/>
      <c r="T6" s="3704"/>
      <c r="U6" s="3705"/>
      <c r="V6" s="3706"/>
      <c r="W6" s="3706"/>
      <c r="X6" s="1355"/>
      <c r="Y6" s="3704"/>
      <c r="Z6" s="3705"/>
      <c r="AA6" s="3678"/>
      <c r="AB6" s="3678"/>
      <c r="AC6" s="3678"/>
    </row>
    <row r="7" spans="1:29" s="108" customFormat="1" ht="15.75" thickBot="1">
      <c r="A7" s="362" t="s">
        <v>1679</v>
      </c>
      <c r="B7" s="363"/>
      <c r="C7" s="364">
        <f>'数据-取费表'!B2</f>
        <v>45214</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79" t="s">
        <v>1680</v>
      </c>
      <c r="Q7" s="3708"/>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79" t="s">
        <v>1683</v>
      </c>
      <c r="Q8" s="3680"/>
      <c r="R8" s="701" t="s">
        <v>14</v>
      </c>
      <c r="S8" s="702">
        <f t="shared" si="0"/>
        <v>0</v>
      </c>
      <c r="T8" s="701" t="s">
        <v>14</v>
      </c>
      <c r="U8" s="702">
        <f t="shared" si="1"/>
        <v>0</v>
      </c>
      <c r="V8" s="701" t="s">
        <v>14</v>
      </c>
      <c r="W8" s="702">
        <f t="shared" si="2"/>
        <v>0</v>
      </c>
      <c r="X8" s="703"/>
      <c r="Y8" s="3679" t="s">
        <v>1683</v>
      </c>
      <c r="Z8" s="368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12"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712"/>
      <c r="Q10" s="1343" t="str">
        <f t="shared" si="6"/>
        <v>土地使用年限（年）</v>
      </c>
      <c r="R10" s="701" t="s">
        <v>14</v>
      </c>
      <c r="S10" s="702" t="e">
        <f t="shared" si="0"/>
        <v>#DIV/0!</v>
      </c>
      <c r="T10" s="701" t="s">
        <v>14</v>
      </c>
      <c r="U10" s="702" t="e">
        <f t="shared" si="1"/>
        <v>#DIV/0!</v>
      </c>
      <c r="V10" s="701" t="s">
        <v>14</v>
      </c>
      <c r="W10" s="702" t="e">
        <f t="shared" si="2"/>
        <v>#DIV/0!</v>
      </c>
      <c r="X10" s="703"/>
      <c r="Y10" s="3623"/>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12"/>
      <c r="Q11" s="1343" t="str">
        <f t="shared" si="6"/>
        <v>容积率</v>
      </c>
      <c r="R11" s="701" t="s">
        <v>14</v>
      </c>
      <c r="S11" s="702" t="e">
        <f t="shared" si="0"/>
        <v>#N/A</v>
      </c>
      <c r="T11" s="701" t="s">
        <v>14</v>
      </c>
      <c r="U11" s="702" t="e">
        <f t="shared" si="1"/>
        <v>#N/A</v>
      </c>
      <c r="V11" s="701" t="s">
        <v>14</v>
      </c>
      <c r="W11" s="702" t="e">
        <f t="shared" si="2"/>
        <v>#N/A</v>
      </c>
      <c r="X11" s="703"/>
      <c r="Y11" s="362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12"/>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12"/>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12"/>
      <c r="Q14" s="1343">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704">
        <f t="shared" si="5"/>
        <v>1</v>
      </c>
    </row>
    <row r="15" spans="1:29" ht="57">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14" t="s">
        <v>1691</v>
      </c>
      <c r="Q15" s="1352" t="str">
        <f t="shared" si="6"/>
        <v>产业集聚程度</v>
      </c>
      <c r="R15" s="705" t="s">
        <v>14</v>
      </c>
      <c r="S15" s="706">
        <f t="shared" si="0"/>
        <v>100</v>
      </c>
      <c r="T15" s="705" t="s">
        <v>14</v>
      </c>
      <c r="U15" s="706">
        <f t="shared" si="1"/>
        <v>100</v>
      </c>
      <c r="V15" s="705" t="s">
        <v>14</v>
      </c>
      <c r="W15" s="706">
        <f t="shared" si="2"/>
        <v>100</v>
      </c>
      <c r="X15" s="1355"/>
      <c r="Y15" s="371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15"/>
      <c r="Q16" s="1352"/>
      <c r="R16" s="705"/>
      <c r="S16" s="706"/>
      <c r="T16" s="705"/>
      <c r="U16" s="706"/>
      <c r="V16" s="705"/>
      <c r="W16" s="706"/>
      <c r="X16" s="1355"/>
      <c r="Y16" s="3715"/>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15"/>
      <c r="Q17" s="1352" t="str">
        <f>B17</f>
        <v>交通便捷度</v>
      </c>
      <c r="R17" s="705" t="s">
        <v>14</v>
      </c>
      <c r="S17" s="706">
        <f>F17</f>
        <v>100</v>
      </c>
      <c r="T17" s="705" t="s">
        <v>14</v>
      </c>
      <c r="U17" s="706">
        <f>H17</f>
        <v>100</v>
      </c>
      <c r="V17" s="705" t="s">
        <v>14</v>
      </c>
      <c r="W17" s="706">
        <f>J17</f>
        <v>100</v>
      </c>
      <c r="X17" s="1355"/>
      <c r="Y17" s="371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15"/>
      <c r="Q18" s="1352"/>
      <c r="R18" s="705"/>
      <c r="S18" s="706"/>
      <c r="T18" s="705"/>
      <c r="U18" s="706"/>
      <c r="V18" s="705"/>
      <c r="W18" s="706"/>
      <c r="X18" s="1355"/>
      <c r="Y18" s="3715"/>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15"/>
      <c r="Q19" s="1352" t="str">
        <f t="shared" ref="Q19:Q33" si="8">B19</f>
        <v>区域土地利用方向</v>
      </c>
      <c r="R19" s="705" t="s">
        <v>14</v>
      </c>
      <c r="S19" s="706">
        <f>F19</f>
        <v>100</v>
      </c>
      <c r="T19" s="705" t="s">
        <v>14</v>
      </c>
      <c r="U19" s="706">
        <f>H19</f>
        <v>100</v>
      </c>
      <c r="V19" s="705" t="s">
        <v>14</v>
      </c>
      <c r="W19" s="706">
        <f>J19</f>
        <v>100</v>
      </c>
      <c r="X19" s="1355"/>
      <c r="Y19" s="371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15"/>
      <c r="Q20" s="1352"/>
      <c r="R20" s="705"/>
      <c r="S20" s="706"/>
      <c r="T20" s="705"/>
      <c r="U20" s="706"/>
      <c r="V20" s="705"/>
      <c r="W20" s="706"/>
      <c r="X20" s="1355"/>
      <c r="Y20" s="3715"/>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15"/>
      <c r="Q21" s="1352" t="str">
        <f t="shared" si="8"/>
        <v>环境状况</v>
      </c>
      <c r="R21" s="705" t="s">
        <v>14</v>
      </c>
      <c r="S21" s="706">
        <f>F21</f>
        <v>100</v>
      </c>
      <c r="T21" s="705" t="s">
        <v>14</v>
      </c>
      <c r="U21" s="706">
        <f>H21</f>
        <v>100</v>
      </c>
      <c r="V21" s="705" t="s">
        <v>14</v>
      </c>
      <c r="W21" s="706">
        <f>J21</f>
        <v>100</v>
      </c>
      <c r="X21" s="1355"/>
      <c r="Y21" s="371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15"/>
      <c r="Q22" s="1352"/>
      <c r="R22" s="705"/>
      <c r="S22" s="706"/>
      <c r="T22" s="705"/>
      <c r="U22" s="706"/>
      <c r="V22" s="705"/>
      <c r="W22" s="706"/>
      <c r="X22" s="1355"/>
      <c r="Y22" s="3715"/>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15"/>
      <c r="Q23" s="1343" t="str">
        <f t="shared" si="8"/>
        <v>公共配套设施</v>
      </c>
      <c r="R23" s="701" t="s">
        <v>14</v>
      </c>
      <c r="S23" s="702">
        <f>F23</f>
        <v>100</v>
      </c>
      <c r="T23" s="701" t="s">
        <v>14</v>
      </c>
      <c r="U23" s="702">
        <f>H23</f>
        <v>100</v>
      </c>
      <c r="V23" s="701" t="s">
        <v>14</v>
      </c>
      <c r="W23" s="702">
        <f>J23</f>
        <v>100</v>
      </c>
      <c r="X23" s="703"/>
      <c r="Y23" s="371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15"/>
      <c r="Q24" s="1343"/>
      <c r="R24" s="701"/>
      <c r="S24" s="702"/>
      <c r="T24" s="701"/>
      <c r="U24" s="702"/>
      <c r="V24" s="701"/>
      <c r="W24" s="702"/>
      <c r="X24" s="703"/>
      <c r="Y24" s="3715"/>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15"/>
      <c r="Q25" s="1343" t="str">
        <f t="shared" ref="Q25" si="9">B25</f>
        <v>基础设施水平</v>
      </c>
      <c r="R25" s="701" t="s">
        <v>14</v>
      </c>
      <c r="S25" s="702">
        <f>F25</f>
        <v>100</v>
      </c>
      <c r="T25" s="701" t="s">
        <v>14</v>
      </c>
      <c r="U25" s="702">
        <f>H25</f>
        <v>100</v>
      </c>
      <c r="V25" s="701" t="s">
        <v>14</v>
      </c>
      <c r="W25" s="702">
        <f>J25</f>
        <v>100</v>
      </c>
      <c r="X25" s="703"/>
      <c r="Y25" s="371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15"/>
      <c r="Q26" s="1343"/>
      <c r="R26" s="701"/>
      <c r="S26" s="702"/>
      <c r="T26" s="701"/>
      <c r="U26" s="702"/>
      <c r="V26" s="701"/>
      <c r="W26" s="702"/>
      <c r="X26" s="703"/>
      <c r="Y26" s="3715"/>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1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5"/>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15"/>
      <c r="Q28" s="1352" t="str">
        <f t="shared" si="8"/>
        <v>毗邻道路的类型与等级</v>
      </c>
      <c r="R28" s="705" t="s">
        <v>14</v>
      </c>
      <c r="S28" s="706">
        <f t="shared" si="10"/>
        <v>100</v>
      </c>
      <c r="T28" s="705" t="s">
        <v>14</v>
      </c>
      <c r="U28" s="706">
        <f t="shared" si="11"/>
        <v>100</v>
      </c>
      <c r="V28" s="705" t="s">
        <v>14</v>
      </c>
      <c r="W28" s="706">
        <f t="shared" si="12"/>
        <v>100</v>
      </c>
      <c r="X28" s="1355"/>
      <c r="Y28" s="371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15"/>
      <c r="Q29" s="1352"/>
      <c r="R29" s="705"/>
      <c r="S29" s="706"/>
      <c r="T29" s="705"/>
      <c r="U29" s="706"/>
      <c r="V29" s="705"/>
      <c r="W29" s="706"/>
      <c r="X29" s="1355"/>
      <c r="Y29" s="3715"/>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15"/>
      <c r="Q30" s="1352" t="str">
        <f t="shared" si="8"/>
        <v>土地级别</v>
      </c>
      <c r="R30" s="705" t="s">
        <v>14</v>
      </c>
      <c r="S30" s="706">
        <f t="shared" si="10"/>
        <v>100</v>
      </c>
      <c r="T30" s="705" t="s">
        <v>14</v>
      </c>
      <c r="U30" s="706">
        <f t="shared" si="11"/>
        <v>100</v>
      </c>
      <c r="V30" s="705" t="s">
        <v>14</v>
      </c>
      <c r="W30" s="706">
        <f t="shared" si="12"/>
        <v>100</v>
      </c>
      <c r="X30" s="1355"/>
      <c r="Y30" s="371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15"/>
      <c r="Q31" s="1352">
        <f t="shared" si="8"/>
        <v>111</v>
      </c>
      <c r="R31" s="705" t="s">
        <v>14</v>
      </c>
      <c r="S31" s="706">
        <f t="shared" si="10"/>
        <v>100</v>
      </c>
      <c r="T31" s="705" t="s">
        <v>14</v>
      </c>
      <c r="U31" s="706">
        <f t="shared" si="11"/>
        <v>100</v>
      </c>
      <c r="V31" s="705" t="s">
        <v>14</v>
      </c>
      <c r="W31" s="706">
        <f t="shared" si="12"/>
        <v>100</v>
      </c>
      <c r="X31" s="1355"/>
      <c r="Y31" s="371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9" t="s">
        <v>1696</v>
      </c>
      <c r="Q32" s="1352">
        <f t="shared" si="8"/>
        <v>111</v>
      </c>
      <c r="R32" s="705" t="s">
        <v>14</v>
      </c>
      <c r="S32" s="706">
        <f t="shared" si="10"/>
        <v>100</v>
      </c>
      <c r="T32" s="705" t="s">
        <v>14</v>
      </c>
      <c r="U32" s="706">
        <f t="shared" si="11"/>
        <v>100</v>
      </c>
      <c r="V32" s="705" t="s">
        <v>14</v>
      </c>
      <c r="W32" s="706">
        <f t="shared" si="12"/>
        <v>100</v>
      </c>
      <c r="X32" s="1355"/>
      <c r="Y32" s="371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19"/>
      <c r="Q33" s="1352">
        <f t="shared" si="8"/>
        <v>111</v>
      </c>
      <c r="R33" s="708" t="s">
        <v>14</v>
      </c>
      <c r="S33" s="709">
        <f t="shared" si="10"/>
        <v>100</v>
      </c>
      <c r="T33" s="708" t="s">
        <v>14</v>
      </c>
      <c r="U33" s="709">
        <f t="shared" si="11"/>
        <v>100</v>
      </c>
      <c r="V33" s="708" t="s">
        <v>14</v>
      </c>
      <c r="W33" s="709">
        <f t="shared" si="12"/>
        <v>100</v>
      </c>
      <c r="X33" s="710"/>
      <c r="Y33" s="3719"/>
      <c r="Z33" s="711">
        <f t="shared" si="13"/>
        <v>111</v>
      </c>
      <c r="AA33" s="1353">
        <f t="shared" si="3"/>
        <v>1</v>
      </c>
      <c r="AB33" s="1353">
        <f t="shared" si="4"/>
        <v>1</v>
      </c>
      <c r="AC33" s="1353">
        <f t="shared" si="5"/>
        <v>1</v>
      </c>
    </row>
    <row r="34" spans="1:31" ht="15">
      <c r="A34" s="391" t="s">
        <v>1694</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19"/>
      <c r="Q34" s="1352" t="str">
        <f>B34</f>
        <v>宗地面积</v>
      </c>
      <c r="R34" s="705" t="s">
        <v>14</v>
      </c>
      <c r="S34" s="706" t="e">
        <f t="shared" si="10"/>
        <v>#N/A</v>
      </c>
      <c r="T34" s="705" t="s">
        <v>14</v>
      </c>
      <c r="U34" s="706" t="e">
        <f t="shared" si="11"/>
        <v>#N/A</v>
      </c>
      <c r="V34" s="705" t="s">
        <v>14</v>
      </c>
      <c r="W34" s="706" t="e">
        <f t="shared" si="12"/>
        <v>#N/A</v>
      </c>
      <c r="X34" s="1355"/>
      <c r="Y34" s="3719"/>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19"/>
      <c r="Q35" s="1352" t="str">
        <f t="shared" ref="Q35:Q40" si="14">B35</f>
        <v>宗地形状</v>
      </c>
      <c r="R35" s="705" t="s">
        <v>14</v>
      </c>
      <c r="S35" s="706">
        <f t="shared" si="10"/>
        <v>100</v>
      </c>
      <c r="T35" s="705" t="s">
        <v>14</v>
      </c>
      <c r="U35" s="706">
        <f t="shared" si="11"/>
        <v>100</v>
      </c>
      <c r="V35" s="705" t="s">
        <v>14</v>
      </c>
      <c r="W35" s="706">
        <f t="shared" si="12"/>
        <v>100</v>
      </c>
      <c r="X35" s="1355"/>
      <c r="Y35" s="3719"/>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19"/>
      <c r="Q36" s="1352" t="str">
        <f t="shared" si="14"/>
        <v>宗地开发程度</v>
      </c>
      <c r="R36" s="701" t="s">
        <v>14</v>
      </c>
      <c r="S36" s="702">
        <f t="shared" si="10"/>
        <v>100</v>
      </c>
      <c r="T36" s="701" t="s">
        <v>14</v>
      </c>
      <c r="U36" s="702">
        <f t="shared" si="11"/>
        <v>100</v>
      </c>
      <c r="V36" s="701" t="s">
        <v>14</v>
      </c>
      <c r="W36" s="702">
        <f t="shared" si="12"/>
        <v>100</v>
      </c>
      <c r="X36" s="703"/>
      <c r="Y36" s="3719"/>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19" t="s">
        <v>1696</v>
      </c>
      <c r="Q37" s="1352" t="str">
        <f t="shared" si="14"/>
        <v>工程地质条件</v>
      </c>
      <c r="R37" s="705" t="s">
        <v>14</v>
      </c>
      <c r="S37" s="706">
        <f t="shared" si="10"/>
        <v>100</v>
      </c>
      <c r="T37" s="705" t="s">
        <v>14</v>
      </c>
      <c r="U37" s="706">
        <f t="shared" si="11"/>
        <v>100</v>
      </c>
      <c r="V37" s="705" t="s">
        <v>14</v>
      </c>
      <c r="W37" s="706">
        <f t="shared" si="12"/>
        <v>100</v>
      </c>
      <c r="X37" s="1355"/>
      <c r="Y37" s="371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19"/>
      <c r="Q38" s="1352">
        <f t="shared" si="14"/>
        <v>111</v>
      </c>
      <c r="R38" s="705" t="s">
        <v>14</v>
      </c>
      <c r="S38" s="706">
        <f t="shared" si="10"/>
        <v>100</v>
      </c>
      <c r="T38" s="705" t="s">
        <v>14</v>
      </c>
      <c r="U38" s="706">
        <f t="shared" si="11"/>
        <v>100</v>
      </c>
      <c r="V38" s="705" t="s">
        <v>14</v>
      </c>
      <c r="W38" s="706">
        <f t="shared" si="12"/>
        <v>100</v>
      </c>
      <c r="X38" s="1355"/>
      <c r="Y38" s="371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19"/>
      <c r="Q39" s="1352">
        <f t="shared" si="14"/>
        <v>111</v>
      </c>
      <c r="R39" s="705" t="s">
        <v>14</v>
      </c>
      <c r="S39" s="706">
        <f t="shared" si="10"/>
        <v>100</v>
      </c>
      <c r="T39" s="705" t="s">
        <v>14</v>
      </c>
      <c r="U39" s="706">
        <f t="shared" si="11"/>
        <v>100</v>
      </c>
      <c r="V39" s="705" t="s">
        <v>14</v>
      </c>
      <c r="W39" s="706">
        <f t="shared" si="12"/>
        <v>100</v>
      </c>
      <c r="X39" s="1355"/>
      <c r="Y39" s="371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19"/>
      <c r="Q40" s="1352">
        <f t="shared" si="14"/>
        <v>111</v>
      </c>
      <c r="R40" s="708" t="s">
        <v>14</v>
      </c>
      <c r="S40" s="709">
        <f t="shared" si="10"/>
        <v>100</v>
      </c>
      <c r="T40" s="708" t="s">
        <v>14</v>
      </c>
      <c r="U40" s="709">
        <f t="shared" si="11"/>
        <v>100</v>
      </c>
      <c r="V40" s="708" t="s">
        <v>14</v>
      </c>
      <c r="W40" s="709">
        <f t="shared" si="12"/>
        <v>100</v>
      </c>
      <c r="X40" s="710"/>
      <c r="Y40" s="3719"/>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3"/>
      <c r="M41" s="2715"/>
      <c r="N41" s="2715"/>
      <c r="O41" s="2724"/>
      <c r="P41" s="3712" t="str">
        <f>A41</f>
        <v>成交单价</v>
      </c>
      <c r="Q41" s="3712"/>
      <c r="R41" s="3706">
        <f>E41</f>
        <v>0</v>
      </c>
      <c r="S41" s="3706"/>
      <c r="T41" s="3706">
        <f>G41</f>
        <v>0</v>
      </c>
      <c r="U41" s="3706"/>
      <c r="V41" s="3706">
        <f>I41</f>
        <v>0</v>
      </c>
      <c r="W41" s="3706"/>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3"/>
      <c r="M42" s="2715"/>
      <c r="N42" s="2715"/>
      <c r="O42" s="2724"/>
      <c r="P42" s="3712" t="str">
        <f>A42</f>
        <v>比较价值（元/平方米）</v>
      </c>
      <c r="Q42" s="3712"/>
      <c r="R42" s="3741" t="e">
        <f>ROUND(PRODUCT(R41,AA7:AA40),0)</f>
        <v>#DIV/0!</v>
      </c>
      <c r="S42" s="3741"/>
      <c r="T42" s="3741" t="e">
        <f>ROUND(PRODUCT(T41,AB7:AB40),0)</f>
        <v>#DIV/0!</v>
      </c>
      <c r="U42" s="3741"/>
      <c r="V42" s="3741" t="e">
        <f>ROUND(PRODUCT(V41,AC7:AC40),0)</f>
        <v>#DIV/0!</v>
      </c>
      <c r="W42" s="3741"/>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3"/>
      <c r="M43" s="2715"/>
      <c r="N43" s="2715"/>
      <c r="O43" s="2724"/>
      <c r="P43" s="3709" t="str">
        <f>A43</f>
        <v>估价对象XX用房的比较价值（楼面单价，元/平方米）</v>
      </c>
      <c r="Q43" s="3710"/>
      <c r="R43" s="3742" t="e">
        <f>ROUND(IF(D42="简单平均",AVERAGE(R42:W42),R42*F42+T42*H42+V42*J42),0)</f>
        <v>#DIV/0!</v>
      </c>
      <c r="S43" s="3742"/>
      <c r="T43" s="3742"/>
      <c r="U43" s="3742"/>
      <c r="V43" s="3742"/>
      <c r="W43" s="3742"/>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1880</v>
      </c>
      <c r="B50" s="633" t="s">
        <v>1881</v>
      </c>
      <c r="C50" s="1983" t="s">
        <v>1882</v>
      </c>
      <c r="D50" s="1984" t="s">
        <v>1883</v>
      </c>
      <c r="E50" s="634" t="s">
        <v>1884</v>
      </c>
      <c r="F50" s="635" t="s">
        <v>1885</v>
      </c>
      <c r="G50" s="3694" t="s">
        <v>1886</v>
      </c>
      <c r="H50" s="3743"/>
      <c r="I50" s="1356" t="s">
        <v>1922</v>
      </c>
      <c r="J50" s="1356">
        <f>项目基本情况!F35</f>
        <v>0</v>
      </c>
      <c r="K50" s="1986" t="s">
        <v>1888</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1889</v>
      </c>
      <c r="B51" s="637" t="e">
        <f>C43</f>
        <v>#DIV/0!</v>
      </c>
      <c r="C51" s="638">
        <v>1</v>
      </c>
      <c r="D51" s="944">
        <v>1</v>
      </c>
      <c r="E51" s="638">
        <f>'数据-汇总表'!E8+'数据-汇总表'!E9</f>
        <v>72.16</v>
      </c>
      <c r="F51" s="639" t="e">
        <f t="shared" ref="F51:F60" si="15">ROUND(B51*E51/10000,0)</f>
        <v>#DIV/0!</v>
      </c>
      <c r="G51" s="3693"/>
      <c r="H51" s="3712"/>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1890</v>
      </c>
      <c r="B52" s="218" t="e">
        <f>ROUND($C$43*C52*D52,0)</f>
        <v>#DIV/0!</v>
      </c>
      <c r="C52" s="171">
        <f t="shared" ref="C52:C60" si="16">IF($C$50="北京市系数",I52,J52)</f>
        <v>0</v>
      </c>
      <c r="D52" s="945">
        <v>0.25</v>
      </c>
      <c r="E52" s="642"/>
      <c r="F52" s="639" t="e">
        <f t="shared" si="15"/>
        <v>#DIV/0!</v>
      </c>
      <c r="G52" s="3005" t="s">
        <v>1891</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1892</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1893</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六级</v>
      </c>
      <c r="I58" s="773">
        <f>SUMIF(修正!A57:A68,H58,修正!G57:G68)</f>
        <v>0.15</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2023-10-1</v>
      </c>
      <c r="D63" s="692">
        <f>EDATE(C63,-3)</f>
        <v>45108</v>
      </c>
      <c r="E63" s="692">
        <f>EDATE(D63,-3)</f>
        <v>45017</v>
      </c>
      <c r="F63" s="692">
        <f t="shared" ref="F63:O63" si="18">EDATE(E63,-3)</f>
        <v>44927</v>
      </c>
      <c r="G63" s="692">
        <f t="shared" si="18"/>
        <v>44835</v>
      </c>
      <c r="H63" s="692">
        <f t="shared" si="18"/>
        <v>44743</v>
      </c>
      <c r="I63" s="692">
        <f t="shared" si="18"/>
        <v>44652</v>
      </c>
      <c r="J63" s="692">
        <f t="shared" si="18"/>
        <v>44562</v>
      </c>
      <c r="K63" s="692">
        <f t="shared" si="18"/>
        <v>44470</v>
      </c>
      <c r="L63" s="692">
        <f t="shared" si="18"/>
        <v>44378</v>
      </c>
      <c r="M63" s="692">
        <f t="shared" si="18"/>
        <v>44287</v>
      </c>
      <c r="N63" s="692">
        <f t="shared" si="18"/>
        <v>44197</v>
      </c>
      <c r="O63" s="692">
        <f t="shared" si="18"/>
        <v>44105</v>
      </c>
      <c r="P63" s="2724"/>
      <c r="Q63" s="2724"/>
      <c r="R63" s="2724"/>
      <c r="S63" s="2724"/>
      <c r="T63" s="2724"/>
      <c r="U63" s="2724"/>
      <c r="V63" s="2724"/>
      <c r="W63" s="2724"/>
      <c r="X63" s="2724"/>
      <c r="Y63" s="2724"/>
      <c r="Z63" s="2724"/>
      <c r="AA63" s="2724"/>
      <c r="AB63" s="2724"/>
      <c r="AC63" s="2724"/>
      <c r="AD63" s="2724"/>
      <c r="AE63" s="2724"/>
    </row>
    <row r="64" spans="1:31" ht="21.75" thickBot="1">
      <c r="A64" s="694" t="s">
        <v>1797</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1903</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1715</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1775</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1718</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1828</v>
      </c>
      <c r="C83" s="522" t="s">
        <v>1720</v>
      </c>
      <c r="D83" s="522" t="s">
        <v>1721</v>
      </c>
      <c r="E83" s="522" t="s">
        <v>1722</v>
      </c>
      <c r="F83" s="522" t="s">
        <v>1723</v>
      </c>
      <c r="G83" s="522" t="s">
        <v>1724</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1725</v>
      </c>
      <c r="C85" s="527" t="s">
        <v>1720</v>
      </c>
      <c r="D85" s="527" t="s">
        <v>1721</v>
      </c>
      <c r="E85" s="527" t="s">
        <v>1722</v>
      </c>
      <c r="F85" s="527" t="s">
        <v>1723</v>
      </c>
      <c r="G85" s="527" t="s">
        <v>1724</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1814</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1872</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1913</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1915</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1916</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51" t="s">
        <v>2083</v>
      </c>
      <c r="D1" s="3752"/>
      <c r="E1" s="3752"/>
      <c r="F1" s="3752"/>
      <c r="G1" s="3752"/>
      <c r="H1" s="3752"/>
      <c r="I1" s="3752"/>
      <c r="J1" s="3752"/>
      <c r="K1" s="3752"/>
      <c r="L1" s="3752"/>
      <c r="M1" s="3752"/>
      <c r="N1" s="3752"/>
      <c r="O1" s="3752"/>
      <c r="P1" s="3752"/>
      <c r="Q1" s="3752"/>
      <c r="R1" s="3752"/>
      <c r="S1" s="3753"/>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48" t="s">
        <v>27</v>
      </c>
      <c r="D22" s="3749"/>
      <c r="E22" s="3749"/>
      <c r="F22" s="3749"/>
      <c r="G22" s="3749"/>
      <c r="H22" s="3749"/>
      <c r="I22" s="3749"/>
      <c r="J22" s="3749"/>
      <c r="K22" s="3749"/>
      <c r="L22" s="3749"/>
      <c r="M22" s="3749"/>
      <c r="N22" s="3749"/>
      <c r="O22" s="3749"/>
      <c r="P22" s="3749"/>
      <c r="Q22" s="3750"/>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2"/>
      <c r="G1" s="2792"/>
      <c r="H1" s="2792"/>
      <c r="I1" s="2792"/>
      <c r="J1" s="2792"/>
      <c r="K1" s="2792"/>
      <c r="L1" s="2792"/>
      <c r="M1" s="2792"/>
      <c r="N1" s="2792"/>
      <c r="O1" s="2792"/>
      <c r="P1" s="2792"/>
    </row>
    <row r="2" spans="1:16" ht="15.75">
      <c r="A2" s="2145" t="s">
        <v>2072</v>
      </c>
      <c r="B2" s="2601">
        <f ca="1">SUMIF(B6:B13,"&lt;&gt;#ref!",B6:B13)</f>
        <v>124</v>
      </c>
      <c r="C2" s="2145" t="s">
        <v>2073</v>
      </c>
      <c r="D2" s="2145" t="s">
        <v>2074</v>
      </c>
      <c r="E2" s="2611">
        <f ca="1">SUMIF(E6:E13,"&lt;&gt;#ref!",E6:E13)</f>
        <v>72.16</v>
      </c>
      <c r="F2" s="2792"/>
      <c r="G2" s="2792"/>
      <c r="H2" s="2792"/>
      <c r="I2" s="2792"/>
      <c r="J2" s="2792"/>
      <c r="K2" s="2792"/>
      <c r="L2" s="2792"/>
      <c r="M2" s="2792"/>
      <c r="N2" s="2792"/>
      <c r="O2" s="2792"/>
      <c r="P2" s="2792"/>
    </row>
    <row r="3" spans="1:16" ht="15.75">
      <c r="A3" s="2145" t="s">
        <v>2075</v>
      </c>
      <c r="B3" s="2601">
        <f ca="1">ROUND(B2*10000/E2,0)</f>
        <v>17184</v>
      </c>
      <c r="C3" s="2145"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2076</v>
      </c>
      <c r="B5" s="2609" t="s">
        <v>2077</v>
      </c>
      <c r="C5" s="2146"/>
      <c r="D5" s="2792"/>
      <c r="E5" s="2610" t="s">
        <v>2078</v>
      </c>
      <c r="F5" s="2792"/>
      <c r="G5" s="2792"/>
      <c r="H5" s="2792"/>
      <c r="I5" s="2792"/>
      <c r="J5" s="2792"/>
      <c r="K5" s="2792"/>
      <c r="L5" s="2792"/>
      <c r="M5" s="2792"/>
      <c r="N5" s="2792"/>
      <c r="O5" s="2792"/>
      <c r="P5" s="2792"/>
    </row>
    <row r="6" spans="1:16" ht="15.75">
      <c r="A6" s="2608" t="s">
        <v>2079</v>
      </c>
      <c r="B6" s="2601">
        <f ca="1">SUMIF(INDIRECT("'"&amp;A6&amp;"'"&amp;"!A:A"),"总价",INDIRECT("'"&amp;A6&amp;"'"&amp;"!B:B"))</f>
        <v>124</v>
      </c>
      <c r="C6" s="2145" t="s">
        <v>2073</v>
      </c>
      <c r="D6" s="2792"/>
      <c r="E6" s="2611">
        <f ca="1">SUMIF(INDIRECT("'"&amp;A6&amp;"'"&amp;"!C:C"),"建筑面积",INDIRECT("'"&amp;A6&amp;"'"&amp;"!D:D"))</f>
        <v>72.16</v>
      </c>
      <c r="F6" s="2792"/>
      <c r="G6" s="2792"/>
      <c r="H6" s="2792"/>
      <c r="I6" s="2792"/>
      <c r="J6" s="2792"/>
      <c r="K6" s="2792"/>
      <c r="L6" s="2792"/>
      <c r="M6" s="2792"/>
      <c r="N6" s="2792"/>
      <c r="O6" s="2792"/>
      <c r="P6" s="2792"/>
    </row>
    <row r="7" spans="1:16" ht="15.75">
      <c r="A7" s="2608"/>
      <c r="B7" s="2601" t="e">
        <f ca="1">SUMIF(INDIRECT("'"&amp;A7&amp;"'"&amp;"!A:A"),"总价",INDIRECT("'"&amp;A7&amp;"'"&amp;"!B:B"))</f>
        <v>#REF!</v>
      </c>
      <c r="C7" s="2145"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2073</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2073</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2073</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2073</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2073</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9" zoomScale="70" zoomScaleNormal="80" zoomScaleSheetLayoutView="70" workbookViewId="0">
      <selection activeCell="C7" sqref="C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72.16</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124</v>
      </c>
      <c r="C2" s="1999" t="s">
        <v>1934</v>
      </c>
      <c r="D2" s="2000" t="s">
        <v>1935</v>
      </c>
      <c r="E2" s="3421" t="s">
        <v>3384</v>
      </c>
      <c r="F2" s="2000" t="s">
        <v>1936</v>
      </c>
      <c r="G2" s="2001" t="str">
        <f>IF(E2="商业",项目基本情况!B37,IF(E2="办公",项目基本情况!C37,IF(E2="住宅",项目基本情况!D37,IF(E2="工业",项目基本情况!E37,项目基本情况!F37))))</f>
        <v>六级</v>
      </c>
      <c r="H2" s="2000" t="s">
        <v>1937</v>
      </c>
      <c r="I2" s="2001" t="str">
        <f>IF(E2="商业",项目基本情况!B38,IF(E2="办公",项目基本情况!C38,IF(E2="住宅",项目基本情况!D38,IF(E2="工业",项目基本情况!E38,项目基本情况!F38))))</f>
        <v>Ⅵ-15</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1.5019</v>
      </c>
      <c r="T2" s="3360">
        <f t="shared" ref="T2:T16" si="0">ROUND($C$5*$C$22*$C$23*$C$24*S2*$C$28,0)</f>
        <v>25776</v>
      </c>
      <c r="U2" s="1213"/>
      <c r="V2" s="3360">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17184</v>
      </c>
      <c r="C3" s="1999" t="s">
        <v>1940</v>
      </c>
      <c r="D3" s="2000" t="s">
        <v>1941</v>
      </c>
      <c r="E3" s="3419" t="s">
        <v>3417</v>
      </c>
      <c r="F3" s="2004" t="s">
        <v>3418</v>
      </c>
      <c r="G3" s="752">
        <f>IF(F3="宗地容积率",'数据-汇总表'!I4,IF(F3="估价对象容积率",'数据-汇总表'!I6,'数据-汇总表'!I7))</f>
        <v>2.5</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1.1838</v>
      </c>
      <c r="T3" s="3360">
        <f t="shared" si="0"/>
        <v>20317</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61"/>
      <c r="B4" s="3762"/>
      <c r="C4" s="3762"/>
      <c r="D4" s="3763"/>
      <c r="E4" s="3763"/>
      <c r="F4" s="3763"/>
      <c r="G4" s="3763"/>
      <c r="H4" s="3763"/>
      <c r="I4" s="3763"/>
      <c r="J4" s="3764"/>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1.0004999999999999</v>
      </c>
      <c r="T4" s="3360">
        <f t="shared" si="0"/>
        <v>17171</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16089</v>
      </c>
      <c r="D5" s="1339">
        <f>ROUND(C6*C17+C20,0)</f>
        <v>13974</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0.88239999999999996</v>
      </c>
      <c r="T5" s="3360">
        <f t="shared" si="0"/>
        <v>15144</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14100</v>
      </c>
      <c r="D6" s="2017"/>
      <c r="E6" s="2018"/>
      <c r="F6" s="2018"/>
      <c r="G6" s="2019"/>
      <c r="H6" s="2019"/>
      <c r="I6" s="2019"/>
      <c r="J6" s="2020"/>
      <c r="K6" s="1384"/>
      <c r="L6" s="2003" t="s">
        <v>1950</v>
      </c>
      <c r="M6" s="864">
        <f>SUMPRODUCT((区片价!B127:B189=I2)*(区片价!C3:G3=E2)*(区片价!C127:G189))</f>
        <v>14100</v>
      </c>
      <c r="N6" s="866">
        <f>SUMPRODUCT((因素修正幅度!B127:B189=I2)*(因素修正幅度!C3:G3=E2)*(因素修正幅度!C127:G189))</f>
        <v>0.122</v>
      </c>
      <c r="O6" s="1119"/>
      <c r="P6" s="1119"/>
      <c r="Q6" s="1119"/>
      <c r="R6" s="1212">
        <v>5</v>
      </c>
      <c r="S6" s="3360">
        <f>ROUND(SUMPRODUCT((B106:B110=R6)*(C105:N105=G2)*(C106:N110)),4)</f>
        <v>0.84799999999999998</v>
      </c>
      <c r="T6" s="3360">
        <f t="shared" si="0"/>
        <v>14554</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3237</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1954</v>
      </c>
      <c r="X7" s="1214" t="str">
        <f>G2</f>
        <v>六级</v>
      </c>
      <c r="Y7" s="1214" t="s">
        <v>1955</v>
      </c>
      <c r="Z7" s="1215">
        <f>G3</f>
        <v>2.5</v>
      </c>
      <c r="AA7" s="1216"/>
      <c r="AB7" s="1216"/>
      <c r="AC7" s="1217"/>
      <c r="AD7" s="1218"/>
      <c r="AE7" s="1218"/>
      <c r="AF7" s="1218"/>
      <c r="AG7" s="1218"/>
      <c r="AH7" s="1218"/>
      <c r="AI7" s="1218"/>
      <c r="AJ7" s="1219"/>
    </row>
    <row r="8" spans="1:36" ht="15">
      <c r="A8" s="3298"/>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58" t="s">
        <v>1959</v>
      </c>
      <c r="X8" s="3759"/>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8"/>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60"/>
      <c r="X9" s="3361" t="s">
        <v>3267</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60"/>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3238</v>
      </c>
      <c r="B12" s="3304" t="s">
        <v>3239</v>
      </c>
      <c r="C12" s="3305">
        <v>1</v>
      </c>
      <c r="D12" s="3306" t="s">
        <v>3240</v>
      </c>
      <c r="E12" s="3307" t="s">
        <v>3241</v>
      </c>
      <c r="F12" s="3308"/>
      <c r="G12" s="3309"/>
      <c r="H12" s="3309"/>
      <c r="I12" s="3309"/>
      <c r="J12" s="3310"/>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3242</v>
      </c>
      <c r="B13" s="2034" t="s">
        <v>1981</v>
      </c>
      <c r="C13" s="755">
        <f>ROUND(C16*D16*E16*F16*G16*H16*I16*J16,4)</f>
        <v>1.1499999999999999</v>
      </c>
      <c r="D13" s="2035" t="s">
        <v>1982</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1984</v>
      </c>
      <c r="C14" s="2041" t="s">
        <v>1985</v>
      </c>
      <c r="D14" s="1350" t="s">
        <v>1986</v>
      </c>
      <c r="E14" s="27" t="s">
        <v>1987</v>
      </c>
      <c r="F14" s="3311" t="s">
        <v>3243</v>
      </c>
      <c r="G14" s="3311" t="s">
        <v>3243</v>
      </c>
      <c r="H14" s="3311" t="s">
        <v>3243</v>
      </c>
      <c r="I14" s="3311" t="s">
        <v>3243</v>
      </c>
      <c r="J14" s="3311" t="s">
        <v>3243</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t="s">
        <v>3416</v>
      </c>
      <c r="D15" s="2044" t="s">
        <v>3420</v>
      </c>
      <c r="E15" s="2045" t="s">
        <v>3421</v>
      </c>
      <c r="F15" s="3312" t="s">
        <v>3244</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1988</v>
      </c>
      <c r="C16" s="3317">
        <v>1.1499999999999999</v>
      </c>
      <c r="D16" s="3317">
        <v>1</v>
      </c>
      <c r="E16" s="3317">
        <v>1</v>
      </c>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f>ROUND(G18/I18,2)</f>
        <v>0</v>
      </c>
      <c r="F17" s="3321" t="s">
        <v>3250</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3248</v>
      </c>
      <c r="E18" s="3328"/>
      <c r="F18" s="3323" t="s">
        <v>3251</v>
      </c>
      <c r="G18" s="3327">
        <f>ROUND(1-(1/(POWER(1+G24,E18))),4)</f>
        <v>0</v>
      </c>
      <c r="H18" s="3323" t="s">
        <v>3253</v>
      </c>
      <c r="I18" s="3327">
        <f>ROUND(1-(1/(POWER(1+G24,J24))),4)</f>
        <v>0.96709999999999996</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3249</v>
      </c>
      <c r="E19" s="3337"/>
      <c r="F19" s="3338" t="s">
        <v>3252</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65" t="s">
        <v>3254</v>
      </c>
      <c r="B20" s="167" t="s">
        <v>1993</v>
      </c>
      <c r="C20" s="3324">
        <f>ROUND(IF(F21="与级别开发程度一致",0,(G21-E21)/C21),0)</f>
        <v>-126</v>
      </c>
      <c r="D20" s="3340" t="s">
        <v>1997</v>
      </c>
      <c r="E20" s="3341"/>
      <c r="F20" s="3771" t="s">
        <v>1994</v>
      </c>
      <c r="G20" s="3772"/>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66"/>
      <c r="B21" s="2164" t="s">
        <v>1996</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1999</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1.0723</v>
      </c>
      <c r="D23" s="2054" t="s">
        <v>2001</v>
      </c>
      <c r="E23" s="761">
        <v>44197</v>
      </c>
      <c r="F23" s="2054" t="s">
        <v>2002</v>
      </c>
      <c r="G23" s="762">
        <f>'数据-取费表'!B2</f>
        <v>45214</v>
      </c>
      <c r="H23" s="3342" t="s">
        <v>3255</v>
      </c>
      <c r="I23" s="3343" t="str">
        <f>IF(H23="季度增幅（自定义）",SUMIF(N25:N28,E2,O25:O28),"")</f>
        <v/>
      </c>
      <c r="J23" s="3445" t="s">
        <v>3419</v>
      </c>
      <c r="K23" s="1125"/>
      <c r="L23" s="2055" t="s">
        <v>2003</v>
      </c>
      <c r="M23" s="1328">
        <f>ROUND(SUMIF(地价!B2:G2,E2,地价!B16:G16),0)</f>
        <v>687</v>
      </c>
      <c r="N23" s="2056" t="s">
        <v>2004</v>
      </c>
      <c r="O23" s="763">
        <f>ROUNDDOWN(DATEDIF(E23,G23,"M")/3,0)</f>
        <v>11</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0.99270000000000003</v>
      </c>
      <c r="D24" s="2060" t="s">
        <v>2006</v>
      </c>
      <c r="E24" s="1335">
        <f>存贷款利率!E24/100</f>
        <v>4.3499999999999997E-2</v>
      </c>
      <c r="F24" s="2060" t="s">
        <v>1998</v>
      </c>
      <c r="G24" s="768">
        <f>SUMIF(M30:Q30,E2,M33:Q33)</f>
        <v>0.05</v>
      </c>
      <c r="H24" s="2060" t="s">
        <v>2007</v>
      </c>
      <c r="I24" s="769">
        <f>SUMIF('数据-取费表'!C6:C15,E2,'数据-取费表'!F6:F15)/COUNTIF('数据-取费表'!C6:C15,E2)</f>
        <v>66</v>
      </c>
      <c r="J24" s="770">
        <f>IF(E2="住宅",70,IF(E2="商业",40,50))</f>
        <v>70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3334</v>
      </c>
      <c r="C25" s="771">
        <f>IF(B25="容积率修正",IF(G3&lt;10,D26,J26),C27)</f>
        <v>1</v>
      </c>
      <c r="D25" s="2067"/>
      <c r="E25" s="2067"/>
      <c r="F25" s="2067"/>
      <c r="G25" s="2067"/>
      <c r="H25" s="2067"/>
      <c r="I25" s="2067"/>
      <c r="J25" s="2068"/>
      <c r="K25" s="1125"/>
      <c r="L25" s="2787"/>
      <c r="M25" s="2787"/>
      <c r="N25" s="2069"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4" t="s">
        <v>3256</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3257</v>
      </c>
      <c r="J26" s="772" t="str">
        <f>IF(G3&gt;=10,D115,"——")</f>
        <v>——</v>
      </c>
      <c r="K26" s="1125"/>
      <c r="L26" s="2787"/>
      <c r="M26" s="2787"/>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1.0021</v>
      </c>
      <c r="D28" s="2052"/>
      <c r="E28" s="2077"/>
      <c r="F28" s="2077"/>
      <c r="G28" s="2077"/>
      <c r="H28" s="2077"/>
      <c r="I28" s="2077"/>
      <c r="J28" s="2078"/>
      <c r="K28" s="1125"/>
      <c r="L28" s="2787"/>
      <c r="M28" s="2787"/>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124</v>
      </c>
      <c r="D30" s="2083"/>
      <c r="E30" s="2046"/>
      <c r="F30" s="2084"/>
      <c r="G30" s="2046"/>
      <c r="H30" s="2046"/>
      <c r="I30" s="2046"/>
      <c r="J30" s="2085"/>
      <c r="K30" s="1119"/>
      <c r="L30" s="3350" t="s">
        <v>1935</v>
      </c>
      <c r="M30" s="3351" t="s">
        <v>1989</v>
      </c>
      <c r="N30" s="3351" t="s">
        <v>1990</v>
      </c>
      <c r="O30" s="3351" t="s">
        <v>1991</v>
      </c>
      <c r="P30" s="3351" t="s">
        <v>1992</v>
      </c>
      <c r="Q30" s="3354"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52" t="s">
        <v>1995</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3" t="s">
        <v>1998</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17162</v>
      </c>
      <c r="D33" s="2098">
        <f>'比较法-住宅'!C33</f>
        <v>72.16</v>
      </c>
      <c r="E33" s="773">
        <f>ROUND(C33*D33/10000,0)</f>
        <v>124</v>
      </c>
      <c r="F33" s="3345" t="s">
        <v>3259</v>
      </c>
      <c r="G33" s="2099"/>
      <c r="H33" s="2099"/>
      <c r="I33" s="2099"/>
      <c r="J33" s="2100"/>
      <c r="K33" s="1119"/>
      <c r="L33" s="3348" t="s">
        <v>3262</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4291</v>
      </c>
      <c r="D34" s="2103"/>
      <c r="E34" s="773">
        <f>ROUND(IF(B25="楼层修正",SUM(V2:V16)*M40,C34*D34/10000),0)</f>
        <v>0</v>
      </c>
      <c r="F34" s="2104" t="s">
        <v>2031</v>
      </c>
      <c r="G34" s="2105"/>
      <c r="H34" s="2105"/>
      <c r="I34" s="2105"/>
      <c r="J34" s="2106"/>
      <c r="K34" s="1119"/>
      <c r="L34" s="3348" t="s">
        <v>3263</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6" t="s">
        <v>3260</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6" t="s">
        <v>3264</v>
      </c>
      <c r="L36" s="3446">
        <f ca="1">'数据-取费表'!B40</f>
        <v>4.7500000000000001E-2</v>
      </c>
      <c r="M36" s="3357">
        <f ca="1">ROUND($L$36*(1+M31),3)</f>
        <v>5.8999999999999997E-2</v>
      </c>
      <c r="N36" s="3357">
        <f ca="1">ROUND($L$36*(1+N31),3)</f>
        <v>5.7000000000000002E-2</v>
      </c>
      <c r="O36" s="3357">
        <f ca="1">ROUND($L$36*(1+O31),3)</f>
        <v>5.5E-2</v>
      </c>
      <c r="P36" s="3357">
        <f ca="1">ROUND($L$36*(1+P31),3)</f>
        <v>5.1999999999999998E-2</v>
      </c>
      <c r="Q36" s="3357">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9"/>
      <c r="B37" s="2113" t="s">
        <v>2035</v>
      </c>
      <c r="C37" s="175">
        <f>ROUND(D5*C22*C23*C24*C28*F37,0)</f>
        <v>8944</v>
      </c>
      <c r="D37" s="2098"/>
      <c r="E37" s="171">
        <f>ROUND(C37*D37/10000,0)</f>
        <v>0</v>
      </c>
      <c r="F37" s="171">
        <f>SUMIF(修正!A57:A68,G2,修正!B57:B68)</f>
        <v>0.6</v>
      </c>
      <c r="G37" s="171">
        <f>ROUND(IF(E2="工业",C37*$M$42,C37*$M$41),0)</f>
        <v>2236</v>
      </c>
      <c r="H37" s="171">
        <f>D37</f>
        <v>0</v>
      </c>
      <c r="I37" s="171">
        <f>ROUND(G37*H37/10000,0)</f>
        <v>0</v>
      </c>
      <c r="J37" s="3011"/>
      <c r="K37" s="3358" t="s">
        <v>3265</v>
      </c>
      <c r="L37" s="3356">
        <f ca="1">L36+K38</f>
        <v>5.2499999999999998E-2</v>
      </c>
      <c r="M37" s="3357">
        <f ca="1">ROUND($L$37*(1+M31),3)</f>
        <v>6.6000000000000003E-2</v>
      </c>
      <c r="N37" s="3357">
        <f t="shared" ref="N37:Q37" ca="1" si="3">ROUND($L$37*(1+N31),3)</f>
        <v>6.3E-2</v>
      </c>
      <c r="O37" s="3357">
        <f t="shared" ca="1" si="3"/>
        <v>0.06</v>
      </c>
      <c r="P37" s="3357">
        <f t="shared" ca="1" si="3"/>
        <v>5.8000000000000003E-2</v>
      </c>
      <c r="Q37" s="3357">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0"/>
      <c r="B38" s="2041" t="s">
        <v>2036</v>
      </c>
      <c r="C38" s="175">
        <f>ROUND(D5*C22*C23*C24*C28*F38,0)</f>
        <v>4472</v>
      </c>
      <c r="D38" s="2098"/>
      <c r="E38" s="171">
        <f t="shared" ref="E38:E42" si="4">ROUND(C38*D38/10000,0)</f>
        <v>0</v>
      </c>
      <c r="F38" s="171">
        <f>SUMIF(修正!A57:A68,G2,修正!C57:C68)</f>
        <v>0.3</v>
      </c>
      <c r="G38" s="171">
        <f>ROUND(IF(E2="工业",C38*$M$42,C38*$M$41),0)</f>
        <v>1118</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70"/>
      <c r="B39" s="2041" t="s">
        <v>3258</v>
      </c>
      <c r="C39" s="175">
        <f>ROUND(D5*C22*C23*C24*C28*F39,0)</f>
        <v>3727</v>
      </c>
      <c r="D39" s="2098"/>
      <c r="E39" s="171">
        <f t="shared" si="4"/>
        <v>0</v>
      </c>
      <c r="F39" s="171">
        <f>SUMIF(修正!A57:A68,G2,修正!D57:D68)</f>
        <v>0.25</v>
      </c>
      <c r="G39" s="171">
        <f>ROUND(IF(E2="工业",C39*$M$42,C39*$M$41),0)</f>
        <v>932</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3727</v>
      </c>
      <c r="D40" s="2098"/>
      <c r="E40" s="171">
        <f t="shared" si="4"/>
        <v>0</v>
      </c>
      <c r="F40" s="175">
        <f>SUMIF(修正!A57:A68,G2,修正!E57:E68)</f>
        <v>0.25</v>
      </c>
      <c r="G40" s="171">
        <f>ROUND(IF(E2="工业",C40*$M$42,C40*$M$41),0)</f>
        <v>932</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9" t="s">
        <v>3266</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hidden="1">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76.5" hidden="1">
      <c r="A51" s="2130" t="s">
        <v>2052</v>
      </c>
      <c r="B51" s="2134" t="str">
        <f>估价对象房地状况!C18</f>
        <v>估价对象紧邻城市支路——天达路，有专171路、411路等多条公共交通线路，距离最近的地铁7号线（郎辛庄站）约0.8公里，综合评价交通便捷度一般</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8" t="s">
        <v>3268</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2053</v>
      </c>
      <c r="B53" s="2135" t="s">
        <v>2054</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2055</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2056</v>
      </c>
      <c r="B55" s="2136" t="s">
        <v>2057</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2058</v>
      </c>
      <c r="B56" s="1326" t="str">
        <f>估价对象房地状况!C21</f>
        <v>估价对象所在区域公共配套设施齐备情况较好</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7" t="s">
        <v>2059</v>
      </c>
      <c r="B57" s="2134" t="str">
        <f>估价对象房地状况!C22</f>
        <v>七通</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39" hidden="1" thickBot="1">
      <c r="A58" s="2138" t="s">
        <v>2060</v>
      </c>
      <c r="B58" s="2139" t="str">
        <f>估价对象房地状况!C20</f>
        <v>区域自然环境：西排干渠；人文环境；豆各庄乡情博物馆；综合评价环境状况一般。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hidden="1">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76.5" hidden="1">
      <c r="A62" s="2130" t="s">
        <v>2052</v>
      </c>
      <c r="B62" s="2134" t="str">
        <f>估价对象房地状况!C18</f>
        <v>估价对象紧邻城市支路——天达路，有专171路、411路等多条公共交通线路，距离最近的地铁7号线（郎辛庄站）约0.8公里，综合评价交通便捷度一般</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8" t="s">
        <v>3268</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2053</v>
      </c>
      <c r="B64" s="2135" t="s">
        <v>2054</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2055</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2056</v>
      </c>
      <c r="B66" s="2136" t="s">
        <v>2057</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2058</v>
      </c>
      <c r="B67" s="1326" t="str">
        <f>估价对象房地状况!C21</f>
        <v>估价对象所在区域公共配套设施齐备情况较好</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hidden="1">
      <c r="A68" s="2130" t="s">
        <v>2059</v>
      </c>
      <c r="B68" s="1326" t="str">
        <f>估价对象房地状况!C22</f>
        <v>七通</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39" hidden="1" thickBot="1">
      <c r="A69" s="2138" t="s">
        <v>2060</v>
      </c>
      <c r="B69" s="2140" t="str">
        <f>估价对象房地状况!C20</f>
        <v>区域自然环境：西排干渠；人文环境；豆各庄乡情博物馆；综合评价环境状况一般。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1.0021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38.25">
      <c r="A72" s="2130" t="s">
        <v>2065</v>
      </c>
      <c r="B72" s="2133" t="str">
        <f>估价对象房地状况!C15</f>
        <v>估价对象周边有青荷里晨风园、京城雅居、明德园等社区，综合评价居住社区成熟度较好</v>
      </c>
      <c r="C72" s="2044" t="s">
        <v>3409</v>
      </c>
      <c r="D72" s="1065">
        <f t="shared" ref="D72:D80" si="17">SUMIF($J$71:$N$71,C72,J72:N72)</f>
        <v>6.9999999999999999E-4</v>
      </c>
      <c r="E72" s="744">
        <f>ROUND(SUM(D72:D80),4)</f>
        <v>2.0999999999999999E-3</v>
      </c>
      <c r="F72" s="1814">
        <f>IF(E2="住宅",SUMIF(L1:L12,G2,N1:N12),"——")</f>
        <v>0.122</v>
      </c>
      <c r="G72" s="3459">
        <f t="shared" ref="G72:H80" si="18">IFERROR(ROUNDDOWN($F$72*H72/2,4),"——")</f>
        <v>6.9999999999999999E-4</v>
      </c>
      <c r="H72" s="1066">
        <f t="shared" si="18"/>
        <v>1.2200000000000001E-2</v>
      </c>
      <c r="I72" s="3366">
        <v>0.2</v>
      </c>
      <c r="J72" s="1064">
        <f t="shared" ref="J72:J80" si="19">K72+$G72</f>
        <v>1.4E-3</v>
      </c>
      <c r="K72" s="1064">
        <f t="shared" ref="K72:K80" si="20">$L72+$G72</f>
        <v>6.9999999999999999E-4</v>
      </c>
      <c r="L72" s="1064">
        <v>0</v>
      </c>
      <c r="M72" s="1064">
        <f t="shared" ref="M72:N80" si="21">L72-$G72</f>
        <v>-6.9999999999999999E-4</v>
      </c>
      <c r="N72" s="1064">
        <f t="shared" si="21"/>
        <v>-1.4E-3</v>
      </c>
      <c r="AA72" s="1120"/>
      <c r="AB72" s="1120"/>
      <c r="AC72" s="1120"/>
      <c r="AD72" s="1120"/>
      <c r="AE72" s="1120"/>
      <c r="AF72" s="1120"/>
      <c r="AG72" s="1120"/>
      <c r="AH72" s="1120"/>
      <c r="AI72" s="1120"/>
      <c r="AJ72" s="1120"/>
      <c r="AK72" s="1120"/>
    </row>
    <row r="73" spans="1:37" s="1119" customFormat="1" ht="76.5">
      <c r="A73" s="2130" t="s">
        <v>2052</v>
      </c>
      <c r="B73" s="2134" t="str">
        <f>估价对象房地状况!C18</f>
        <v>估价对象紧邻城市支路——天达路，有专171路、411路等多条公共交通线路，距离最近的地铁7号线（郎辛庄站）约0.8公里，综合评价交通便捷度一般</v>
      </c>
      <c r="C73" s="2044" t="s">
        <v>3423</v>
      </c>
      <c r="D73" s="1065">
        <f t="shared" si="17"/>
        <v>0</v>
      </c>
      <c r="E73" s="747"/>
      <c r="F73" s="1814"/>
      <c r="G73" s="3459">
        <f t="shared" si="18"/>
        <v>8.9999999999999998E-4</v>
      </c>
      <c r="H73" s="1066">
        <f t="shared" si="18"/>
        <v>1.5800000000000002E-2</v>
      </c>
      <c r="I73" s="3366">
        <v>0.26</v>
      </c>
      <c r="J73" s="1064">
        <f t="shared" si="19"/>
        <v>1.8E-3</v>
      </c>
      <c r="K73" s="1064">
        <f t="shared" si="20"/>
        <v>8.9999999999999998E-4</v>
      </c>
      <c r="L73" s="1064">
        <v>0</v>
      </c>
      <c r="M73" s="1064">
        <f t="shared" si="21"/>
        <v>-8.9999999999999998E-4</v>
      </c>
      <c r="N73" s="1064">
        <f t="shared" si="21"/>
        <v>-1.8E-3</v>
      </c>
      <c r="AA73" s="1120"/>
      <c r="AB73" s="1120"/>
      <c r="AC73" s="1120"/>
      <c r="AD73" s="1120"/>
      <c r="AE73" s="1120"/>
      <c r="AF73" s="1120"/>
      <c r="AG73" s="1120"/>
      <c r="AH73" s="1120"/>
      <c r="AI73" s="1120"/>
      <c r="AJ73" s="1120"/>
      <c r="AK73" s="1120"/>
    </row>
    <row r="74" spans="1:37" s="1997" customFormat="1" ht="36">
      <c r="A74" s="3368" t="s">
        <v>3268</v>
      </c>
      <c r="B74" s="2134">
        <f>估价对象房地状况!C19</f>
        <v>0</v>
      </c>
      <c r="C74" s="2044" t="s">
        <v>3409</v>
      </c>
      <c r="D74" s="1065">
        <f t="shared" si="17"/>
        <v>2.9999999999999997E-4</v>
      </c>
      <c r="E74" s="747"/>
      <c r="F74" s="1814"/>
      <c r="G74" s="3459">
        <f t="shared" si="18"/>
        <v>2.9999999999999997E-4</v>
      </c>
      <c r="H74" s="1066">
        <f t="shared" si="18"/>
        <v>6.1000000000000004E-3</v>
      </c>
      <c r="I74" s="3366">
        <v>0.1</v>
      </c>
      <c r="J74" s="1064">
        <f t="shared" si="19"/>
        <v>5.9999999999999995E-4</v>
      </c>
      <c r="K74" s="1064">
        <f t="shared" si="20"/>
        <v>2.9999999999999997E-4</v>
      </c>
      <c r="L74" s="1064">
        <v>0</v>
      </c>
      <c r="M74" s="1064">
        <f t="shared" si="21"/>
        <v>-2.9999999999999997E-4</v>
      </c>
      <c r="N74" s="1064">
        <f t="shared" si="21"/>
        <v>-5.9999999999999995E-4</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t="s">
        <v>3424</v>
      </c>
      <c r="D75" s="1065">
        <f t="shared" si="17"/>
        <v>-2.0000000000000001E-4</v>
      </c>
      <c r="E75" s="747"/>
      <c r="F75" s="1814"/>
      <c r="G75" s="3459">
        <f t="shared" si="18"/>
        <v>1E-4</v>
      </c>
      <c r="H75" s="1066">
        <f t="shared" si="18"/>
        <v>3.0000000000000001E-3</v>
      </c>
      <c r="I75" s="3366">
        <v>0.05</v>
      </c>
      <c r="J75" s="1064">
        <f t="shared" si="19"/>
        <v>2.0000000000000001E-4</v>
      </c>
      <c r="K75" s="1064">
        <f t="shared" si="20"/>
        <v>1E-4</v>
      </c>
      <c r="L75" s="1064">
        <v>0</v>
      </c>
      <c r="M75" s="1064">
        <f t="shared" si="21"/>
        <v>-1E-4</v>
      </c>
      <c r="N75" s="1064">
        <f t="shared" si="21"/>
        <v>-2.0000000000000001E-4</v>
      </c>
      <c r="O75" s="1119"/>
      <c r="P75" s="1119"/>
      <c r="Q75" s="1997"/>
      <c r="Z75" s="1998"/>
      <c r="AA75" s="2053"/>
      <c r="AG75" s="1121"/>
      <c r="AK75" s="2053"/>
    </row>
    <row r="76" spans="1:37" ht="25.5">
      <c r="A76" s="2130" t="s">
        <v>2058</v>
      </c>
      <c r="B76" s="1326" t="str">
        <f>估价对象房地状况!C21</f>
        <v>估价对象所在区域公共配套设施齐备情况较好</v>
      </c>
      <c r="C76" s="2044" t="s">
        <v>3409</v>
      </c>
      <c r="D76" s="1065">
        <f t="shared" si="17"/>
        <v>2.0000000000000001E-4</v>
      </c>
      <c r="E76" s="747"/>
      <c r="F76" s="1814"/>
      <c r="G76" s="3459">
        <f t="shared" si="18"/>
        <v>2.0000000000000001E-4</v>
      </c>
      <c r="H76" s="1066">
        <f t="shared" si="18"/>
        <v>4.7999999999999996E-3</v>
      </c>
      <c r="I76" s="3366">
        <v>0.08</v>
      </c>
      <c r="J76" s="1064">
        <f t="shared" si="19"/>
        <v>4.0000000000000002E-4</v>
      </c>
      <c r="K76" s="1064">
        <f t="shared" si="20"/>
        <v>2.0000000000000001E-4</v>
      </c>
      <c r="L76" s="1064">
        <v>0</v>
      </c>
      <c r="M76" s="1064">
        <f t="shared" si="21"/>
        <v>-2.0000000000000001E-4</v>
      </c>
      <c r="N76" s="1064">
        <f t="shared" si="21"/>
        <v>-4.0000000000000002E-4</v>
      </c>
      <c r="O76" s="1119"/>
      <c r="P76" s="1119"/>
      <c r="Z76" s="1998"/>
      <c r="AA76" s="2053"/>
      <c r="AG76" s="1121"/>
      <c r="AK76" s="2053"/>
    </row>
    <row r="77" spans="1:37" ht="24">
      <c r="A77" s="2130" t="s">
        <v>2059</v>
      </c>
      <c r="B77" s="1326" t="str">
        <f>估价对象房地状况!C22</f>
        <v>七通</v>
      </c>
      <c r="C77" s="2044" t="s">
        <v>3425</v>
      </c>
      <c r="D77" s="1065">
        <f t="shared" si="17"/>
        <v>5.9999999999999995E-4</v>
      </c>
      <c r="E77" s="747"/>
      <c r="F77" s="1814"/>
      <c r="G77" s="3459">
        <f t="shared" si="18"/>
        <v>2.9999999999999997E-4</v>
      </c>
      <c r="H77" s="1066">
        <f t="shared" si="18"/>
        <v>5.4000000000000003E-3</v>
      </c>
      <c r="I77" s="3366">
        <v>0.09</v>
      </c>
      <c r="J77" s="1064">
        <f t="shared" si="19"/>
        <v>5.9999999999999995E-4</v>
      </c>
      <c r="K77" s="1064">
        <f t="shared" si="20"/>
        <v>2.9999999999999997E-4</v>
      </c>
      <c r="L77" s="1064">
        <v>0</v>
      </c>
      <c r="M77" s="1064">
        <f t="shared" si="21"/>
        <v>-2.9999999999999997E-4</v>
      </c>
      <c r="N77" s="1064">
        <f t="shared" si="21"/>
        <v>-5.9999999999999995E-4</v>
      </c>
      <c r="O77" s="1119"/>
      <c r="P77" s="1119"/>
      <c r="Z77" s="1998"/>
      <c r="AA77" s="2053"/>
      <c r="AG77" s="1121"/>
      <c r="AK77" s="2053"/>
    </row>
    <row r="78" spans="1:37" ht="24">
      <c r="A78" s="2130" t="s">
        <v>2056</v>
      </c>
      <c r="B78" s="2136" t="s">
        <v>2057</v>
      </c>
      <c r="C78" s="2044" t="s">
        <v>3409</v>
      </c>
      <c r="D78" s="1065">
        <f t="shared" si="17"/>
        <v>1E-4</v>
      </c>
      <c r="E78" s="747"/>
      <c r="F78" s="1814"/>
      <c r="G78" s="3459">
        <f t="shared" si="18"/>
        <v>1E-4</v>
      </c>
      <c r="H78" s="1066">
        <f t="shared" si="18"/>
        <v>3.0000000000000001E-3</v>
      </c>
      <c r="I78" s="3366">
        <v>0.05</v>
      </c>
      <c r="J78" s="1064">
        <f t="shared" si="19"/>
        <v>2.0000000000000001E-4</v>
      </c>
      <c r="K78" s="1064">
        <f t="shared" si="20"/>
        <v>1E-4</v>
      </c>
      <c r="L78" s="1064">
        <v>0</v>
      </c>
      <c r="M78" s="1064">
        <f t="shared" si="21"/>
        <v>-1E-4</v>
      </c>
      <c r="N78" s="1064">
        <f t="shared" si="21"/>
        <v>-2.0000000000000001E-4</v>
      </c>
      <c r="O78" s="1997"/>
      <c r="P78" s="1997"/>
      <c r="Z78" s="1998"/>
      <c r="AA78" s="2053"/>
      <c r="AG78" s="1121"/>
      <c r="AK78" s="2053"/>
    </row>
    <row r="79" spans="1:37" ht="38.25">
      <c r="A79" s="2130" t="s">
        <v>2060</v>
      </c>
      <c r="B79" s="2133" t="str">
        <f>估价对象房地状况!C20</f>
        <v>区域自然环境：西排干渠；人文环境；豆各庄乡情博物馆；综合评价环境状况一般。</v>
      </c>
      <c r="C79" s="2044" t="s">
        <v>3409</v>
      </c>
      <c r="D79" s="1065">
        <f t="shared" si="17"/>
        <v>4.0000000000000002E-4</v>
      </c>
      <c r="E79" s="747"/>
      <c r="F79" s="1814"/>
      <c r="G79" s="3459">
        <f t="shared" si="18"/>
        <v>4.0000000000000002E-4</v>
      </c>
      <c r="H79" s="1066">
        <f t="shared" si="18"/>
        <v>7.3000000000000001E-3</v>
      </c>
      <c r="I79" s="3366">
        <v>0.12</v>
      </c>
      <c r="J79" s="1064">
        <f t="shared" si="19"/>
        <v>8.0000000000000004E-4</v>
      </c>
      <c r="K79" s="1064">
        <f t="shared" si="20"/>
        <v>4.0000000000000002E-4</v>
      </c>
      <c r="L79" s="1064">
        <v>0</v>
      </c>
      <c r="M79" s="1064">
        <f t="shared" si="21"/>
        <v>-4.0000000000000002E-4</v>
      </c>
      <c r="N79" s="1064">
        <f t="shared" si="21"/>
        <v>-8.0000000000000004E-4</v>
      </c>
      <c r="Z79" s="1998"/>
      <c r="AA79" s="2053"/>
      <c r="AG79" s="1121"/>
      <c r="AK79" s="2053"/>
    </row>
    <row r="80" spans="1:37" ht="24.75" thickBot="1">
      <c r="A80" s="2138" t="s">
        <v>2067</v>
      </c>
      <c r="B80" s="2142"/>
      <c r="C80" s="2044" t="s">
        <v>3423</v>
      </c>
      <c r="D80" s="1065">
        <f t="shared" si="17"/>
        <v>0</v>
      </c>
      <c r="E80" s="748"/>
      <c r="F80" s="1814"/>
      <c r="G80" s="3459">
        <f t="shared" si="18"/>
        <v>1E-4</v>
      </c>
      <c r="H80" s="1066">
        <f t="shared" si="18"/>
        <v>3.0000000000000001E-3</v>
      </c>
      <c r="I80" s="3367">
        <v>0.05</v>
      </c>
      <c r="J80" s="1064">
        <f t="shared" si="19"/>
        <v>2.0000000000000001E-4</v>
      </c>
      <c r="K80" s="1064">
        <f t="shared" si="20"/>
        <v>1E-4</v>
      </c>
      <c r="L80" s="1064">
        <v>0</v>
      </c>
      <c r="M80" s="1064">
        <f t="shared" si="21"/>
        <v>-1E-4</v>
      </c>
      <c r="N80" s="1064">
        <f t="shared" si="21"/>
        <v>-2.0000000000000001E-4</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3269</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2612</v>
      </c>
      <c r="B91" s="3377">
        <f>1+E93</f>
        <v>1</v>
      </c>
      <c r="C91" s="3370"/>
      <c r="D91" s="3371"/>
      <c r="E91" s="1814"/>
      <c r="F91" s="1814"/>
      <c r="G91" s="3372"/>
      <c r="H91" s="3373"/>
      <c r="I91" s="3374"/>
      <c r="J91" s="3375"/>
      <c r="K91" s="3375"/>
      <c r="L91" s="3375"/>
      <c r="M91" s="3375"/>
      <c r="N91" s="3375"/>
    </row>
    <row r="92" spans="1:37" ht="24.75">
      <c r="A92" s="3378" t="s">
        <v>3270</v>
      </c>
      <c r="B92" s="3365"/>
      <c r="C92" s="3365" t="s">
        <v>3279</v>
      </c>
      <c r="D92" s="3365" t="s">
        <v>3280</v>
      </c>
      <c r="E92" s="3347" t="s">
        <v>3281</v>
      </c>
      <c r="F92" s="3380" t="s">
        <v>3282</v>
      </c>
      <c r="G92" s="3365" t="s">
        <v>3283</v>
      </c>
      <c r="H92" s="3387" t="s">
        <v>3286</v>
      </c>
      <c r="I92" s="3365" t="s">
        <v>3287</v>
      </c>
      <c r="J92" s="3388" t="s">
        <v>3288</v>
      </c>
      <c r="K92" s="3388" t="s">
        <v>3289</v>
      </c>
      <c r="L92" s="3388" t="s">
        <v>3290</v>
      </c>
      <c r="M92" s="3388" t="s">
        <v>3291</v>
      </c>
      <c r="N92" s="3388" t="s">
        <v>3292</v>
      </c>
    </row>
    <row r="93" spans="1:37" ht="24">
      <c r="A93" s="3368" t="s">
        <v>3271</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76.5">
      <c r="A94" s="3378" t="s">
        <v>3272</v>
      </c>
      <c r="B94" s="3369" t="str">
        <f>估价对象房地状况!C18</f>
        <v>估价对象紧邻城市支路——天达路，有专171路、411路等多条公共交通线路，距离最近的地铁7号线（郎辛庄站）约0.8公里，综合评价交通便捷度一般</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3268</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3273</v>
      </c>
      <c r="B96" s="3384" t="s">
        <v>3284</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3274</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3275</v>
      </c>
      <c r="B98" s="3385" t="s">
        <v>3285</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3276</v>
      </c>
      <c r="B99" s="3369" t="str">
        <f>估价对象房地状况!C21</f>
        <v>估价对象所在区域公共配套设施齐备情况较好</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4">
      <c r="A100" s="3378" t="s">
        <v>3277</v>
      </c>
      <c r="B100" s="3369" t="str">
        <f>估价对象房地状况!C22</f>
        <v>七通</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39" thickBot="1">
      <c r="A101" s="3379" t="s">
        <v>3278</v>
      </c>
      <c r="B101" s="3386" t="str">
        <f>估价对象房地状况!C20</f>
        <v>区域自然环境：西排干渠；人文环境；豆各庄乡情博物馆；综合评价环境状况一般。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7" t="s">
        <v>3293</v>
      </c>
      <c r="B103" s="3767"/>
      <c r="C103" s="3767"/>
      <c r="D103" s="3767"/>
      <c r="E103" s="3767"/>
      <c r="F103" s="3767"/>
      <c r="G103" s="3767"/>
      <c r="H103" s="3767"/>
      <c r="I103" s="3767"/>
      <c r="J103" s="3767"/>
      <c r="K103" s="3389"/>
      <c r="L103" s="3389"/>
      <c r="M103" s="3389"/>
      <c r="N103" s="3389"/>
    </row>
    <row r="104" spans="1:14">
      <c r="A104" s="3768" t="s">
        <v>3294</v>
      </c>
      <c r="B104" s="3768" t="s">
        <v>3295</v>
      </c>
      <c r="C104" s="3390" t="s">
        <v>3296</v>
      </c>
      <c r="D104" s="3391"/>
      <c r="E104" s="3391"/>
      <c r="F104" s="3391"/>
      <c r="G104" s="3391"/>
      <c r="H104" s="3391"/>
      <c r="I104" s="3391"/>
      <c r="J104" s="3392"/>
      <c r="K104" s="3393"/>
      <c r="L104" s="3393"/>
      <c r="M104" s="3393"/>
      <c r="N104" s="3393"/>
    </row>
    <row r="105" spans="1:14">
      <c r="A105" s="3768"/>
      <c r="B105" s="3768"/>
      <c r="C105" s="3394" t="s">
        <v>3297</v>
      </c>
      <c r="D105" s="3394" t="s">
        <v>3298</v>
      </c>
      <c r="E105" s="3394" t="s">
        <v>3299</v>
      </c>
      <c r="F105" s="3394" t="s">
        <v>3300</v>
      </c>
      <c r="G105" s="3394" t="s">
        <v>3301</v>
      </c>
      <c r="H105" s="3394" t="s">
        <v>3302</v>
      </c>
      <c r="I105" s="3394" t="s">
        <v>3303</v>
      </c>
      <c r="J105" s="3394" t="s">
        <v>3304</v>
      </c>
      <c r="K105" s="3394" t="s">
        <v>3305</v>
      </c>
      <c r="L105" s="3394" t="s">
        <v>3306</v>
      </c>
      <c r="M105" s="3394" t="s">
        <v>3307</v>
      </c>
      <c r="N105" s="3394" t="s">
        <v>3308</v>
      </c>
    </row>
    <row r="106" spans="1:14">
      <c r="A106" s="3754" t="s">
        <v>3309</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5"/>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5"/>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5"/>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5"/>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5"/>
      <c r="B111" s="3394" t="s">
        <v>3267</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6"/>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7" t="s">
        <v>3310</v>
      </c>
      <c r="B113" s="3757"/>
      <c r="C113" s="3757"/>
      <c r="D113" s="3757"/>
      <c r="E113" s="3757"/>
      <c r="F113" s="3757"/>
      <c r="G113" s="3757"/>
      <c r="H113" s="3757"/>
      <c r="I113" s="3757"/>
      <c r="J113" s="3757"/>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3311</v>
      </c>
      <c r="B116" s="3415">
        <f>G3</f>
        <v>2.5</v>
      </c>
      <c r="C116" s="3399" t="s">
        <v>3312</v>
      </c>
      <c r="D116" s="3400">
        <f>SUMPRODUCT((A118:A122=F116)*(B117:M117=H116)*B118:M122)</f>
        <v>0.90080000000000005</v>
      </c>
      <c r="E116" s="2000" t="s">
        <v>3313</v>
      </c>
      <c r="F116" s="3401" t="str">
        <f>E2</f>
        <v>住宅</v>
      </c>
      <c r="G116" s="2000" t="s">
        <v>3314</v>
      </c>
      <c r="H116" s="3401" t="str">
        <f>G2</f>
        <v>六级</v>
      </c>
      <c r="I116" s="2000"/>
      <c r="J116" s="3402"/>
      <c r="K116" s="3402"/>
      <c r="L116" s="3402"/>
      <c r="M116" s="3402"/>
      <c r="N116" s="3397"/>
    </row>
    <row r="117" spans="1:14">
      <c r="A117" s="3403"/>
      <c r="B117" s="3404" t="s">
        <v>3315</v>
      </c>
      <c r="C117" s="3404" t="s">
        <v>3316</v>
      </c>
      <c r="D117" s="3404" t="s">
        <v>3317</v>
      </c>
      <c r="E117" s="3405" t="s">
        <v>3318</v>
      </c>
      <c r="F117" s="3405" t="s">
        <v>3319</v>
      </c>
      <c r="G117" s="3405" t="s">
        <v>3320</v>
      </c>
      <c r="H117" s="3406" t="s">
        <v>3321</v>
      </c>
      <c r="I117" s="3406" t="s">
        <v>3322</v>
      </c>
      <c r="J117" s="3407" t="s">
        <v>3323</v>
      </c>
      <c r="K117" s="3407" t="s">
        <v>3324</v>
      </c>
      <c r="L117" s="3407" t="s">
        <v>3325</v>
      </c>
      <c r="M117" s="3408" t="s">
        <v>3326</v>
      </c>
      <c r="N117" s="3397"/>
    </row>
    <row r="118" spans="1:14">
      <c r="A118" s="3409" t="s">
        <v>3327</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5">I118</f>
        <v>0.80359999999999998</v>
      </c>
      <c r="K118" s="3387">
        <f t="shared" si="35"/>
        <v>0.80359999999999998</v>
      </c>
      <c r="L118" s="3387">
        <f t="shared" si="35"/>
        <v>0.80359999999999998</v>
      </c>
      <c r="M118" s="3410">
        <f t="shared" si="35"/>
        <v>0.80359999999999998</v>
      </c>
      <c r="N118" s="3397"/>
    </row>
    <row r="119" spans="1:14">
      <c r="A119" s="3409" t="s">
        <v>3328</v>
      </c>
      <c r="B119" s="3387">
        <f>ROUND(0.993-0.0112*B116,4)</f>
        <v>0.96499999999999997</v>
      </c>
      <c r="C119" s="3387">
        <f>B119</f>
        <v>0.96499999999999997</v>
      </c>
      <c r="D119" s="3387">
        <f>ROUND(0.9415-0.0142*B116,4)</f>
        <v>0.90600000000000003</v>
      </c>
      <c r="E119" s="3387">
        <f t="shared" ref="E119:H120" si="36">D119</f>
        <v>0.90600000000000003</v>
      </c>
      <c r="F119" s="3387">
        <f t="shared" si="36"/>
        <v>0.90600000000000003</v>
      </c>
      <c r="G119" s="3387">
        <f t="shared" si="36"/>
        <v>0.90600000000000003</v>
      </c>
      <c r="H119" s="3387">
        <f t="shared" si="36"/>
        <v>0.90600000000000003</v>
      </c>
      <c r="I119" s="3387">
        <f>ROUND(0.838-0.0182*B116,4)</f>
        <v>0.79249999999999998</v>
      </c>
      <c r="J119" s="3387">
        <f t="shared" si="35"/>
        <v>0.79249999999999998</v>
      </c>
      <c r="K119" s="3387">
        <f t="shared" si="35"/>
        <v>0.79249999999999998</v>
      </c>
      <c r="L119" s="3387">
        <f t="shared" si="35"/>
        <v>0.79249999999999998</v>
      </c>
      <c r="M119" s="3410">
        <f t="shared" si="35"/>
        <v>0.79249999999999998</v>
      </c>
      <c r="N119" s="3397"/>
    </row>
    <row r="120" spans="1:14">
      <c r="A120" s="3409" t="s">
        <v>3329</v>
      </c>
      <c r="B120" s="3387">
        <f>ROUND(0.9448-0.0115*B116,4)</f>
        <v>0.91610000000000003</v>
      </c>
      <c r="C120" s="3387">
        <f>B120</f>
        <v>0.91610000000000003</v>
      </c>
      <c r="D120" s="3387">
        <f>ROUND(0.937-0.0145*B116,4)</f>
        <v>0.90080000000000005</v>
      </c>
      <c r="E120" s="3387">
        <f t="shared" si="36"/>
        <v>0.90080000000000005</v>
      </c>
      <c r="F120" s="3387">
        <f t="shared" si="36"/>
        <v>0.90080000000000005</v>
      </c>
      <c r="G120" s="3387">
        <f t="shared" si="36"/>
        <v>0.90080000000000005</v>
      </c>
      <c r="H120" s="3387">
        <f t="shared" si="36"/>
        <v>0.90080000000000005</v>
      </c>
      <c r="I120" s="3387">
        <f>ROUND(0.7965-0.0185*B116,4)</f>
        <v>0.75029999999999997</v>
      </c>
      <c r="J120" s="3387">
        <f t="shared" si="35"/>
        <v>0.75029999999999997</v>
      </c>
      <c r="K120" s="3387">
        <f t="shared" si="35"/>
        <v>0.75029999999999997</v>
      </c>
      <c r="L120" s="3387">
        <f t="shared" si="35"/>
        <v>0.75029999999999997</v>
      </c>
      <c r="M120" s="3410">
        <f t="shared" si="35"/>
        <v>0.75029999999999997</v>
      </c>
      <c r="N120" s="3397"/>
    </row>
    <row r="121" spans="1:14" ht="13.5" thickBot="1">
      <c r="A121" s="3411" t="s">
        <v>3330</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5"/>
        <v>0.54300000000000004</v>
      </c>
      <c r="K121" s="3412">
        <f t="shared" si="35"/>
        <v>0.54300000000000004</v>
      </c>
      <c r="L121" s="3412">
        <f t="shared" si="35"/>
        <v>0.54300000000000004</v>
      </c>
      <c r="M121" s="3413">
        <f t="shared" si="35"/>
        <v>0.54300000000000004</v>
      </c>
      <c r="N121" s="3397"/>
    </row>
    <row r="122" spans="1:14">
      <c r="A122" s="3414" t="s">
        <v>2612</v>
      </c>
      <c r="B122" s="3387">
        <f>ROUND(0.9404-0.0106*B116,4)</f>
        <v>0.91390000000000005</v>
      </c>
      <c r="C122" s="3387">
        <f>B122</f>
        <v>0.91390000000000005</v>
      </c>
      <c r="D122" s="3387">
        <f>ROUND(0.8955-0.0135*B116,4)</f>
        <v>0.86180000000000001</v>
      </c>
      <c r="E122" s="3387">
        <f t="shared" ref="E122:H122" si="37">D122</f>
        <v>0.86180000000000001</v>
      </c>
      <c r="F122" s="3387">
        <f t="shared" si="37"/>
        <v>0.86180000000000001</v>
      </c>
      <c r="G122" s="3387">
        <f t="shared" si="37"/>
        <v>0.86180000000000001</v>
      </c>
      <c r="H122" s="3387">
        <f t="shared" si="37"/>
        <v>0.86180000000000001</v>
      </c>
      <c r="I122" s="3387">
        <f>ROUND(0.7632-0.0166*B116,4)</f>
        <v>0.72170000000000001</v>
      </c>
      <c r="J122" s="3387">
        <f t="shared" si="35"/>
        <v>0.72170000000000001</v>
      </c>
      <c r="K122" s="3387">
        <f t="shared" si="35"/>
        <v>0.72170000000000001</v>
      </c>
      <c r="L122" s="3387">
        <f t="shared" si="35"/>
        <v>0.72170000000000001</v>
      </c>
      <c r="M122" s="3410">
        <f t="shared" si="35"/>
        <v>0.72170000000000001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7" stopIfTrue="1" operator="notEqual">
      <formula>"——"</formula>
    </cfRule>
  </conditionalFormatting>
  <conditionalFormatting sqref="F61">
    <cfRule type="cellIs" dxfId="5" priority="6" stopIfTrue="1" operator="notEqual">
      <formula>"——"</formula>
    </cfRule>
  </conditionalFormatting>
  <conditionalFormatting sqref="F72">
    <cfRule type="cellIs" dxfId="4" priority="5" stopIfTrue="1" operator="notEqual">
      <formula>"——"</formula>
    </cfRule>
  </conditionalFormatting>
  <conditionalFormatting sqref="F83">
    <cfRule type="cellIs" dxfId="3" priority="4" stopIfTrue="1" operator="notEqual">
      <formula>"——"</formula>
    </cfRule>
  </conditionalFormatting>
  <conditionalFormatting sqref="H50:H58 H61:H69 H72:H80 H83:H91">
    <cfRule type="cellIs" dxfId="2" priority="3" operator="notEqual">
      <formula>"——"</formula>
    </cfRule>
  </conditionalFormatting>
  <conditionalFormatting sqref="H93:H101">
    <cfRule type="cellIs" dxfId="1" priority="2" operator="notEqual">
      <formula>"——"</formula>
    </cfRule>
  </conditionalFormatting>
  <conditionalFormatting sqref="G72:G80">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U8:U40"/>
  <sheetViews>
    <sheetView workbookViewId="0">
      <selection activeCell="I144" sqref="I144"/>
    </sheetView>
  </sheetViews>
  <sheetFormatPr defaultRowHeight="13.5"/>
  <sheetData>
    <row r="8" spans="21:21">
      <c r="U8" s="3460" t="s">
        <v>3432</v>
      </c>
    </row>
    <row r="12" spans="21:21">
      <c r="U12" s="3460" t="s">
        <v>3433</v>
      </c>
    </row>
    <row r="40" spans="21:21">
      <c r="U40" s="3460" t="s">
        <v>3434</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780" t="s">
        <v>2607</v>
      </c>
      <c r="B20" s="3773" t="s">
        <v>2628</v>
      </c>
      <c r="C20" s="3102" t="s">
        <v>2439</v>
      </c>
      <c r="D20" s="3103"/>
      <c r="E20" s="3104">
        <v>1</v>
      </c>
      <c r="F20" s="3105" t="s">
        <v>2440</v>
      </c>
      <c r="G20" s="3105"/>
    </row>
    <row r="21" spans="1:13" ht="19.5" customHeight="1">
      <c r="A21" s="3781"/>
      <c r="B21" s="3774"/>
      <c r="C21" s="3106" t="s">
        <v>2441</v>
      </c>
      <c r="D21" s="3107"/>
      <c r="E21" s="3108">
        <v>1</v>
      </c>
      <c r="F21" s="3105" t="s">
        <v>2442</v>
      </c>
      <c r="G21" s="3105"/>
    </row>
    <row r="22" spans="1:13" ht="19.5" customHeight="1">
      <c r="A22" s="3781"/>
      <c r="B22" s="3774"/>
      <c r="C22" s="3106" t="s">
        <v>2443</v>
      </c>
      <c r="D22" s="3107"/>
      <c r="E22" s="3108">
        <v>0.9</v>
      </c>
      <c r="F22" s="3105" t="s">
        <v>2444</v>
      </c>
      <c r="G22" s="3105"/>
    </row>
    <row r="23" spans="1:13" ht="19.5" customHeight="1">
      <c r="A23" s="3781"/>
      <c r="B23" s="3774"/>
      <c r="C23" s="3106" t="s">
        <v>2445</v>
      </c>
      <c r="D23" s="3107"/>
      <c r="E23" s="3108">
        <v>0.9</v>
      </c>
      <c r="F23" s="3105" t="s">
        <v>2446</v>
      </c>
      <c r="G23" s="3105"/>
    </row>
    <row r="24" spans="1:13" ht="19.5" customHeight="1">
      <c r="A24" s="3781"/>
      <c r="B24" s="3774"/>
      <c r="C24" s="3106" t="s">
        <v>2447</v>
      </c>
      <c r="D24" s="3107"/>
      <c r="E24" s="3108">
        <v>0.8</v>
      </c>
      <c r="F24" s="3105" t="s">
        <v>2448</v>
      </c>
      <c r="G24" s="3105"/>
    </row>
    <row r="25" spans="1:13" ht="19.5" customHeight="1" thickBot="1">
      <c r="A25" s="3782"/>
      <c r="B25" s="3775"/>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776" t="s">
        <v>2631</v>
      </c>
      <c r="B27" s="3773" t="s">
        <v>2612</v>
      </c>
      <c r="C27" s="3102" t="s">
        <v>2452</v>
      </c>
      <c r="D27" s="3103"/>
      <c r="E27" s="3104">
        <v>1</v>
      </c>
      <c r="F27" s="3105" t="s">
        <v>2453</v>
      </c>
      <c r="G27" s="3105"/>
    </row>
    <row r="28" spans="1:13" ht="19.5" customHeight="1">
      <c r="A28" s="3777"/>
      <c r="B28" s="3774"/>
      <c r="C28" s="3106" t="s">
        <v>2454</v>
      </c>
      <c r="D28" s="3107"/>
      <c r="E28" s="3108">
        <v>1</v>
      </c>
      <c r="F28" s="3105" t="s">
        <v>2455</v>
      </c>
      <c r="G28" s="3105"/>
    </row>
    <row r="29" spans="1:13" ht="19.5" customHeight="1">
      <c r="A29" s="3777"/>
      <c r="B29" s="3774"/>
      <c r="C29" s="3106" t="s">
        <v>2456</v>
      </c>
      <c r="D29" s="3107"/>
      <c r="E29" s="3108">
        <v>0.8</v>
      </c>
      <c r="F29" s="3105" t="s">
        <v>2457</v>
      </c>
      <c r="G29" s="3105"/>
    </row>
    <row r="30" spans="1:13" ht="19.5" customHeight="1">
      <c r="A30" s="3777"/>
      <c r="B30" s="3774"/>
      <c r="C30" s="3106" t="s">
        <v>2458</v>
      </c>
      <c r="D30" s="3107"/>
      <c r="E30" s="3108">
        <v>0.8</v>
      </c>
      <c r="F30" s="3105" t="s">
        <v>2459</v>
      </c>
      <c r="G30" s="3105"/>
    </row>
    <row r="31" spans="1:13" ht="19.5" customHeight="1">
      <c r="A31" s="3777"/>
      <c r="B31" s="3774"/>
      <c r="C31" s="3106" t="s">
        <v>2460</v>
      </c>
      <c r="D31" s="3107"/>
      <c r="E31" s="3108">
        <v>0.8</v>
      </c>
      <c r="F31" s="3105" t="s">
        <v>2461</v>
      </c>
      <c r="G31" s="3105"/>
    </row>
    <row r="32" spans="1:13" ht="19.5" customHeight="1">
      <c r="A32" s="3777"/>
      <c r="B32" s="3774"/>
      <c r="C32" s="3106" t="s">
        <v>2462</v>
      </c>
      <c r="D32" s="3107"/>
      <c r="E32" s="3108">
        <v>0.7</v>
      </c>
      <c r="F32" s="3105" t="s">
        <v>2463</v>
      </c>
      <c r="G32" s="3105"/>
    </row>
    <row r="33" spans="1:7" ht="19.5" customHeight="1">
      <c r="A33" s="3777"/>
      <c r="B33" s="3774"/>
      <c r="C33" s="3106" t="s">
        <v>2464</v>
      </c>
      <c r="D33" s="3107"/>
      <c r="E33" s="3108">
        <v>0.8</v>
      </c>
      <c r="F33" s="3105" t="s">
        <v>2465</v>
      </c>
      <c r="G33" s="3105"/>
    </row>
    <row r="34" spans="1:7" ht="19.5" customHeight="1">
      <c r="A34" s="3777"/>
      <c r="B34" s="3774"/>
      <c r="C34" s="3106" t="s">
        <v>2466</v>
      </c>
      <c r="D34" s="3107"/>
      <c r="E34" s="3108">
        <v>0.6</v>
      </c>
      <c r="F34" s="3105" t="s">
        <v>2467</v>
      </c>
      <c r="G34" s="3105"/>
    </row>
    <row r="35" spans="1:7" ht="19.5" customHeight="1">
      <c r="A35" s="3777"/>
      <c r="B35" s="3774"/>
      <c r="C35" s="3106" t="s">
        <v>2468</v>
      </c>
      <c r="D35" s="3107"/>
      <c r="E35" s="3108">
        <v>0.2</v>
      </c>
      <c r="F35" s="3105" t="s">
        <v>2469</v>
      </c>
      <c r="G35" s="3105"/>
    </row>
    <row r="36" spans="1:7" ht="19.5" customHeight="1">
      <c r="A36" s="3777"/>
      <c r="B36" s="3774"/>
      <c r="C36" s="3106" t="s">
        <v>2470</v>
      </c>
      <c r="D36" s="3107"/>
      <c r="E36" s="3108">
        <v>0.2</v>
      </c>
      <c r="F36" s="3105" t="s">
        <v>2471</v>
      </c>
      <c r="G36" s="3105"/>
    </row>
    <row r="37" spans="1:7" ht="19.5" customHeight="1">
      <c r="A37" s="3777"/>
      <c r="B37" s="3779" t="s">
        <v>2632</v>
      </c>
      <c r="C37" s="3106" t="s">
        <v>2472</v>
      </c>
      <c r="D37" s="3107"/>
      <c r="E37" s="3108">
        <v>0.6</v>
      </c>
      <c r="F37" s="3105" t="s">
        <v>2473</v>
      </c>
      <c r="G37" s="3105"/>
    </row>
    <row r="38" spans="1:7" ht="19.5" customHeight="1">
      <c r="A38" s="3777"/>
      <c r="B38" s="3774"/>
      <c r="C38" s="3106" t="s">
        <v>2474</v>
      </c>
      <c r="D38" s="3107"/>
      <c r="E38" s="3108">
        <v>0.6</v>
      </c>
      <c r="F38" s="3105" t="s">
        <v>2475</v>
      </c>
      <c r="G38" s="3105"/>
    </row>
    <row r="39" spans="1:7" ht="19.5" customHeight="1" thickBot="1">
      <c r="A39" s="3778"/>
      <c r="B39" s="3775"/>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780" t="s">
        <v>2610</v>
      </c>
      <c r="B41" s="3773" t="s">
        <v>2634</v>
      </c>
      <c r="C41" s="3102" t="s">
        <v>2479</v>
      </c>
      <c r="D41" s="3103"/>
      <c r="E41" s="3104">
        <v>1</v>
      </c>
      <c r="F41" s="3105" t="s">
        <v>2480</v>
      </c>
      <c r="G41" s="3105"/>
    </row>
    <row r="42" spans="1:7" ht="19.5" customHeight="1">
      <c r="A42" s="3781"/>
      <c r="B42" s="3774"/>
      <c r="C42" s="3106" t="s">
        <v>2481</v>
      </c>
      <c r="D42" s="3107"/>
      <c r="E42" s="3108">
        <v>1</v>
      </c>
      <c r="F42" s="3105" t="s">
        <v>2482</v>
      </c>
      <c r="G42" s="3105"/>
    </row>
    <row r="43" spans="1:7" ht="19.5" customHeight="1">
      <c r="A43" s="3781"/>
      <c r="B43" s="3783"/>
      <c r="C43" s="3106" t="s">
        <v>2483</v>
      </c>
      <c r="D43" s="3107"/>
      <c r="E43" s="3108">
        <v>1.5</v>
      </c>
      <c r="F43" s="3105" t="s">
        <v>2484</v>
      </c>
      <c r="G43" s="3105"/>
    </row>
    <row r="44" spans="1:7" ht="19.5" customHeight="1">
      <c r="A44" s="3781"/>
      <c r="B44" s="3117" t="s">
        <v>2635</v>
      </c>
      <c r="C44" s="3106" t="s">
        <v>2636</v>
      </c>
      <c r="D44" s="3107"/>
      <c r="E44" s="3108">
        <v>2</v>
      </c>
      <c r="F44" s="3105" t="s">
        <v>2485</v>
      </c>
      <c r="G44" s="3105"/>
    </row>
    <row r="45" spans="1:7" ht="19.5" customHeight="1">
      <c r="A45" s="3781"/>
      <c r="B45" s="3779" t="s">
        <v>2637</v>
      </c>
      <c r="C45" s="3106" t="s">
        <v>2486</v>
      </c>
      <c r="D45" s="3107"/>
      <c r="E45" s="3108">
        <v>1</v>
      </c>
      <c r="F45" s="3105" t="s">
        <v>2487</v>
      </c>
      <c r="G45" s="3105"/>
    </row>
    <row r="46" spans="1:7" ht="19.5" customHeight="1">
      <c r="A46" s="3781"/>
      <c r="B46" s="3774"/>
      <c r="C46" s="3106" t="s">
        <v>2488</v>
      </c>
      <c r="D46" s="3107"/>
      <c r="E46" s="3108">
        <v>1</v>
      </c>
      <c r="F46" s="3105" t="s">
        <v>2489</v>
      </c>
      <c r="G46" s="3105"/>
    </row>
    <row r="47" spans="1:7" ht="19.5" customHeight="1">
      <c r="A47" s="3781"/>
      <c r="B47" s="3774"/>
      <c r="C47" s="3106" t="s">
        <v>2490</v>
      </c>
      <c r="D47" s="3107"/>
      <c r="E47" s="3108">
        <v>1</v>
      </c>
      <c r="F47" s="3105" t="s">
        <v>2491</v>
      </c>
      <c r="G47" s="3105"/>
    </row>
    <row r="48" spans="1:7" ht="19.5" customHeight="1">
      <c r="A48" s="3781"/>
      <c r="B48" s="3774"/>
      <c r="C48" s="3106" t="s">
        <v>2492</v>
      </c>
      <c r="D48" s="3107"/>
      <c r="E48" s="3108">
        <v>1</v>
      </c>
      <c r="F48" s="3105" t="s">
        <v>2493</v>
      </c>
      <c r="G48" s="3105"/>
    </row>
    <row r="49" spans="1:7" ht="19.5" customHeight="1">
      <c r="A49" s="3781"/>
      <c r="B49" s="3774"/>
      <c r="C49" s="3106" t="s">
        <v>2494</v>
      </c>
      <c r="D49" s="3107"/>
      <c r="E49" s="3108">
        <v>1</v>
      </c>
      <c r="F49" s="3105" t="s">
        <v>2495</v>
      </c>
      <c r="G49" s="3105"/>
    </row>
    <row r="50" spans="1:7" ht="19.5" customHeight="1">
      <c r="A50" s="3781"/>
      <c r="B50" s="3774"/>
      <c r="C50" s="3106" t="s">
        <v>2496</v>
      </c>
      <c r="D50" s="3107"/>
      <c r="E50" s="3108">
        <v>1</v>
      </c>
      <c r="F50" s="3105" t="s">
        <v>2497</v>
      </c>
      <c r="G50" s="3105"/>
    </row>
    <row r="51" spans="1:7" ht="19.5" customHeight="1" thickBot="1">
      <c r="A51" s="3782"/>
      <c r="B51" s="3775"/>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779" t="s">
        <v>2651</v>
      </c>
      <c r="C73" s="3091" t="s">
        <v>2652</v>
      </c>
      <c r="D73" s="3091" t="s">
        <v>2653</v>
      </c>
      <c r="E73" s="3117">
        <v>0.2</v>
      </c>
      <c r="F73" s="3117">
        <v>25</v>
      </c>
    </row>
    <row r="74" spans="1:7" ht="24">
      <c r="A74" s="3117">
        <v>2</v>
      </c>
      <c r="B74" s="3774"/>
      <c r="C74" s="3091" t="s">
        <v>2654</v>
      </c>
      <c r="D74" s="3091" t="s">
        <v>2655</v>
      </c>
      <c r="E74" s="3117">
        <v>0.2</v>
      </c>
      <c r="F74" s="3117">
        <v>25</v>
      </c>
    </row>
    <row r="75" spans="1:7" ht="24">
      <c r="A75" s="3117">
        <v>3</v>
      </c>
      <c r="B75" s="3774"/>
      <c r="C75" s="3091" t="s">
        <v>2656</v>
      </c>
      <c r="D75" s="3091" t="s">
        <v>2657</v>
      </c>
      <c r="E75" s="3117">
        <v>0.2</v>
      </c>
      <c r="F75" s="3117">
        <v>25</v>
      </c>
    </row>
    <row r="76" spans="1:7" ht="13.5">
      <c r="A76" s="3117">
        <v>4</v>
      </c>
      <c r="B76" s="3774"/>
      <c r="C76" s="3091" t="s">
        <v>2658</v>
      </c>
      <c r="D76" s="3091" t="s">
        <v>2659</v>
      </c>
      <c r="E76" s="3117">
        <v>0.15</v>
      </c>
      <c r="F76" s="3117">
        <v>20</v>
      </c>
    </row>
    <row r="77" spans="1:7" ht="24">
      <c r="A77" s="3117">
        <v>5</v>
      </c>
      <c r="B77" s="3774"/>
      <c r="C77" s="3091" t="s">
        <v>2660</v>
      </c>
      <c r="D77" s="3091" t="s">
        <v>2661</v>
      </c>
      <c r="E77" s="3117">
        <v>0.15</v>
      </c>
      <c r="F77" s="3117">
        <v>20</v>
      </c>
    </row>
    <row r="78" spans="1:7" ht="24">
      <c r="A78" s="3117">
        <v>6</v>
      </c>
      <c r="B78" s="3774"/>
      <c r="C78" s="3091" t="s">
        <v>2662</v>
      </c>
      <c r="D78" s="3091" t="s">
        <v>2663</v>
      </c>
      <c r="E78" s="3117">
        <v>0.15</v>
      </c>
      <c r="F78" s="3117">
        <v>20</v>
      </c>
    </row>
    <row r="79" spans="1:7" ht="24">
      <c r="A79" s="3117">
        <v>7</v>
      </c>
      <c r="B79" s="3774"/>
      <c r="C79" s="3091" t="s">
        <v>2664</v>
      </c>
      <c r="D79" s="3091" t="s">
        <v>2665</v>
      </c>
      <c r="E79" s="3117">
        <v>0.15</v>
      </c>
      <c r="F79" s="3117">
        <v>20</v>
      </c>
    </row>
    <row r="80" spans="1:7" ht="24">
      <c r="A80" s="3117">
        <v>8</v>
      </c>
      <c r="B80" s="3774"/>
      <c r="C80" s="3091" t="s">
        <v>2666</v>
      </c>
      <c r="D80" s="3091" t="s">
        <v>2667</v>
      </c>
      <c r="E80" s="3117">
        <v>0.1</v>
      </c>
      <c r="F80" s="3117">
        <v>15</v>
      </c>
    </row>
    <row r="81" spans="1:6" ht="24">
      <c r="A81" s="3117">
        <v>9</v>
      </c>
      <c r="B81" s="3774"/>
      <c r="C81" s="3091" t="s">
        <v>2668</v>
      </c>
      <c r="D81" s="3091" t="s">
        <v>2669</v>
      </c>
      <c r="E81" s="3117">
        <v>0.1</v>
      </c>
      <c r="F81" s="3117">
        <v>15</v>
      </c>
    </row>
    <row r="82" spans="1:6" ht="24">
      <c r="A82" s="3117">
        <v>10</v>
      </c>
      <c r="B82" s="3774"/>
      <c r="C82" s="3091" t="s">
        <v>2670</v>
      </c>
      <c r="D82" s="3091" t="s">
        <v>2671</v>
      </c>
      <c r="E82" s="3117">
        <v>0.1</v>
      </c>
      <c r="F82" s="3117">
        <v>15</v>
      </c>
    </row>
    <row r="83" spans="1:6" ht="24">
      <c r="A83" s="3117">
        <v>11</v>
      </c>
      <c r="B83" s="3774"/>
      <c r="C83" s="3091" t="s">
        <v>2672</v>
      </c>
      <c r="D83" s="3091" t="s">
        <v>2673</v>
      </c>
      <c r="E83" s="3117">
        <v>0.1</v>
      </c>
      <c r="F83" s="3117">
        <v>15</v>
      </c>
    </row>
    <row r="84" spans="1:6" ht="24">
      <c r="A84" s="3117">
        <v>12</v>
      </c>
      <c r="B84" s="3774"/>
      <c r="C84" s="3091" t="s">
        <v>2674</v>
      </c>
      <c r="D84" s="3091" t="s">
        <v>2675</v>
      </c>
      <c r="E84" s="3117">
        <v>0.1</v>
      </c>
      <c r="F84" s="3117">
        <v>15</v>
      </c>
    </row>
    <row r="85" spans="1:6" ht="13.5">
      <c r="A85" s="3117">
        <v>13</v>
      </c>
      <c r="B85" s="3774"/>
      <c r="C85" s="3091" t="s">
        <v>2676</v>
      </c>
      <c r="D85" s="3091" t="s">
        <v>2677</v>
      </c>
      <c r="E85" s="3117">
        <v>0.1</v>
      </c>
      <c r="F85" s="3117">
        <v>15</v>
      </c>
    </row>
    <row r="86" spans="1:6" ht="13.5">
      <c r="A86" s="3117">
        <v>14</v>
      </c>
      <c r="B86" s="3774"/>
      <c r="C86" s="3091" t="s">
        <v>2678</v>
      </c>
      <c r="D86" s="3091" t="s">
        <v>2679</v>
      </c>
      <c r="E86" s="3117">
        <v>0.1</v>
      </c>
      <c r="F86" s="3117">
        <v>15</v>
      </c>
    </row>
    <row r="87" spans="1:6" ht="13.5">
      <c r="A87" s="3117">
        <v>15</v>
      </c>
      <c r="B87" s="3774"/>
      <c r="C87" s="3091" t="s">
        <v>2680</v>
      </c>
      <c r="D87" s="3091" t="s">
        <v>2681</v>
      </c>
      <c r="E87" s="3117">
        <v>0.1</v>
      </c>
      <c r="F87" s="3117">
        <v>15</v>
      </c>
    </row>
    <row r="88" spans="1:6" ht="24">
      <c r="A88" s="3117">
        <v>16</v>
      </c>
      <c r="B88" s="3774"/>
      <c r="C88" s="3091" t="s">
        <v>2682</v>
      </c>
      <c r="D88" s="3091" t="s">
        <v>2683</v>
      </c>
      <c r="E88" s="3117">
        <v>0.1</v>
      </c>
      <c r="F88" s="3117">
        <v>15</v>
      </c>
    </row>
    <row r="89" spans="1:6" ht="24">
      <c r="A89" s="3117">
        <v>17</v>
      </c>
      <c r="B89" s="3783"/>
      <c r="C89" s="3091" t="s">
        <v>2684</v>
      </c>
      <c r="D89" s="3091" t="s">
        <v>2685</v>
      </c>
      <c r="E89" s="3117">
        <v>0.1</v>
      </c>
      <c r="F89" s="3117">
        <v>15</v>
      </c>
    </row>
    <row r="90" spans="1:6" ht="13.5">
      <c r="A90" s="3117">
        <v>18</v>
      </c>
      <c r="B90" s="3779" t="s">
        <v>2686</v>
      </c>
      <c r="C90" s="3091" t="s">
        <v>2687</v>
      </c>
      <c r="D90" s="3091" t="s">
        <v>2688</v>
      </c>
      <c r="E90" s="3117">
        <v>0.2</v>
      </c>
      <c r="F90" s="3117">
        <v>25</v>
      </c>
    </row>
    <row r="91" spans="1:6" ht="24">
      <c r="A91" s="3117">
        <v>19</v>
      </c>
      <c r="B91" s="3774"/>
      <c r="C91" s="3091" t="s">
        <v>2689</v>
      </c>
      <c r="D91" s="3091" t="s">
        <v>2690</v>
      </c>
      <c r="E91" s="3117">
        <v>0.2</v>
      </c>
      <c r="F91" s="3117">
        <v>25</v>
      </c>
    </row>
    <row r="92" spans="1:6" ht="13.5">
      <c r="A92" s="3117">
        <v>20</v>
      </c>
      <c r="B92" s="3774"/>
      <c r="C92" s="3091" t="s">
        <v>2691</v>
      </c>
      <c r="D92" s="3091" t="s">
        <v>2692</v>
      </c>
      <c r="E92" s="3117">
        <v>0.15</v>
      </c>
      <c r="F92" s="3117">
        <v>20</v>
      </c>
    </row>
    <row r="93" spans="1:6" ht="13.5">
      <c r="A93" s="3117">
        <v>21</v>
      </c>
      <c r="B93" s="3774"/>
      <c r="C93" s="3091" t="s">
        <v>2693</v>
      </c>
      <c r="D93" s="3091" t="s">
        <v>2694</v>
      </c>
      <c r="E93" s="3117">
        <v>0.15</v>
      </c>
      <c r="F93" s="3117">
        <v>20</v>
      </c>
    </row>
    <row r="94" spans="1:6" ht="13.5">
      <c r="A94" s="3117">
        <v>22</v>
      </c>
      <c r="B94" s="3774"/>
      <c r="C94" s="3091" t="s">
        <v>2695</v>
      </c>
      <c r="D94" s="3091" t="s">
        <v>2696</v>
      </c>
      <c r="E94" s="3117">
        <v>0.15</v>
      </c>
      <c r="F94" s="3117">
        <v>20</v>
      </c>
    </row>
    <row r="95" spans="1:6" ht="36">
      <c r="A95" s="3117">
        <v>23</v>
      </c>
      <c r="B95" s="3774"/>
      <c r="C95" s="3091" t="s">
        <v>2697</v>
      </c>
      <c r="D95" s="3091" t="s">
        <v>2698</v>
      </c>
      <c r="E95" s="3117">
        <v>0.15</v>
      </c>
      <c r="F95" s="3117">
        <v>20</v>
      </c>
    </row>
    <row r="96" spans="1:6" ht="13.5">
      <c r="A96" s="3117">
        <v>24</v>
      </c>
      <c r="B96" s="3774"/>
      <c r="C96" s="3091" t="s">
        <v>2699</v>
      </c>
      <c r="D96" s="3091" t="s">
        <v>2700</v>
      </c>
      <c r="E96" s="3117">
        <v>0.1</v>
      </c>
      <c r="F96" s="3117">
        <v>15</v>
      </c>
    </row>
    <row r="97" spans="1:6" ht="13.5">
      <c r="A97" s="3117">
        <v>25</v>
      </c>
      <c r="B97" s="3774"/>
      <c r="C97" s="3091" t="s">
        <v>2701</v>
      </c>
      <c r="D97" s="3091" t="s">
        <v>2702</v>
      </c>
      <c r="E97" s="3117">
        <v>0.1</v>
      </c>
      <c r="F97" s="3117">
        <v>15</v>
      </c>
    </row>
    <row r="98" spans="1:6" ht="24">
      <c r="A98" s="3117">
        <v>26</v>
      </c>
      <c r="B98" s="3774"/>
      <c r="C98" s="3091" t="s">
        <v>2703</v>
      </c>
      <c r="D98" s="3091" t="s">
        <v>2704</v>
      </c>
      <c r="E98" s="3117">
        <v>0.1</v>
      </c>
      <c r="F98" s="3117">
        <v>15</v>
      </c>
    </row>
    <row r="99" spans="1:6" ht="24">
      <c r="A99" s="3117">
        <v>27</v>
      </c>
      <c r="B99" s="3774"/>
      <c r="C99" s="3091" t="s">
        <v>2705</v>
      </c>
      <c r="D99" s="3091" t="s">
        <v>2706</v>
      </c>
      <c r="E99" s="3117">
        <v>0.1</v>
      </c>
      <c r="F99" s="3117">
        <v>15</v>
      </c>
    </row>
    <row r="100" spans="1:6" ht="13.5">
      <c r="A100" s="3117">
        <v>28</v>
      </c>
      <c r="B100" s="3774"/>
      <c r="C100" s="3091" t="s">
        <v>2707</v>
      </c>
      <c r="D100" s="3091" t="s">
        <v>2708</v>
      </c>
      <c r="E100" s="3117">
        <v>0.1</v>
      </c>
      <c r="F100" s="3117">
        <v>15</v>
      </c>
    </row>
    <row r="101" spans="1:6" ht="13.5">
      <c r="A101" s="3117">
        <v>29</v>
      </c>
      <c r="B101" s="3774"/>
      <c r="C101" s="3091" t="s">
        <v>2709</v>
      </c>
      <c r="D101" s="3091" t="s">
        <v>2710</v>
      </c>
      <c r="E101" s="3117">
        <v>0.1</v>
      </c>
      <c r="F101" s="3117">
        <v>15</v>
      </c>
    </row>
    <row r="102" spans="1:6" ht="13.5">
      <c r="A102" s="3117">
        <v>30</v>
      </c>
      <c r="B102" s="3774"/>
      <c r="C102" s="3091" t="s">
        <v>2711</v>
      </c>
      <c r="D102" s="3091" t="s">
        <v>2712</v>
      </c>
      <c r="E102" s="3117">
        <v>0.1</v>
      </c>
      <c r="F102" s="3117">
        <v>15</v>
      </c>
    </row>
    <row r="103" spans="1:6" ht="24">
      <c r="A103" s="3117">
        <v>31</v>
      </c>
      <c r="B103" s="3774"/>
      <c r="C103" s="3091" t="s">
        <v>2713</v>
      </c>
      <c r="D103" s="3091" t="s">
        <v>2714</v>
      </c>
      <c r="E103" s="3117">
        <v>0.1</v>
      </c>
      <c r="F103" s="3117">
        <v>15</v>
      </c>
    </row>
    <row r="104" spans="1:6" ht="24">
      <c r="A104" s="3117">
        <v>32</v>
      </c>
      <c r="B104" s="3774"/>
      <c r="C104" s="3091" t="s">
        <v>2715</v>
      </c>
      <c r="D104" s="3091" t="s">
        <v>2716</v>
      </c>
      <c r="E104" s="3117">
        <v>0.1</v>
      </c>
      <c r="F104" s="3117">
        <v>15</v>
      </c>
    </row>
    <row r="105" spans="1:6" ht="24">
      <c r="A105" s="3117">
        <v>33</v>
      </c>
      <c r="B105" s="3774"/>
      <c r="C105" s="3091" t="s">
        <v>2717</v>
      </c>
      <c r="D105" s="3091" t="s">
        <v>2718</v>
      </c>
      <c r="E105" s="3117">
        <v>0.1</v>
      </c>
      <c r="F105" s="3117">
        <v>15</v>
      </c>
    </row>
    <row r="106" spans="1:6" ht="24">
      <c r="A106" s="3117">
        <v>34</v>
      </c>
      <c r="B106" s="3783"/>
      <c r="C106" s="3091" t="s">
        <v>2719</v>
      </c>
      <c r="D106" s="3091" t="s">
        <v>2720</v>
      </c>
      <c r="E106" s="3117">
        <v>0.1</v>
      </c>
      <c r="F106" s="3117">
        <v>15</v>
      </c>
    </row>
    <row r="107" spans="1:6" ht="24">
      <c r="A107" s="3117">
        <v>35</v>
      </c>
      <c r="B107" s="3779" t="s">
        <v>2721</v>
      </c>
      <c r="C107" s="3117" t="s">
        <v>2722</v>
      </c>
      <c r="D107" s="3091" t="s">
        <v>2723</v>
      </c>
      <c r="E107" s="3117">
        <v>0.15</v>
      </c>
      <c r="F107" s="3117">
        <v>20</v>
      </c>
    </row>
    <row r="108" spans="1:6" ht="13.5">
      <c r="A108" s="3117">
        <v>36</v>
      </c>
      <c r="B108" s="3774"/>
      <c r="C108" s="3117" t="s">
        <v>2724</v>
      </c>
      <c r="D108" s="3091" t="s">
        <v>2725</v>
      </c>
      <c r="E108" s="3117">
        <v>0.15</v>
      </c>
      <c r="F108" s="3117">
        <v>20</v>
      </c>
    </row>
    <row r="109" spans="1:6" ht="13.5">
      <c r="A109" s="3117">
        <v>37</v>
      </c>
      <c r="B109" s="3774"/>
      <c r="C109" s="3117" t="s">
        <v>2726</v>
      </c>
      <c r="D109" s="3091" t="s">
        <v>2727</v>
      </c>
      <c r="E109" s="3117">
        <v>0.15</v>
      </c>
      <c r="F109" s="3117">
        <v>20</v>
      </c>
    </row>
    <row r="110" spans="1:6" ht="13.5">
      <c r="A110" s="3117">
        <v>38</v>
      </c>
      <c r="B110" s="3774"/>
      <c r="C110" s="3117" t="s">
        <v>2728</v>
      </c>
      <c r="D110" s="3091" t="s">
        <v>2729</v>
      </c>
      <c r="E110" s="3117">
        <v>0.1</v>
      </c>
      <c r="F110" s="3117">
        <v>15</v>
      </c>
    </row>
    <row r="111" spans="1:6" ht="24">
      <c r="A111" s="3117">
        <v>39</v>
      </c>
      <c r="B111" s="3774"/>
      <c r="C111" s="3117" t="s">
        <v>2730</v>
      </c>
      <c r="D111" s="3091" t="s">
        <v>2731</v>
      </c>
      <c r="E111" s="3117">
        <v>0.1</v>
      </c>
      <c r="F111" s="3117">
        <v>15</v>
      </c>
    </row>
    <row r="112" spans="1:6" ht="24">
      <c r="A112" s="3117">
        <v>40</v>
      </c>
      <c r="B112" s="3783"/>
      <c r="C112" s="3117" t="s">
        <v>2732</v>
      </c>
      <c r="D112" s="3091" t="s">
        <v>2733</v>
      </c>
      <c r="E112" s="3117">
        <v>0.1</v>
      </c>
      <c r="F112" s="3117">
        <v>15</v>
      </c>
    </row>
    <row r="113" spans="1:6" ht="13.5">
      <c r="A113" s="3117">
        <v>41</v>
      </c>
      <c r="B113" s="3784" t="s">
        <v>2734</v>
      </c>
      <c r="C113" s="3117" t="s">
        <v>2735</v>
      </c>
      <c r="D113" s="3091" t="s">
        <v>2736</v>
      </c>
      <c r="E113" s="3117">
        <v>0.1</v>
      </c>
      <c r="F113" s="3117">
        <v>15</v>
      </c>
    </row>
    <row r="114" spans="1:6" ht="13.5">
      <c r="A114" s="3117">
        <v>42</v>
      </c>
      <c r="B114" s="3784"/>
      <c r="C114" s="3117" t="s">
        <v>2737</v>
      </c>
      <c r="D114" s="3091" t="s">
        <v>2738</v>
      </c>
      <c r="E114" s="3117">
        <v>0.1</v>
      </c>
      <c r="F114" s="3117">
        <v>15</v>
      </c>
    </row>
    <row r="115" spans="1:6" ht="24">
      <c r="A115" s="3117">
        <v>43</v>
      </c>
      <c r="B115" s="3784"/>
      <c r="C115" s="3117" t="s">
        <v>2739</v>
      </c>
      <c r="D115" s="3091" t="s">
        <v>2740</v>
      </c>
      <c r="E115" s="3117">
        <v>0.1</v>
      </c>
      <c r="F115" s="3117">
        <v>15</v>
      </c>
    </row>
    <row r="116" spans="1:6" ht="13.5">
      <c r="A116" s="3117">
        <v>44</v>
      </c>
      <c r="B116" s="3779" t="s">
        <v>2741</v>
      </c>
      <c r="C116" s="3117" t="s">
        <v>2742</v>
      </c>
      <c r="D116" s="3091" t="s">
        <v>2743</v>
      </c>
      <c r="E116" s="3117">
        <v>0.1</v>
      </c>
      <c r="F116" s="3117">
        <v>15</v>
      </c>
    </row>
    <row r="117" spans="1:6" ht="24">
      <c r="A117" s="3117">
        <v>45</v>
      </c>
      <c r="B117" s="3783"/>
      <c r="C117" s="3091" t="s">
        <v>2744</v>
      </c>
      <c r="D117" s="3091" t="s">
        <v>2745</v>
      </c>
      <c r="E117" s="3117">
        <v>0.1</v>
      </c>
      <c r="F117" s="3117">
        <v>15</v>
      </c>
    </row>
    <row r="118" spans="1:6" ht="24">
      <c r="A118" s="3117">
        <v>46</v>
      </c>
      <c r="B118" s="3779" t="s">
        <v>2746</v>
      </c>
      <c r="C118" s="3117" t="s">
        <v>2747</v>
      </c>
      <c r="D118" s="3091" t="s">
        <v>2748</v>
      </c>
      <c r="E118" s="3117">
        <v>0.1</v>
      </c>
      <c r="F118" s="3117">
        <v>15</v>
      </c>
    </row>
    <row r="119" spans="1:6" ht="24">
      <c r="A119" s="3117">
        <v>47</v>
      </c>
      <c r="B119" s="3783"/>
      <c r="C119" s="3117" t="s">
        <v>2749</v>
      </c>
      <c r="D119" s="3091" t="s">
        <v>2750</v>
      </c>
      <c r="E119" s="3117">
        <v>0.1</v>
      </c>
      <c r="F119" s="3117">
        <v>15</v>
      </c>
    </row>
    <row r="120" spans="1:6" ht="13.5">
      <c r="A120" s="3117">
        <v>48</v>
      </c>
      <c r="B120" s="3779" t="s">
        <v>2751</v>
      </c>
      <c r="C120" s="3117" t="s">
        <v>2752</v>
      </c>
      <c r="D120" s="3091" t="s">
        <v>2753</v>
      </c>
      <c r="E120" s="3117">
        <v>0.1</v>
      </c>
      <c r="F120" s="3117">
        <v>15</v>
      </c>
    </row>
    <row r="121" spans="1:6" ht="13.5">
      <c r="A121" s="3117">
        <v>49</v>
      </c>
      <c r="B121" s="3783"/>
      <c r="C121" s="3117" t="s">
        <v>2754</v>
      </c>
      <c r="D121" s="3091" t="s">
        <v>2755</v>
      </c>
      <c r="E121" s="3117">
        <v>0.1</v>
      </c>
      <c r="F121" s="3117">
        <v>15</v>
      </c>
    </row>
    <row r="122" spans="1:6" ht="24">
      <c r="A122" s="3117">
        <v>50</v>
      </c>
      <c r="B122" s="3784" t="s">
        <v>2756</v>
      </c>
      <c r="C122" s="3117" t="s">
        <v>2757</v>
      </c>
      <c r="D122" s="3091" t="s">
        <v>2758</v>
      </c>
      <c r="E122" s="3117">
        <v>0.1</v>
      </c>
      <c r="F122" s="3117">
        <v>15</v>
      </c>
    </row>
    <row r="123" spans="1:6" ht="24">
      <c r="A123" s="3117">
        <v>51</v>
      </c>
      <c r="B123" s="3784"/>
      <c r="C123" s="3117" t="s">
        <v>2759</v>
      </c>
      <c r="D123" s="3091" t="s">
        <v>2760</v>
      </c>
      <c r="E123" s="3117">
        <v>0.1</v>
      </c>
      <c r="F123" s="3117">
        <v>15</v>
      </c>
    </row>
    <row r="124" spans="1:6" ht="24">
      <c r="A124" s="3117">
        <v>52</v>
      </c>
      <c r="B124" s="3784" t="s">
        <v>2761</v>
      </c>
      <c r="C124" s="3117" t="s">
        <v>2762</v>
      </c>
      <c r="D124" s="3091" t="s">
        <v>2763</v>
      </c>
      <c r="E124" s="3117">
        <v>0.1</v>
      </c>
      <c r="F124" s="3117">
        <v>15</v>
      </c>
    </row>
    <row r="125" spans="1:6" ht="24">
      <c r="A125" s="3117">
        <v>53</v>
      </c>
      <c r="B125" s="3784"/>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784" t="s">
        <v>2769</v>
      </c>
      <c r="C127" s="3117" t="s">
        <v>2770</v>
      </c>
      <c r="D127" s="3091" t="s">
        <v>2771</v>
      </c>
      <c r="E127" s="3117">
        <v>0.1</v>
      </c>
      <c r="F127" s="3117">
        <v>15</v>
      </c>
    </row>
    <row r="128" spans="1:6" ht="13.5">
      <c r="A128" s="3117">
        <v>56</v>
      </c>
      <c r="B128" s="3784"/>
      <c r="C128" s="3117" t="s">
        <v>2772</v>
      </c>
      <c r="D128" s="3091" t="s">
        <v>2773</v>
      </c>
      <c r="E128" s="3117">
        <v>0.1</v>
      </c>
      <c r="F128" s="3117">
        <v>15</v>
      </c>
    </row>
    <row r="129" spans="1:6" ht="24">
      <c r="A129" s="3117">
        <v>57</v>
      </c>
      <c r="B129" s="3784"/>
      <c r="C129" s="3117" t="s">
        <v>2774</v>
      </c>
      <c r="D129" s="3091" t="s">
        <v>2775</v>
      </c>
      <c r="E129" s="3117">
        <v>0.1</v>
      </c>
      <c r="F129" s="3117">
        <v>15</v>
      </c>
    </row>
    <row r="130" spans="1:6" ht="24">
      <c r="A130" s="3117">
        <v>58</v>
      </c>
      <c r="B130" s="3784" t="s">
        <v>2776</v>
      </c>
      <c r="C130" s="3117" t="s">
        <v>2777</v>
      </c>
      <c r="D130" s="3091" t="s">
        <v>2778</v>
      </c>
      <c r="E130" s="3117">
        <v>0.1</v>
      </c>
      <c r="F130" s="3117">
        <v>15</v>
      </c>
    </row>
    <row r="131" spans="1:6" ht="13.5">
      <c r="A131" s="3117">
        <v>59</v>
      </c>
      <c r="B131" s="3784"/>
      <c r="C131" s="3117" t="s">
        <v>2779</v>
      </c>
      <c r="D131" s="3091" t="s">
        <v>2780</v>
      </c>
      <c r="E131" s="3117">
        <v>0.1</v>
      </c>
      <c r="F131" s="3117">
        <v>15</v>
      </c>
    </row>
    <row r="132" spans="1:6" ht="13.5">
      <c r="A132" s="3117">
        <v>60</v>
      </c>
      <c r="B132" s="3779" t="s">
        <v>2781</v>
      </c>
      <c r="C132" s="3117" t="s">
        <v>2782</v>
      </c>
      <c r="D132" s="3091" t="s">
        <v>2783</v>
      </c>
      <c r="E132" s="3117">
        <v>0.1</v>
      </c>
      <c r="F132" s="3117">
        <v>15</v>
      </c>
    </row>
    <row r="133" spans="1:6" ht="13.5">
      <c r="A133" s="3117">
        <v>61</v>
      </c>
      <c r="B133" s="3783"/>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784" t="s">
        <v>2789</v>
      </c>
      <c r="C135" s="3117" t="s">
        <v>2790</v>
      </c>
      <c r="D135" s="3091" t="s">
        <v>2791</v>
      </c>
      <c r="E135" s="3117">
        <v>0.1</v>
      </c>
      <c r="F135" s="3117">
        <v>15</v>
      </c>
    </row>
    <row r="136" spans="1:6" ht="13.5">
      <c r="A136" s="3117">
        <v>64</v>
      </c>
      <c r="B136" s="3784"/>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1</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0.95120000000000005</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9"/>
      <c r="C2" s="3469"/>
      <c r="D2" s="3469"/>
      <c r="E2" s="3469"/>
    </row>
    <row r="3" spans="1:5" ht="18">
      <c r="A3" s="3470" t="str">
        <f>IF(项目基本情况!B9="房地产市场价值","估价结果一览表（市场价值不需“结果表-1”）","估价结果一览表")</f>
        <v>估价结果一览表（市场价值不需“结果表-1”）</v>
      </c>
      <c r="B3" s="3470"/>
      <c r="C3" s="3470"/>
      <c r="D3" s="3470"/>
      <c r="E3" s="3470"/>
    </row>
    <row r="4" spans="1:5" ht="19.5" thickBot="1">
      <c r="A4" s="1493"/>
      <c r="B4" s="3468" t="s">
        <v>917</v>
      </c>
      <c r="C4" s="3468"/>
      <c r="D4" s="3468"/>
      <c r="E4" s="1493"/>
    </row>
    <row r="5" spans="1:5" ht="16.5" thickTop="1">
      <c r="A5" s="1491"/>
      <c r="B5" s="3466" t="s">
        <v>909</v>
      </c>
      <c r="C5" s="1494" t="s">
        <v>910</v>
      </c>
      <c r="D5" s="850" t="e">
        <f ca="1">结果表!H101</f>
        <v>#REF!</v>
      </c>
      <c r="E5" s="1491"/>
    </row>
    <row r="6" spans="1:5" ht="15.75">
      <c r="A6" s="1491"/>
      <c r="B6" s="3466"/>
      <c r="C6" s="1494" t="s">
        <v>911</v>
      </c>
      <c r="D6" s="850" t="e">
        <f ca="1">NUMBERSTRING(INT(D5*10000),2)&amp;"元整"</f>
        <v>#REF!</v>
      </c>
      <c r="E6" s="1491"/>
    </row>
    <row r="7" spans="1:5" ht="15.75">
      <c r="A7" s="1491"/>
      <c r="B7" s="3471"/>
      <c r="C7" s="1495" t="s">
        <v>912</v>
      </c>
      <c r="D7" s="851" t="e">
        <f ca="1">结果表!H102</f>
        <v>#REF!</v>
      </c>
      <c r="E7" s="1491"/>
    </row>
    <row r="8" spans="1:5" ht="15.75">
      <c r="A8" s="1491"/>
      <c r="B8" s="3472" t="str">
        <f>结果表!E103</f>
        <v>2.估价师知悉的法定优先受偿款</v>
      </c>
      <c r="C8" s="1496" t="s">
        <v>913</v>
      </c>
      <c r="D8" s="851">
        <f>结果表!H103</f>
        <v>0</v>
      </c>
      <c r="E8" s="1491"/>
    </row>
    <row r="9" spans="1:5" ht="15.75">
      <c r="A9" s="1491"/>
      <c r="B9" s="347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5" t="str">
        <f>结果表!E107</f>
        <v>3.房地产抵押价值</v>
      </c>
      <c r="C13" s="1499" t="s">
        <v>910</v>
      </c>
      <c r="D13" s="853" t="e">
        <f ca="1">结果表!H107</f>
        <v>#REF!</v>
      </c>
      <c r="E13" s="1491"/>
    </row>
    <row r="14" spans="1:5" ht="15.75">
      <c r="A14" s="1491"/>
      <c r="B14" s="3466"/>
      <c r="C14" s="1494" t="s">
        <v>911</v>
      </c>
      <c r="D14" s="850" t="e">
        <f ca="1">NUMBERSTRING(INT(D13*10000),2)&amp;"元整"</f>
        <v>#REF!</v>
      </c>
      <c r="E14" s="1491"/>
    </row>
    <row r="15" spans="1:5" ht="15">
      <c r="A15" s="1491"/>
      <c r="B15" s="3471"/>
      <c r="C15" s="1495" t="s">
        <v>921</v>
      </c>
      <c r="D15" s="859" t="e">
        <f ca="1">结果表!H108</f>
        <v>#REF!</v>
      </c>
      <c r="E15" s="1491"/>
    </row>
    <row r="16" spans="1:5" ht="15">
      <c r="A16" s="1491"/>
      <c r="B16" s="3472" t="str">
        <f>结果表!E109</f>
        <v>——</v>
      </c>
      <c r="C16" s="1499" t="s">
        <v>922</v>
      </c>
      <c r="D16" s="1500" t="str">
        <f>结果表!H109</f>
        <v>——</v>
      </c>
      <c r="E16" s="1491"/>
    </row>
    <row r="17" spans="1:5" ht="15.75">
      <c r="A17" s="1491"/>
      <c r="B17" s="3473"/>
      <c r="C17" s="1494" t="s">
        <v>923</v>
      </c>
      <c r="D17" s="850" t="e">
        <f>NUMBERSTRING(INT(D16*10000),2)&amp;"元整"</f>
        <v>#VALUE!</v>
      </c>
      <c r="E17" s="1491"/>
    </row>
    <row r="18" spans="1:5" ht="15">
      <c r="A18" s="1491"/>
      <c r="B18" s="3474"/>
      <c r="C18" s="1495" t="s">
        <v>912</v>
      </c>
      <c r="D18" s="859" t="str">
        <f>结果表!H110</f>
        <v>——</v>
      </c>
      <c r="E18" s="1491"/>
    </row>
    <row r="19" spans="1:5" ht="15.75">
      <c r="A19" s="1491"/>
      <c r="B19" s="3465" t="str">
        <f>结果表!E111</f>
        <v>——</v>
      </c>
      <c r="C19" s="1499" t="s">
        <v>910</v>
      </c>
      <c r="D19" s="851" t="str">
        <f>结果表!H111</f>
        <v>——</v>
      </c>
      <c r="E19" s="1491"/>
    </row>
    <row r="20" spans="1:5" ht="15.75">
      <c r="A20" s="1491"/>
      <c r="B20" s="3466"/>
      <c r="C20" s="1494" t="s">
        <v>923</v>
      </c>
      <c r="D20" s="850" t="e">
        <f>NUMBERSTRING(INT(D19*10000),2)&amp;"元整"</f>
        <v>#VALUE!</v>
      </c>
      <c r="E20" s="1491"/>
    </row>
    <row r="21" spans="1:5" ht="15.75" thickBot="1">
      <c r="A21" s="1491"/>
      <c r="B21" s="346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30779</v>
      </c>
      <c r="C2" s="2" t="s">
        <v>106</v>
      </c>
      <c r="D2" s="199"/>
      <c r="E2" s="199"/>
      <c r="F2" s="199"/>
      <c r="G2" s="199"/>
    </row>
    <row r="3" spans="1:7" s="200" customFormat="1" ht="18" customHeight="1" thickBot="1">
      <c r="A3" s="203" t="s">
        <v>58</v>
      </c>
      <c r="B3" s="204">
        <f ca="1">ROUND(B2*10000/'数据-汇总表'!E3,0)</f>
        <v>4265382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0</v>
      </c>
      <c r="D10" s="845">
        <f>'数据-汇总表'!E6</f>
        <v>72.16</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72.16</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5256</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5256</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30742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25</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3</v>
      </c>
      <c r="D36" s="220"/>
      <c r="E36" s="220"/>
      <c r="F36" s="259">
        <f>'数据-取费表'!B34</f>
        <v>0.1</v>
      </c>
      <c r="G36" s="260" t="s">
        <v>35</v>
      </c>
    </row>
    <row r="37" spans="1:7" s="258" customFormat="1" ht="13.5" customHeight="1">
      <c r="A37" s="780" t="s">
        <v>353</v>
      </c>
      <c r="B37" s="215" t="s">
        <v>91</v>
      </c>
      <c r="C37" s="249">
        <f>ROUND(E37*D37*F34/10000,0)</f>
        <v>1</v>
      </c>
      <c r="D37" s="217">
        <f>'数据-汇总表'!E3</f>
        <v>72.16</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47" t="s">
        <v>94</v>
      </c>
    </row>
    <row r="43" spans="1:7" ht="13.5" customHeight="1">
      <c r="A43" s="780" t="s">
        <v>347</v>
      </c>
      <c r="B43" s="215" t="s">
        <v>426</v>
      </c>
      <c r="C43" s="238">
        <f ca="1">ROUND(IF('数据-取费表'!B22&lt;=1,C39*F22*'数据-取费表'!B21/2,C39*(POWER((1+F22),'数据-取费表'!B21/2)-1)),0)</f>
        <v>0</v>
      </c>
      <c r="D43" s="238"/>
      <c r="E43" s="238"/>
      <c r="F43" s="239"/>
      <c r="G43" s="3648"/>
    </row>
    <row r="44" spans="1:7" ht="13.5" customHeight="1">
      <c r="A44" s="780" t="s">
        <v>348</v>
      </c>
      <c r="B44" s="215" t="s">
        <v>428</v>
      </c>
      <c r="C44" s="238">
        <f ca="1">ROUND(IF('数据-取费表'!B22&lt;=1,C40*F22*'数据-取费表'!B21/2,C40*(POWER((1+F22),'数据-取费表'!B21/2)-1)),4)</f>
        <v>1E-3</v>
      </c>
      <c r="D44" s="238"/>
      <c r="E44" s="238"/>
      <c r="F44" s="239"/>
      <c r="G44" s="3649"/>
    </row>
    <row r="45" spans="1:7" s="214" customFormat="1" ht="13.5" customHeight="1">
      <c r="A45" s="777" t="s">
        <v>341</v>
      </c>
      <c r="B45" s="244" t="s">
        <v>85</v>
      </c>
      <c r="C45" s="245">
        <f>C46</f>
        <v>8</v>
      </c>
      <c r="D45" s="235">
        <f>C47</f>
        <v>5.0000000000000001E-3</v>
      </c>
      <c r="E45" s="236" t="s">
        <v>102</v>
      </c>
      <c r="F45" s="246"/>
      <c r="G45" s="247" t="s">
        <v>434</v>
      </c>
    </row>
    <row r="46" spans="1:7" s="214" customFormat="1" ht="13.5" customHeight="1">
      <c r="A46" s="780" t="s">
        <v>349</v>
      </c>
      <c r="B46" s="248" t="s">
        <v>427</v>
      </c>
      <c r="C46" s="249">
        <f>ROUND((C33+C39)*F27,0)</f>
        <v>8</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43</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37</v>
      </c>
      <c r="D51" s="232"/>
      <c r="E51" s="232"/>
      <c r="F51" s="264"/>
      <c r="G51" s="234" t="s">
        <v>37</v>
      </c>
    </row>
    <row r="52" spans="1:7" s="208" customFormat="1" ht="16.5" thickBot="1">
      <c r="A52" s="265" t="s">
        <v>38</v>
      </c>
      <c r="B52" s="266"/>
      <c r="C52" s="267">
        <f ca="1">C31+C51</f>
        <v>30779</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7" t="s">
        <v>2839</v>
      </c>
      <c r="B1" s="3787"/>
      <c r="C1" s="3787"/>
      <c r="D1" s="3787"/>
      <c r="E1" s="3787"/>
      <c r="F1" s="3787"/>
      <c r="G1" s="3788"/>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785"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786"/>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9" t="s">
        <v>3181</v>
      </c>
      <c r="B1" s="3789"/>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3289"/>
  </cols>
  <sheetData>
    <row r="1" spans="1:6">
      <c r="A1" s="3790" t="s">
        <v>3232</v>
      </c>
      <c r="B1" s="3790"/>
      <c r="C1" s="3790"/>
      <c r="D1" s="3790"/>
      <c r="E1" s="3790"/>
      <c r="F1" s="3791"/>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20">
        <f>基准地价修正!G23</f>
        <v>45214</v>
      </c>
      <c r="B1" s="3209" t="s">
        <v>3371</v>
      </c>
      <c r="C1" s="3210"/>
      <c r="D1" s="3210"/>
      <c r="E1" s="3210"/>
      <c r="F1" s="3210"/>
      <c r="G1" s="3210"/>
      <c r="H1" s="3210"/>
      <c r="I1" s="3210"/>
      <c r="J1" s="3164"/>
      <c r="K1" s="3210" t="s">
        <v>454</v>
      </c>
      <c r="L1" s="3210"/>
      <c r="M1" s="3210"/>
      <c r="N1" s="3210"/>
      <c r="O1" s="3210"/>
      <c r="P1" s="3210"/>
      <c r="Q1" s="3164"/>
      <c r="R1" s="3792" t="s">
        <v>456</v>
      </c>
      <c r="S1" s="3793"/>
      <c r="T1" s="3793"/>
      <c r="U1" s="3793"/>
      <c r="V1" s="3793"/>
      <c r="W1" s="3793"/>
      <c r="X1" s="3164"/>
      <c r="Y1" s="3792" t="s">
        <v>457</v>
      </c>
      <c r="Z1" s="3793"/>
      <c r="AA1" s="3793"/>
      <c r="AB1" s="3793"/>
      <c r="AC1" s="3793"/>
      <c r="AD1" s="3793"/>
    </row>
    <row r="2" spans="1:30"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row>
    <row r="3" spans="1:30" s="3160" customFormat="1" ht="12.75">
      <c r="A3" s="3148" t="s">
        <v>2819</v>
      </c>
      <c r="B3" s="3149"/>
      <c r="C3" s="3150"/>
      <c r="D3" s="3150">
        <f>ROUND(AVERAGEIF(D4:D18,"&lt;&gt;0"),2)</f>
        <v>0.78</v>
      </c>
      <c r="E3" s="3150">
        <f t="shared" ref="E3:H3" si="0">ROUND(AVERAGEIF(E4:E18,"&lt;&gt;0"),2)</f>
        <v>0.41</v>
      </c>
      <c r="F3" s="3150">
        <f t="shared" si="0"/>
        <v>0.23</v>
      </c>
      <c r="G3" s="3150">
        <f t="shared" si="0"/>
        <v>0.84</v>
      </c>
      <c r="H3" s="3150">
        <f t="shared" si="0"/>
        <v>0.63</v>
      </c>
      <c r="I3" s="3150">
        <f>F3</f>
        <v>0.23</v>
      </c>
      <c r="J3" s="3151"/>
      <c r="K3" s="3152">
        <f>ROUND(AVERAGEIF(K4:K18,"&lt;&gt;0"),4)</f>
        <v>7.7999999999999996E-3</v>
      </c>
      <c r="L3" s="3153">
        <f t="shared" ref="L3:O3" si="1">ROUND(AVERAGEIF(L4:L18,"&lt;&gt;0"),4)</f>
        <v>4.1000000000000003E-3</v>
      </c>
      <c r="M3" s="3153">
        <f t="shared" si="1"/>
        <v>2.3E-3</v>
      </c>
      <c r="N3" s="3153">
        <f t="shared" si="1"/>
        <v>8.3999999999999995E-3</v>
      </c>
      <c r="O3" s="3153">
        <f t="shared" si="1"/>
        <v>6.3E-3</v>
      </c>
      <c r="P3" s="3153">
        <f>M3</f>
        <v>2.3E-3</v>
      </c>
      <c r="Q3" s="3151"/>
      <c r="R3" s="3154">
        <f>ROUND(SUMPRODUCT(PRODUCT(1+K4:K18)),4)</f>
        <v>1.0888</v>
      </c>
      <c r="S3" s="3155">
        <f t="shared" ref="S3:V3" si="2">ROUND(SUMPRODUCT(PRODUCT(1+L4:L18)),4)</f>
        <v>1.0463</v>
      </c>
      <c r="T3" s="3155">
        <f t="shared" si="2"/>
        <v>1.0257000000000001</v>
      </c>
      <c r="U3" s="3155">
        <f t="shared" si="2"/>
        <v>1.0961000000000001</v>
      </c>
      <c r="V3" s="3155">
        <f t="shared" si="2"/>
        <v>1.0713999999999999</v>
      </c>
      <c r="W3" s="3154">
        <f>T3</f>
        <v>1.0257000000000001</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5" t="s">
        <v>3375</v>
      </c>
      <c r="B5" s="3176">
        <v>2023</v>
      </c>
      <c r="C5" s="3177">
        <v>4</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1.0783</v>
      </c>
      <c r="S5" s="3182">
        <f>ROUND(IF(项目基本情况!$B$8="出让",SUMPRODUCT(PRODUCT(1+L5:$L$18)),SUMPRODUCT(PRODUCT(1+L5:$L$17))),4)</f>
        <v>1.0447</v>
      </c>
      <c r="T5" s="3182">
        <f>ROUND(IF(项目基本情况!$B$8="出让",SUMPRODUCT(PRODUCT(1+M5:$M$18)),SUMPRODUCT(PRODUCT(1+M5:$M$17))),4)</f>
        <v>1.0282</v>
      </c>
      <c r="U5" s="3182">
        <f>ROUND(IF(项目基本情况!$B$8="出让",SUMPRODUCT(PRODUCT(1+N5:$N$18)),SUMPRODUCT(PRODUCT(1+N5:$N$17))),4)</f>
        <v>1.0841000000000001</v>
      </c>
      <c r="V5" s="3182">
        <f>ROUND(IF(项目基本情况!$B$8="出让",SUMPRODUCT(PRODUCT(1+O5:$O$18)),SUMPRODUCT(PRODUCT(1+O5:$O$17))),4)</f>
        <v>1.0674999999999999</v>
      </c>
      <c r="W5" s="3182">
        <f>T5</f>
        <v>1.0282</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5" t="s">
        <v>3376</v>
      </c>
      <c r="B6" s="3176">
        <v>2023</v>
      </c>
      <c r="C6" s="3177">
        <v>3</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1.0783</v>
      </c>
      <c r="S6" s="3182">
        <f>ROUND(IF(项目基本情况!$B$8="出让",SUMPRODUCT(PRODUCT(1+L6:$L$18)),SUMPRODUCT(PRODUCT(1+L6:$L$17))),4)</f>
        <v>1.0447</v>
      </c>
      <c r="T6" s="3182">
        <f>ROUND(IF(项目基本情况!$B$8="出让",SUMPRODUCT(PRODUCT(1+M6:$M$18)),SUMPRODUCT(PRODUCT(1+M6:$M$17))),4)</f>
        <v>1.0282</v>
      </c>
      <c r="U6" s="3182">
        <f>ROUND(IF(项目基本情况!$B$8="出让",SUMPRODUCT(PRODUCT(1+N6:$N$18)),SUMPRODUCT(PRODUCT(1+N6:$N$17))),4)</f>
        <v>1.0841000000000001</v>
      </c>
      <c r="V6" s="3182">
        <f>ROUND(IF(项目基本情况!$B$8="出让",SUMPRODUCT(PRODUCT(1+O6:$O$18)),SUMPRODUCT(PRODUCT(1+O6:$O$17))),4)</f>
        <v>1.0674999999999999</v>
      </c>
      <c r="W6" s="3182">
        <f t="shared" ref="W6" si="14">T6</f>
        <v>1.0282</v>
      </c>
      <c r="X6" s="3180"/>
      <c r="Y6" s="3183"/>
      <c r="Z6" s="3183"/>
      <c r="AA6" s="3183"/>
      <c r="AB6" s="3183"/>
      <c r="AC6" s="3183"/>
      <c r="AD6" s="3183"/>
    </row>
    <row r="7" spans="1:30" s="3184" customFormat="1" ht="12.75">
      <c r="A7" s="2205" t="s">
        <v>3377</v>
      </c>
      <c r="B7" s="3176">
        <v>2023</v>
      </c>
      <c r="C7" s="3177">
        <v>3</v>
      </c>
      <c r="D7" s="3178">
        <v>0</v>
      </c>
      <c r="E7" s="3178">
        <v>0</v>
      </c>
      <c r="F7" s="3178">
        <v>0</v>
      </c>
      <c r="G7" s="3178">
        <v>0</v>
      </c>
      <c r="H7" s="3195">
        <v>0</v>
      </c>
      <c r="I7" s="3179">
        <v>0</v>
      </c>
      <c r="J7" s="3180"/>
      <c r="K7" s="3181">
        <f t="shared" si="5"/>
        <v>0</v>
      </c>
      <c r="L7" s="3171">
        <f t="shared" si="5"/>
        <v>0</v>
      </c>
      <c r="M7" s="3171">
        <f t="shared" si="5"/>
        <v>0</v>
      </c>
      <c r="N7" s="3171">
        <f t="shared" si="5"/>
        <v>0</v>
      </c>
      <c r="O7" s="3171">
        <f t="shared" si="5"/>
        <v>0</v>
      </c>
      <c r="P7" s="3171">
        <f t="shared" ref="P7" si="15">M7</f>
        <v>0</v>
      </c>
      <c r="Q7" s="3180"/>
      <c r="R7" s="3182">
        <f>ROUND(IF(项目基本情况!$B$8="出让",SUMPRODUCT(PRODUCT(1+K7:$K$18)),SUMPRODUCT(PRODUCT(1+K7:$K$17))),4)</f>
        <v>1.0783</v>
      </c>
      <c r="S7" s="3182">
        <f>ROUND(IF(项目基本情况!$B$8="出让",SUMPRODUCT(PRODUCT(1+L7:$L$18)),SUMPRODUCT(PRODUCT(1+L7:$L$17))),4)</f>
        <v>1.0447</v>
      </c>
      <c r="T7" s="3182">
        <f>ROUND(IF(项目基本情况!$B$8="出让",SUMPRODUCT(PRODUCT(1+M7:$M$18)),SUMPRODUCT(PRODUCT(1+M7:$M$17))),4)</f>
        <v>1.0282</v>
      </c>
      <c r="U7" s="3182">
        <f>ROUND(IF(项目基本情况!$B$8="出让",SUMPRODUCT(PRODUCT(1+N7:$N$18)),SUMPRODUCT(PRODUCT(1+N7:$N$17))),4)</f>
        <v>1.0841000000000001</v>
      </c>
      <c r="V7" s="3182">
        <f>ROUND(IF(项目基本情况!$B$8="出让",SUMPRODUCT(PRODUCT(1+O7:$O$18)),SUMPRODUCT(PRODUCT(1+O7:$O$17))),4)</f>
        <v>1.0674999999999999</v>
      </c>
      <c r="W7" s="3182">
        <f t="shared" ref="W7" si="16">T7</f>
        <v>1.0282</v>
      </c>
      <c r="X7" s="3180"/>
      <c r="Y7" s="3183"/>
      <c r="Z7" s="3183"/>
      <c r="AA7" s="3183"/>
      <c r="AB7" s="3183"/>
      <c r="AC7" s="3183"/>
      <c r="AD7" s="3183"/>
    </row>
    <row r="8" spans="1:30" s="3194" customFormat="1" ht="12.75">
      <c r="A8" s="3185" t="s">
        <v>3369</v>
      </c>
      <c r="B8" s="3186">
        <v>2023</v>
      </c>
      <c r="C8" s="3187">
        <v>3</v>
      </c>
      <c r="D8" s="3188">
        <v>0.25</v>
      </c>
      <c r="E8" s="3188">
        <v>0.5</v>
      </c>
      <c r="F8" s="3188">
        <v>0.31</v>
      </c>
      <c r="G8" s="3188">
        <v>0.21</v>
      </c>
      <c r="H8" s="3189">
        <v>0.43</v>
      </c>
      <c r="I8" s="3190">
        <f t="shared" si="4"/>
        <v>0.31</v>
      </c>
      <c r="J8" s="3191"/>
      <c r="K8" s="3192">
        <f t="shared" ref="K8:K10" si="17">D8/100</f>
        <v>2.5000000000000001E-3</v>
      </c>
      <c r="L8" s="3193">
        <f t="shared" ref="L8:L10" si="18">E8/100</f>
        <v>5.0000000000000001E-3</v>
      </c>
      <c r="M8" s="3193">
        <f t="shared" ref="M8:M10" si="19">F8/100</f>
        <v>3.0999999999999999E-3</v>
      </c>
      <c r="N8" s="3193">
        <f t="shared" ref="N8:N10" si="20">G8/100</f>
        <v>2.0999999999999999E-3</v>
      </c>
      <c r="O8" s="3193">
        <f t="shared" ref="O8:O10" si="21">H8/100</f>
        <v>4.3E-3</v>
      </c>
      <c r="P8" s="3193">
        <f t="shared" ref="P8:P10" si="22">M8</f>
        <v>3.0999999999999999E-3</v>
      </c>
      <c r="Q8" s="3191"/>
      <c r="R8" s="3191">
        <f>ROUND(IF(项目基本情况!$B$8="出让",SUMPRODUCT(PRODUCT(1+K8:$K$18)),SUMPRODUCT(PRODUCT(1+K8:$K$17))),4)</f>
        <v>1.0783</v>
      </c>
      <c r="S8" s="3191">
        <f>ROUND(IF(项目基本情况!$B$8="出让",SUMPRODUCT(PRODUCT(1+L8:$L$18)),SUMPRODUCT(PRODUCT(1+L8:$L$17))),4)</f>
        <v>1.0447</v>
      </c>
      <c r="T8" s="3191">
        <f>ROUND(IF(项目基本情况!$B$8="出让",SUMPRODUCT(PRODUCT(1+M8:$M$18)),SUMPRODUCT(PRODUCT(1+M8:$M$17))),4)</f>
        <v>1.0282</v>
      </c>
      <c r="U8" s="3191">
        <f>ROUND(IF(项目基本情况!$B$8="出让",SUMPRODUCT(PRODUCT(1+N8:$N$18)),SUMPRODUCT(PRODUCT(1+N8:$N$17))),4)</f>
        <v>1.0841000000000001</v>
      </c>
      <c r="V8" s="3191">
        <f>ROUND(IF(项目基本情况!$B$8="出让",SUMPRODUCT(PRODUCT(1+O8:$O$18)),SUMPRODUCT(PRODUCT(1+O8:$O$17))),4)</f>
        <v>1.0674999999999999</v>
      </c>
      <c r="W8" s="3191">
        <f t="shared" ref="W8:W9" si="23">T8</f>
        <v>1.0282</v>
      </c>
      <c r="X8" s="3191"/>
      <c r="Y8" s="3193"/>
      <c r="Z8" s="3193"/>
      <c r="AA8" s="3193"/>
      <c r="AB8" s="3193"/>
      <c r="AC8" s="3193"/>
      <c r="AD8" s="3193"/>
    </row>
    <row r="9" spans="1:30" s="3184" customFormat="1" ht="12.75">
      <c r="A9" s="3175" t="s">
        <v>3370</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3368</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3367</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3363</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3354</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2820</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2821</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2822</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2823</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2824</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3365</v>
      </c>
    </row>
    <row r="21" spans="1:30" s="3008" customFormat="1">
      <c r="I21" s="3207" t="s">
        <v>2825</v>
      </c>
    </row>
    <row r="22" spans="1:30" s="3008" customFormat="1"/>
    <row r="23" spans="1:30" s="3208" customFormat="1" ht="12.75">
      <c r="B23" s="3209" t="s">
        <v>3372</v>
      </c>
      <c r="C23" s="3210"/>
      <c r="D23" s="3210"/>
      <c r="E23" s="3210"/>
      <c r="F23" s="3210"/>
      <c r="G23" s="3210"/>
      <c r="H23" s="3210"/>
      <c r="I23" s="3210"/>
      <c r="J23" s="3164"/>
      <c r="K23" s="3210" t="s">
        <v>2826</v>
      </c>
      <c r="L23" s="3210"/>
      <c r="M23" s="3210"/>
      <c r="N23" s="3210"/>
      <c r="O23" s="3210"/>
      <c r="P23" s="3210"/>
      <c r="Q23" s="3164"/>
      <c r="R23" s="3792" t="s">
        <v>2827</v>
      </c>
      <c r="S23" s="3793"/>
      <c r="T23" s="3793"/>
      <c r="U23" s="3793"/>
      <c r="V23" s="3793"/>
      <c r="W23" s="3793"/>
      <c r="X23" s="3164"/>
      <c r="Y23" s="3792" t="s">
        <v>2828</v>
      </c>
      <c r="Z23" s="3793"/>
      <c r="AA23" s="3793"/>
      <c r="AB23" s="3793"/>
      <c r="AC23" s="3793"/>
      <c r="AD23" s="3793"/>
    </row>
    <row r="24" spans="1:30" s="3142" customFormat="1" ht="14.25" thickBot="1">
      <c r="B24" s="3143"/>
      <c r="C24" s="3144"/>
      <c r="D24" s="3145" t="s">
        <v>2829</v>
      </c>
      <c r="E24" s="3146" t="s">
        <v>2830</v>
      </c>
      <c r="F24" s="3146" t="s">
        <v>2831</v>
      </c>
      <c r="G24" s="3146" t="s">
        <v>2832</v>
      </c>
      <c r="H24" s="3146"/>
      <c r="I24" s="3146" t="s">
        <v>2833</v>
      </c>
      <c r="J24" s="3147"/>
      <c r="K24" s="3145" t="s">
        <v>2829</v>
      </c>
      <c r="L24" s="3146" t="s">
        <v>2830</v>
      </c>
      <c r="M24" s="3146" t="s">
        <v>2831</v>
      </c>
      <c r="N24" s="3146" t="s">
        <v>2832</v>
      </c>
      <c r="O24" s="3146"/>
      <c r="P24" s="3146" t="s">
        <v>2833</v>
      </c>
      <c r="Q24" s="3147"/>
      <c r="R24" s="3145" t="s">
        <v>2829</v>
      </c>
      <c r="S24" s="3146" t="s">
        <v>2830</v>
      </c>
      <c r="T24" s="3146" t="s">
        <v>2831</v>
      </c>
      <c r="U24" s="3146" t="s">
        <v>2832</v>
      </c>
      <c r="V24" s="3146"/>
      <c r="W24" s="3146" t="s">
        <v>2833</v>
      </c>
      <c r="X24" s="3147"/>
      <c r="Y24" s="3145" t="s">
        <v>2829</v>
      </c>
      <c r="Z24" s="3146" t="s">
        <v>2830</v>
      </c>
      <c r="AA24" s="3146" t="s">
        <v>2831</v>
      </c>
      <c r="AB24" s="3146" t="s">
        <v>2832</v>
      </c>
      <c r="AC24" s="3146"/>
      <c r="AD24" s="3146" t="s">
        <v>2833</v>
      </c>
    </row>
    <row r="25" spans="1:30" s="3160" customFormat="1" ht="12.75">
      <c r="A25" s="3148" t="s">
        <v>2834</v>
      </c>
      <c r="B25" s="3149"/>
      <c r="C25" s="3150"/>
      <c r="D25" s="3150"/>
      <c r="E25" s="3150">
        <f t="shared" ref="E25:G25" si="32">ROUND(AVERAGEIF(E26:E40,"&lt;&gt;0"),2)</f>
        <v>0.42</v>
      </c>
      <c r="F25" s="3150">
        <f t="shared" si="32"/>
        <v>0.3</v>
      </c>
      <c r="G25" s="3150">
        <f t="shared" si="32"/>
        <v>0.73</v>
      </c>
      <c r="H25" s="3150"/>
      <c r="I25" s="3150">
        <f>F25</f>
        <v>0.3</v>
      </c>
      <c r="J25" s="3151"/>
      <c r="K25" s="3152"/>
      <c r="L25" s="3153">
        <f t="shared" ref="L25:N25" si="33">ROUND(AVERAGEIF(L26:L40,"&lt;&gt;0"),4)</f>
        <v>4.1999999999999997E-3</v>
      </c>
      <c r="M25" s="3153">
        <f t="shared" si="33"/>
        <v>3.0000000000000001E-3</v>
      </c>
      <c r="N25" s="3153">
        <f t="shared" si="33"/>
        <v>7.3000000000000001E-3</v>
      </c>
      <c r="O25" s="3153"/>
      <c r="P25" s="3153">
        <f>M25</f>
        <v>3.0000000000000001E-3</v>
      </c>
      <c r="Q25" s="3151"/>
      <c r="R25" s="3154"/>
      <c r="S25" s="3155">
        <f>ROUND(SUMPRODUCT(PRODUCT(1+L26:L40)),4)</f>
        <v>1.0468</v>
      </c>
      <c r="T25" s="3155">
        <f t="shared" ref="T25:U25" si="34">ROUND(SUMPRODUCT(PRODUCT(1+M26:M40)),4)</f>
        <v>1.0337000000000001</v>
      </c>
      <c r="U25" s="3155">
        <f t="shared" si="34"/>
        <v>1.0828</v>
      </c>
      <c r="V25" s="3155"/>
      <c r="W25" s="3154">
        <f>T25</f>
        <v>1.0337000000000001</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5" t="s">
        <v>3375</v>
      </c>
      <c r="B27" s="3176">
        <v>2023</v>
      </c>
      <c r="C27" s="3177">
        <v>4</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1.0431999999999999</v>
      </c>
      <c r="T27" s="3182">
        <f>ROUND(IF(项目基本情况!$B$8="出让",SUMPRODUCT(PRODUCT(1+M27:M$40)),SUMPRODUCT(PRODUCT(1+M27:M$39))),4)</f>
        <v>1.0286999999999999</v>
      </c>
      <c r="U27" s="3182">
        <f>ROUND(IF(项目基本情况!$B$8="出让",SUMPRODUCT(PRODUCT(1+N27:N$40)),SUMPRODUCT(PRODUCT(1+N27:N$39))),4)</f>
        <v>1.0723</v>
      </c>
      <c r="V27" s="3182"/>
      <c r="W27" s="3182">
        <f>T27</f>
        <v>1.0286999999999999</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5" t="s">
        <v>3376</v>
      </c>
      <c r="B28" s="3176">
        <v>2023</v>
      </c>
      <c r="C28" s="3177">
        <v>3</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1.0431999999999999</v>
      </c>
      <c r="T28" s="3182">
        <f>ROUND(IF(项目基本情况!$B$8="出让",SUMPRODUCT(PRODUCT(1+M28:M$40)),SUMPRODUCT(PRODUCT(1+M28:M$39))),4)</f>
        <v>1.0286999999999999</v>
      </c>
      <c r="U28" s="3182">
        <f>ROUND(IF(项目基本情况!$B$8="出让",SUMPRODUCT(PRODUCT(1+N28:N$40)),SUMPRODUCT(PRODUCT(1+N28:N$39))),4)</f>
        <v>1.0723</v>
      </c>
      <c r="V28" s="3182"/>
      <c r="W28" s="3182">
        <f t="shared" ref="W28" si="43">T28</f>
        <v>1.0286999999999999</v>
      </c>
      <c r="X28" s="3180"/>
      <c r="Y28" s="3183"/>
      <c r="Z28" s="3211"/>
      <c r="AA28" s="3213"/>
      <c r="AB28" s="3183"/>
      <c r="AC28" s="3212"/>
      <c r="AD28" s="3183"/>
    </row>
    <row r="29" spans="1:30" s="3184" customFormat="1" ht="12.75">
      <c r="A29" s="2205" t="s">
        <v>3377</v>
      </c>
      <c r="B29" s="3176">
        <v>2023</v>
      </c>
      <c r="C29" s="3177">
        <v>3</v>
      </c>
      <c r="D29" s="3178"/>
      <c r="E29" s="3178">
        <v>0</v>
      </c>
      <c r="F29" s="3178">
        <v>0</v>
      </c>
      <c r="G29" s="3178">
        <v>0</v>
      </c>
      <c r="H29" s="3178"/>
      <c r="I29" s="3179">
        <f t="shared" si="38"/>
        <v>0</v>
      </c>
      <c r="J29" s="3180"/>
      <c r="K29" s="3181"/>
      <c r="L29" s="3171">
        <f t="shared" si="37"/>
        <v>0</v>
      </c>
      <c r="M29" s="3171">
        <f t="shared" si="37"/>
        <v>0</v>
      </c>
      <c r="N29" s="3171">
        <f t="shared" si="37"/>
        <v>0</v>
      </c>
      <c r="O29" s="3171"/>
      <c r="P29" s="3171">
        <f t="shared" ref="P29" si="44">M29</f>
        <v>0</v>
      </c>
      <c r="Q29" s="3180"/>
      <c r="R29" s="3182"/>
      <c r="S29" s="3182">
        <f>ROUND(IF(项目基本情况!$B$8="出让",SUMPRODUCT(PRODUCT(1+L29:L$40)),SUMPRODUCT(PRODUCT(1+L29:L$39))),4)</f>
        <v>1.0431999999999999</v>
      </c>
      <c r="T29" s="3182">
        <f>ROUND(IF(项目基本情况!$B$8="出让",SUMPRODUCT(PRODUCT(1+M29:M$40)),SUMPRODUCT(PRODUCT(1+M29:M$39))),4)</f>
        <v>1.0286999999999999</v>
      </c>
      <c r="U29" s="3182">
        <f>ROUND(IF(项目基本情况!$B$8="出让",SUMPRODUCT(PRODUCT(1+N29:N$40)),SUMPRODUCT(PRODUCT(1+N29:N$39))),4)</f>
        <v>1.0723</v>
      </c>
      <c r="V29" s="3182"/>
      <c r="W29" s="3182">
        <f t="shared" ref="W29" si="45">T29</f>
        <v>1.0286999999999999</v>
      </c>
      <c r="X29" s="3180"/>
      <c r="Y29" s="3183"/>
      <c r="Z29" s="3211"/>
      <c r="AA29" s="3213"/>
      <c r="AB29" s="3183"/>
      <c r="AC29" s="3212"/>
      <c r="AD29" s="3183"/>
    </row>
    <row r="30" spans="1:30" s="3194" customFormat="1" ht="12.75">
      <c r="A30" s="3185" t="s">
        <v>3373</v>
      </c>
      <c r="B30" s="3186">
        <v>2023</v>
      </c>
      <c r="C30" s="3187">
        <v>3</v>
      </c>
      <c r="D30" s="3188"/>
      <c r="E30" s="3188">
        <v>0.35</v>
      </c>
      <c r="F30" s="3188">
        <v>0.17</v>
      </c>
      <c r="G30" s="3188">
        <v>0.52</v>
      </c>
      <c r="H30" s="3189"/>
      <c r="I30" s="3190">
        <f t="shared" si="36"/>
        <v>0.17</v>
      </c>
      <c r="J30" s="3191"/>
      <c r="K30" s="3192"/>
      <c r="L30" s="3193">
        <f t="shared" ref="L30:L32" si="46">E30/100</f>
        <v>3.4999999999999996E-3</v>
      </c>
      <c r="M30" s="3193">
        <f t="shared" ref="M30:M32" si="47">F30/100</f>
        <v>1.7000000000000001E-3</v>
      </c>
      <c r="N30" s="3193">
        <f t="shared" ref="N30:N32" si="48">G30/100</f>
        <v>5.1999999999999998E-3</v>
      </c>
      <c r="O30" s="3193"/>
      <c r="P30" s="3193">
        <f t="shared" ref="P30:P32" si="49">M30</f>
        <v>1.7000000000000001E-3</v>
      </c>
      <c r="Q30" s="3191"/>
      <c r="R30" s="3191"/>
      <c r="S30" s="3191">
        <f>ROUND(IF(项目基本情况!$B$8="出让",SUMPRODUCT(PRODUCT(1+L30:L$40)),SUMPRODUCT(PRODUCT(1+L30:L$39))),4)</f>
        <v>1.0431999999999999</v>
      </c>
      <c r="T30" s="3191">
        <f>ROUND(IF(项目基本情况!$B$8="出让",SUMPRODUCT(PRODUCT(1+M30:M$40)),SUMPRODUCT(PRODUCT(1+M30:M$39))),4)</f>
        <v>1.0286999999999999</v>
      </c>
      <c r="U30" s="3191">
        <f>ROUND(IF(项目基本情况!$B$8="出让",SUMPRODUCT(PRODUCT(1+N30:N$40)),SUMPRODUCT(PRODUCT(1+N30:N$39))),4)</f>
        <v>1.0723</v>
      </c>
      <c r="V30" s="3191"/>
      <c r="W30" s="3191">
        <f t="shared" ref="W30:W32" si="50">T30</f>
        <v>1.0286999999999999</v>
      </c>
      <c r="X30" s="3191"/>
      <c r="Y30" s="3193"/>
      <c r="Z30" s="3214"/>
      <c r="AA30" s="3215"/>
      <c r="AB30" s="3193"/>
      <c r="AC30" s="3216"/>
      <c r="AD30" s="3193"/>
    </row>
    <row r="31" spans="1:30" s="3184" customFormat="1" ht="12.75">
      <c r="A31" s="3175" t="s">
        <v>3374</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3368</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3367</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3364</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3354</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2835</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2836</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2837</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2838</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2824</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9" t="s">
        <v>452</v>
      </c>
      <c r="C1" s="3799"/>
      <c r="D1" s="3799"/>
      <c r="E1" s="3799"/>
      <c r="F1" s="3799"/>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0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45214</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45159</v>
      </c>
      <c r="D13" s="2821">
        <v>3.45</v>
      </c>
      <c r="E13" s="2821">
        <f>D13</f>
        <v>3.45</v>
      </c>
      <c r="F13" s="2821">
        <f>D13</f>
        <v>3.45</v>
      </c>
      <c r="G13" s="2821">
        <f>D13</f>
        <v>3.45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5" t="s">
        <v>2310</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5" t="str">
        <f>IF(项目基本情况!B9="房地产市场价值","估价结果一览表","结果表-2")</f>
        <v>估价结果一览表</v>
      </c>
      <c r="B1" s="3475"/>
      <c r="C1" s="3475"/>
      <c r="D1" s="3475"/>
      <c r="E1" s="3475"/>
      <c r="F1" s="3475"/>
      <c r="G1" s="3475"/>
      <c r="H1" s="3475"/>
      <c r="I1" s="3475"/>
    </row>
    <row r="2" spans="1:9" ht="30" customHeight="1" thickTop="1">
      <c r="A2" s="3476" t="s">
        <v>928</v>
      </c>
      <c r="B2" s="3476" t="s">
        <v>929</v>
      </c>
      <c r="C2" s="3476" t="s">
        <v>930</v>
      </c>
      <c r="D2" s="3476" t="str">
        <f>结果表!D116</f>
        <v>出让国有建设用地使用权价值</v>
      </c>
      <c r="E2" s="3476"/>
      <c r="F2" s="3476" t="str">
        <f>结果表!F116</f>
        <v>在建建筑物价值</v>
      </c>
      <c r="G2" s="3476"/>
      <c r="H2" s="3476" t="str">
        <f>IF(项目基本情况!B9="房地产市场价值","房地产市场价值","房地产价值")</f>
        <v>房地产市场价值</v>
      </c>
      <c r="I2" s="3476"/>
    </row>
    <row r="3" spans="1:9" ht="15">
      <c r="A3" s="3477"/>
      <c r="B3" s="3477"/>
      <c r="C3" s="3477"/>
      <c r="D3" s="854" t="s">
        <v>925</v>
      </c>
      <c r="E3" s="854" t="s">
        <v>931</v>
      </c>
      <c r="F3" s="854" t="s">
        <v>925</v>
      </c>
      <c r="G3" s="854" t="s">
        <v>926</v>
      </c>
      <c r="H3" s="854" t="s">
        <v>925</v>
      </c>
      <c r="I3" s="854" t="s">
        <v>926</v>
      </c>
    </row>
    <row r="4" spans="1:9" ht="15">
      <c r="A4" s="1505" t="str">
        <f>项目基本情况!S2</f>
        <v>北京市房地产</v>
      </c>
      <c r="B4" s="854">
        <f>项目基本情况!C17</f>
        <v>72.16</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7" t="s">
        <v>927</v>
      </c>
      <c r="B5" s="3477"/>
      <c r="C5" s="3477"/>
      <c r="D5" s="3477" t="e">
        <f ca="1">结果表!D119</f>
        <v>#REF!</v>
      </c>
      <c r="E5" s="3477"/>
      <c r="F5" s="3477" t="e">
        <f ca="1">结果表!F119</f>
        <v>#REF!</v>
      </c>
      <c r="G5" s="3477"/>
      <c r="H5" s="3477" t="e">
        <f ca="1">结果表!H119</f>
        <v>#REF!</v>
      </c>
      <c r="I5" s="3477"/>
    </row>
    <row r="6" spans="1:9" ht="15.75">
      <c r="A6" s="3478" t="str">
        <f>结果表!A120</f>
        <v/>
      </c>
      <c r="B6" s="3478"/>
      <c r="C6" s="3478"/>
      <c r="D6" s="3478">
        <f>结果表!D120</f>
        <v>0</v>
      </c>
      <c r="E6" s="3478"/>
      <c r="F6" s="3478"/>
      <c r="G6" s="3478"/>
      <c r="H6" s="3478"/>
      <c r="I6" s="3478"/>
    </row>
    <row r="7" spans="1:9" ht="15">
      <c r="A7" s="3477" t="s">
        <v>927</v>
      </c>
      <c r="B7" s="3477"/>
      <c r="C7" s="3477"/>
      <c r="D7" s="3479" t="str">
        <f>结果表!D121</f>
        <v>零元整</v>
      </c>
      <c r="E7" s="3480"/>
      <c r="F7" s="3480"/>
      <c r="G7" s="3480"/>
      <c r="H7" s="3480"/>
      <c r="I7" s="3481"/>
    </row>
    <row r="8" spans="1:9" ht="15.75">
      <c r="A8" s="3478" t="str">
        <f>结果表!A122</f>
        <v/>
      </c>
      <c r="B8" s="3478"/>
      <c r="C8" s="3478"/>
      <c r="D8" s="3478" t="e">
        <f ca="1">结果表!D122</f>
        <v>#REF!</v>
      </c>
      <c r="E8" s="3478"/>
      <c r="F8" s="3478"/>
      <c r="G8" s="3478"/>
      <c r="H8" s="3478"/>
      <c r="I8" s="3478"/>
    </row>
    <row r="9" spans="1:9" ht="15">
      <c r="A9" s="3477" t="s">
        <v>927</v>
      </c>
      <c r="B9" s="3477"/>
      <c r="C9" s="3477"/>
      <c r="D9" s="3477" t="e">
        <f ca="1">结果表!D123</f>
        <v>#REF!</v>
      </c>
      <c r="E9" s="3477"/>
      <c r="F9" s="3477"/>
      <c r="G9" s="3477"/>
      <c r="H9" s="3477"/>
      <c r="I9" s="3477"/>
    </row>
    <row r="10" spans="1:9" ht="15.75">
      <c r="A10" s="3478" t="str">
        <f>结果表!A124</f>
        <v/>
      </c>
      <c r="B10" s="3478"/>
      <c r="C10" s="3478"/>
      <c r="D10" s="3478" t="str">
        <f>结果表!D124</f>
        <v>——</v>
      </c>
      <c r="E10" s="3478"/>
      <c r="F10" s="3478"/>
      <c r="G10" s="3478"/>
      <c r="H10" s="3478"/>
      <c r="I10" s="3478"/>
    </row>
    <row r="11" spans="1:9" ht="15">
      <c r="A11" s="3477" t="s">
        <v>927</v>
      </c>
      <c r="B11" s="3477"/>
      <c r="C11" s="3477"/>
      <c r="D11" s="3477" t="e">
        <f>结果表!D125</f>
        <v>#VALUE!</v>
      </c>
      <c r="E11" s="3477"/>
      <c r="F11" s="3477"/>
      <c r="G11" s="3477"/>
      <c r="H11" s="3477"/>
      <c r="I11" s="3477"/>
    </row>
    <row r="12" spans="1:9" ht="15.75">
      <c r="A12" s="3478" t="str">
        <f>结果表!A126</f>
        <v/>
      </c>
      <c r="B12" s="3478"/>
      <c r="C12" s="3478"/>
      <c r="D12" s="3478" t="str">
        <f>结果表!D126</f>
        <v>——</v>
      </c>
      <c r="E12" s="3478"/>
      <c r="F12" s="3478"/>
      <c r="G12" s="3478"/>
      <c r="H12" s="3478"/>
      <c r="I12" s="3478"/>
    </row>
    <row r="13" spans="1:9" ht="15.75" thickBot="1">
      <c r="A13" s="3482" t="s">
        <v>927</v>
      </c>
      <c r="B13" s="3482"/>
      <c r="C13" s="3482"/>
      <c r="D13" s="3482" t="e">
        <f>结果表!D127</f>
        <v>#VALUE!</v>
      </c>
      <c r="E13" s="3482"/>
      <c r="F13" s="3482"/>
      <c r="G13" s="3482"/>
      <c r="H13" s="3482"/>
      <c r="I13" s="3482"/>
    </row>
    <row r="14" spans="1:9" ht="15" thickTop="1">
      <c r="A14" s="3483" t="s">
        <v>932</v>
      </c>
      <c r="B14" s="3483"/>
      <c r="C14" s="3483"/>
      <c r="D14" s="3483"/>
      <c r="E14" s="3483"/>
      <c r="F14" s="3483"/>
      <c r="G14" s="3483"/>
      <c r="H14" s="3483"/>
      <c r="I14" s="348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4" t="s">
        <v>949</v>
      </c>
      <c r="B1" s="3484"/>
      <c r="C1" s="3484"/>
      <c r="D1" s="3484"/>
    </row>
    <row r="2" spans="1:4" ht="18">
      <c r="A2" s="3485" t="s">
        <v>933</v>
      </c>
      <c r="B2" s="3485"/>
      <c r="C2" s="3485"/>
      <c r="D2" s="3485"/>
    </row>
    <row r="3" spans="1:4" ht="18.75">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t="str">
        <f>项目基本情况!D4</f>
        <v>宁小鳗</v>
      </c>
      <c r="B5" s="1511">
        <f>项目基本情况!E4</f>
        <v>1120210056</v>
      </c>
      <c r="C5" s="1514"/>
      <c r="D5" s="1513" t="s">
        <v>938</v>
      </c>
    </row>
    <row r="6" spans="1:4" ht="18">
      <c r="A6" s="3485" t="s">
        <v>939</v>
      </c>
      <c r="B6" s="3485"/>
      <c r="C6" s="3485"/>
      <c r="D6" s="348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6" t="s">
        <v>942</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8"/>
      <c r="C12" s="3488"/>
      <c r="D12" s="3488"/>
    </row>
    <row r="13" spans="1:4" ht="30" customHeight="1">
      <c r="A13" s="3487" t="str">
        <f>IF(项目基本情况!B8="抵押","3.抵押双方在办理抵押登记手续时，应使用本公司出具的正式《房地产评估报告》，特提醒报告使用者注意。","——")</f>
        <v>——</v>
      </c>
      <c r="B13" s="3488"/>
      <c r="C13" s="3488"/>
      <c r="D13" s="3488"/>
    </row>
    <row r="14" spans="1:4" ht="15.75" customHeight="1">
      <c r="A14" s="3487" t="str">
        <f>IF(项目基本情况!B8="抵押","4.本次评估估价师所知悉的法定优先受偿款情况说明如下：","——")</f>
        <v>——</v>
      </c>
      <c r="B14" s="3488"/>
      <c r="C14" s="3488"/>
      <c r="D14" s="3488"/>
    </row>
    <row r="15" spans="1:4" ht="42" customHeight="1">
      <c r="A15" s="3487" t="str">
        <f>IF(项目基本情况!B8="抵押","（1）"&amp;CONCATENATE(项目基本情况!L20,项目基本情况!L21,项目基本情况!L22),"——")</f>
        <v>——</v>
      </c>
      <c r="B15" s="3487"/>
      <c r="C15" s="3487"/>
      <c r="D15" s="3487"/>
    </row>
    <row r="16" spans="1:4" ht="30" customHeight="1">
      <c r="A16" s="3490" t="s">
        <v>943</v>
      </c>
      <c r="B16" s="3490"/>
      <c r="C16" s="3490"/>
      <c r="D16" s="3490"/>
    </row>
    <row r="17" spans="1:4" ht="144" customHeight="1">
      <c r="A17" s="3490" t="s">
        <v>944</v>
      </c>
      <c r="B17" s="3490"/>
      <c r="C17" s="3490"/>
      <c r="D17" s="3490"/>
    </row>
    <row r="18" spans="1:4" ht="15.75" customHeight="1">
      <c r="A18" s="3487" t="str">
        <f>IF(项目基本情况!B8="抵押",结果表!K120,"——")</f>
        <v>——</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7"/>
      <c r="C20" s="3487"/>
      <c r="D20" s="3487"/>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1"/>
      <c r="C21" s="3491"/>
      <c r="D21" s="3491"/>
    </row>
    <row r="22" spans="1:4" ht="18.75" customHeight="1">
      <c r="A22" s="3492" t="s">
        <v>945</v>
      </c>
      <c r="B22" s="3492"/>
      <c r="C22" s="3492"/>
      <c r="D22" s="349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9">
        <v>42551</v>
      </c>
      <c r="D31" s="34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8" t="s">
        <v>956</v>
      </c>
      <c r="B15" s="3493" t="s">
        <v>109</v>
      </c>
      <c r="C15" s="3494"/>
    </row>
    <row r="16" spans="1:7" ht="13.5">
      <c r="A16" s="3499"/>
      <c r="B16" s="3493" t="s">
        <v>42</v>
      </c>
      <c r="C16" s="3494"/>
    </row>
    <row r="17" spans="1:3" ht="13.5">
      <c r="A17" s="3499"/>
      <c r="B17" s="3496" t="s">
        <v>957</v>
      </c>
      <c r="C17" s="1532" t="s">
        <v>956</v>
      </c>
    </row>
    <row r="18" spans="1:3" ht="13.5">
      <c r="A18" s="3499"/>
      <c r="B18" s="3496"/>
      <c r="C18" s="1532" t="s">
        <v>958</v>
      </c>
    </row>
    <row r="19" spans="1:3" ht="13.5">
      <c r="A19" s="3499"/>
      <c r="B19" s="3496"/>
      <c r="C19" s="1532" t="s">
        <v>959</v>
      </c>
    </row>
    <row r="20" spans="1:3" ht="13.5">
      <c r="A20" s="3500"/>
      <c r="B20" s="3495" t="s">
        <v>960</v>
      </c>
      <c r="C20" s="3494"/>
    </row>
    <row r="21" spans="1:3" ht="13.5">
      <c r="A21" s="1533" t="s">
        <v>961</v>
      </c>
      <c r="B21" s="1534"/>
      <c r="C21" s="1535"/>
    </row>
    <row r="22" spans="1:3" ht="13.5">
      <c r="A22" s="3497" t="s">
        <v>962</v>
      </c>
      <c r="B22" s="3495" t="s">
        <v>963</v>
      </c>
      <c r="C22" s="3494"/>
    </row>
    <row r="23" spans="1:3" ht="13.5">
      <c r="A23" s="3497"/>
      <c r="B23" s="3495" t="s">
        <v>964</v>
      </c>
      <c r="C23" s="3494"/>
    </row>
    <row r="24" spans="1:3" ht="13.5">
      <c r="A24" s="3497"/>
      <c r="B24" s="3495" t="s">
        <v>965</v>
      </c>
      <c r="C24" s="3494"/>
    </row>
    <row r="25" spans="1:3" ht="13.5">
      <c r="A25" s="3497"/>
      <c r="B25" s="3496" t="s">
        <v>966</v>
      </c>
      <c r="C25" s="1532" t="s">
        <v>967</v>
      </c>
    </row>
    <row r="26" spans="1:3" ht="13.5">
      <c r="A26" s="3497"/>
      <c r="B26" s="3496"/>
      <c r="C26" s="1532" t="s">
        <v>968</v>
      </c>
    </row>
    <row r="27" spans="1:3" ht="13.5">
      <c r="A27" s="3497"/>
      <c r="B27" s="3496"/>
      <c r="C27" s="1532" t="s">
        <v>969</v>
      </c>
    </row>
    <row r="28" spans="1:3" ht="13.5">
      <c r="A28" s="3497"/>
      <c r="B28" s="3496"/>
      <c r="C28" s="1532" t="s">
        <v>970</v>
      </c>
    </row>
    <row r="29" spans="1:3" ht="13.5">
      <c r="A29" s="3497"/>
      <c r="B29" s="3496"/>
      <c r="C29" s="1532" t="s">
        <v>971</v>
      </c>
    </row>
    <row r="30" spans="1:3" ht="13.5">
      <c r="A30" s="3497"/>
      <c r="B30" s="3496"/>
      <c r="C30" s="1532" t="s">
        <v>972</v>
      </c>
    </row>
    <row r="31" spans="1:3" ht="13.5">
      <c r="A31" s="3497"/>
      <c r="B31" s="3496"/>
      <c r="C31" s="1532" t="s">
        <v>973</v>
      </c>
    </row>
    <row r="32" spans="1:3" ht="13.5">
      <c r="A32" s="3497"/>
      <c r="B32" s="3496"/>
      <c r="C32" s="1532" t="s">
        <v>974</v>
      </c>
    </row>
    <row r="33" spans="1:3" ht="13.5">
      <c r="A33" s="3497"/>
      <c r="B33" s="349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45268</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1" t="s">
        <v>2159</v>
      </c>
      <c r="B17" s="3501"/>
      <c r="C17" s="3501"/>
      <c r="D17" s="3501"/>
      <c r="E17" s="3501"/>
      <c r="F17" s="3501"/>
      <c r="G17" s="3501"/>
      <c r="H17" s="3501"/>
    </row>
    <row r="18" spans="1:8" ht="24" customHeight="1">
      <c r="A18" s="3502" t="s">
        <v>2160</v>
      </c>
      <c r="B18" s="3502"/>
      <c r="C18" s="3502"/>
      <c r="D18" s="2343"/>
      <c r="E18" s="3503" t="s">
        <v>2161</v>
      </c>
      <c r="F18" s="3502"/>
      <c r="G18" s="3502"/>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2023-12-08T11:08:47Z</dcterms:modified>
</cp:coreProperties>
</file>