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昌平未来科学城项目\"/>
    </mc:Choice>
  </mc:AlternateContent>
  <bookViews>
    <workbookView xWindow="11628" yWindow="48" windowWidth="11388" windowHeight="9588" tabRatio="899"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项目经济指标表" sheetId="77" r:id="rId17"/>
    <sheet name="系统读取表" sheetId="74" r:id="rId18"/>
    <sheet name="结果表" sheetId="9" r:id="rId19"/>
    <sheet name="成本法" sheetId="68" r:id="rId20"/>
    <sheet name="成本法 (元)" sheetId="69" state="hidden" r:id="rId21"/>
    <sheet name="假设开发法" sheetId="12" r:id="rId22"/>
    <sheet name="收益法-办公自持" sheetId="79" r:id="rId23"/>
    <sheet name="收益法-地下车库" sheetId="80" r:id="rId24"/>
    <sheet name="收益法-商业"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r:id="rId35"/>
    <sheet name="土地案例" sheetId="78"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4" hidden="1">'土地比较法-住宅、综合'!$A$1:$L$49</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'收益法-办公自持'!$A$1:$AK$69</definedName>
    <definedName name="_xlnm.Print_Area" localSheetId="23">'收益法-地下车库'!$A$1:$AK$69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14" i="1" l="1"/>
  <c r="L11" i="1"/>
  <c r="L10" i="1"/>
  <c r="L9" i="1"/>
  <c r="L8" i="1"/>
  <c r="E88" i="39"/>
  <c r="D88" i="39"/>
  <c r="E104" i="21"/>
  <c r="F104" i="21" s="1"/>
  <c r="G104" i="21" s="1"/>
  <c r="H104" i="21" s="1"/>
  <c r="I104" i="21" s="1"/>
  <c r="D104" i="21"/>
  <c r="C33" i="21"/>
  <c r="C34" i="34" s="1"/>
  <c r="E58" i="39"/>
  <c r="C39" i="39"/>
  <c r="C11" i="39"/>
  <c r="T21" i="1"/>
  <c r="AC12" i="39"/>
  <c r="AB12" i="39"/>
  <c r="Z12" i="39"/>
  <c r="W12" i="39"/>
  <c r="U12" i="39"/>
  <c r="Q12" i="39"/>
  <c r="AA12" i="39"/>
  <c r="C5" i="34"/>
  <c r="E105" i="34"/>
  <c r="F105" i="34" s="1"/>
  <c r="G105" i="34" s="1"/>
  <c r="H105" i="34" s="1"/>
  <c r="I105" i="34" s="1"/>
  <c r="J105" i="34" s="1"/>
  <c r="K105" i="34" s="1"/>
  <c r="K104" i="34"/>
  <c r="J104" i="34"/>
  <c r="F104" i="34"/>
  <c r="G104" i="34" s="1"/>
  <c r="H104" i="34" s="1"/>
  <c r="I104" i="34" s="1"/>
  <c r="E104" i="34"/>
  <c r="D105" i="34"/>
  <c r="K11" i="34"/>
  <c r="K10" i="34"/>
  <c r="N60" i="34"/>
  <c r="M60" i="34"/>
  <c r="K60" i="34"/>
  <c r="J60" i="34"/>
  <c r="H60" i="34"/>
  <c r="G60" i="34"/>
  <c r="E60" i="34"/>
  <c r="D60" i="34"/>
  <c r="S12" i="39" l="1"/>
  <c r="E119" i="39" l="1"/>
  <c r="F119" i="39" s="1"/>
  <c r="G119" i="39" s="1"/>
  <c r="H119" i="39" s="1"/>
  <c r="I119" i="39" s="1"/>
  <c r="D119" i="39"/>
  <c r="I118" i="39"/>
  <c r="F118" i="39"/>
  <c r="G118" i="39" s="1"/>
  <c r="H118" i="39" s="1"/>
  <c r="E118" i="39"/>
  <c r="I39" i="39"/>
  <c r="G39" i="39"/>
  <c r="E39" i="39"/>
  <c r="E72" i="39"/>
  <c r="F72" i="39"/>
  <c r="G72" i="39" s="1"/>
  <c r="H72" i="39" s="1"/>
  <c r="I72" i="39" s="1"/>
  <c r="J72" i="39" s="1"/>
  <c r="K72" i="39" s="1"/>
  <c r="L72" i="39" s="1"/>
  <c r="M72" i="39" s="1"/>
  <c r="N72" i="39" s="1"/>
  <c r="O72" i="39" s="1"/>
  <c r="D72" i="39"/>
  <c r="I47" i="39"/>
  <c r="G47" i="39"/>
  <c r="E47" i="39"/>
  <c r="I7" i="39"/>
  <c r="G7" i="39"/>
  <c r="E7" i="39"/>
  <c r="I5" i="39"/>
  <c r="G5" i="39"/>
  <c r="E5" i="39"/>
  <c r="C11" i="21" l="1"/>
  <c r="C11" i="34" s="1"/>
  <c r="F103" i="21"/>
  <c r="G103" i="21" s="1"/>
  <c r="H103" i="21" s="1"/>
  <c r="I103" i="21" s="1"/>
  <c r="E103" i="21"/>
  <c r="D8" i="12" l="1"/>
  <c r="AH10" i="1"/>
  <c r="Q72" i="80"/>
  <c r="F60" i="80"/>
  <c r="Q59" i="80"/>
  <c r="K59" i="80"/>
  <c r="P74" i="80" s="1"/>
  <c r="F59" i="80"/>
  <c r="Q58" i="80"/>
  <c r="Q51" i="80"/>
  <c r="J50" i="80"/>
  <c r="M47" i="80"/>
  <c r="D46" i="80"/>
  <c r="F34" i="80"/>
  <c r="F62" i="80" s="1"/>
  <c r="F33" i="80"/>
  <c r="F61" i="80" s="1"/>
  <c r="F32" i="80"/>
  <c r="F31" i="80"/>
  <c r="F28" i="80"/>
  <c r="C28" i="80" s="1"/>
  <c r="F23" i="80"/>
  <c r="F21" i="80"/>
  <c r="M20" i="80"/>
  <c r="F20" i="80"/>
  <c r="M19" i="80"/>
  <c r="M18" i="80"/>
  <c r="F18" i="80"/>
  <c r="M17" i="80"/>
  <c r="F17" i="80"/>
  <c r="F15" i="80"/>
  <c r="G1"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1" i="79"/>
  <c r="U9" i="1"/>
  <c r="T20" i="1"/>
  <c r="T19" i="1"/>
  <c r="U20" i="1"/>
  <c r="D23" i="80" l="1"/>
  <c r="D22" i="80"/>
  <c r="D24" i="80"/>
  <c r="J51" i="80"/>
  <c r="P61" i="80"/>
  <c r="D23" i="79"/>
  <c r="D22" i="79"/>
  <c r="D24" i="79"/>
  <c r="J51" i="79"/>
  <c r="P61" i="79"/>
  <c r="W20" i="1"/>
  <c r="F43" i="80"/>
  <c r="M24" i="80"/>
  <c r="M6" i="80"/>
  <c r="M26" i="80"/>
  <c r="M9" i="80"/>
  <c r="F26" i="80"/>
  <c r="L47" i="80"/>
  <c r="M28" i="80"/>
  <c r="F9" i="80"/>
  <c r="M8" i="80"/>
  <c r="M29" i="80"/>
  <c r="F6" i="80"/>
  <c r="M23" i="80"/>
  <c r="F37" i="80"/>
  <c r="F43" i="79"/>
  <c r="M24" i="79"/>
  <c r="M6" i="79"/>
  <c r="M26" i="79"/>
  <c r="M9" i="79"/>
  <c r="F26" i="79"/>
  <c r="L47" i="79"/>
  <c r="M28" i="79"/>
  <c r="F9" i="79"/>
  <c r="M8" i="79"/>
  <c r="M29" i="79"/>
  <c r="F6" i="79"/>
  <c r="M23" i="79"/>
  <c r="F37" i="79"/>
  <c r="L48" i="80"/>
  <c r="F40" i="80"/>
  <c r="F8" i="80"/>
  <c r="F13" i="80"/>
  <c r="F36" i="80"/>
  <c r="F16" i="80"/>
  <c r="C76" i="80"/>
  <c r="F42" i="80"/>
  <c r="M22" i="80"/>
  <c r="F7" i="80"/>
  <c r="J15" i="80"/>
  <c r="F38" i="80"/>
  <c r="M27" i="80"/>
  <c r="L48" i="79"/>
  <c r="F40" i="79"/>
  <c r="F8" i="79"/>
  <c r="F13" i="79"/>
  <c r="F36" i="79"/>
  <c r="F16" i="79"/>
  <c r="C76" i="79"/>
  <c r="F42" i="79"/>
  <c r="M22" i="79"/>
  <c r="F7" i="79"/>
  <c r="J15" i="79"/>
  <c r="F38" i="79"/>
  <c r="M27" i="79"/>
  <c r="J53" i="79" l="1"/>
  <c r="L56" i="79" s="1"/>
  <c r="J53" i="80"/>
  <c r="F65" i="80"/>
  <c r="C6" i="80"/>
  <c r="F66" i="80"/>
  <c r="F50" i="80"/>
  <c r="M7" i="80"/>
  <c r="J6" i="80" s="1"/>
  <c r="N59" i="80"/>
  <c r="L58" i="80"/>
  <c r="M59" i="80"/>
  <c r="L59" i="80" s="1"/>
  <c r="Q71" i="80"/>
  <c r="C27" i="80"/>
  <c r="F64" i="80"/>
  <c r="F51" i="80"/>
  <c r="C49" i="80" s="1"/>
  <c r="F68" i="80"/>
  <c r="F71" i="80"/>
  <c r="L56" i="80"/>
  <c r="J57" i="80"/>
  <c r="J55" i="80" s="1"/>
  <c r="J58" i="80" s="1"/>
  <c r="Q50" i="80" s="1"/>
  <c r="I54" i="80"/>
  <c r="F65" i="79"/>
  <c r="C6" i="79"/>
  <c r="F66" i="79"/>
  <c r="F50" i="79"/>
  <c r="M7" i="79"/>
  <c r="J6" i="79" s="1"/>
  <c r="N59" i="79"/>
  <c r="L58" i="79"/>
  <c r="M59" i="79"/>
  <c r="L59" i="79" s="1"/>
  <c r="Q71" i="79"/>
  <c r="C27" i="79"/>
  <c r="F64" i="79"/>
  <c r="F51" i="79"/>
  <c r="F68" i="79"/>
  <c r="F71" i="79"/>
  <c r="J57" i="79"/>
  <c r="J55" i="79" s="1"/>
  <c r="J58" i="79" s="1"/>
  <c r="Q50" i="79" s="1"/>
  <c r="I54" i="79"/>
  <c r="C17" i="80"/>
  <c r="C17" i="79"/>
  <c r="F1" i="79" l="1"/>
  <c r="Q52" i="79"/>
  <c r="F1" i="80"/>
  <c r="Q52" i="80"/>
  <c r="Q61" i="80"/>
  <c r="Q74" i="80"/>
  <c r="Q60" i="80"/>
  <c r="Q73" i="80"/>
  <c r="C49" i="79"/>
  <c r="Q61" i="79"/>
  <c r="Q74" i="79"/>
  <c r="Q60" i="79"/>
  <c r="Q73" i="79"/>
  <c r="B21" i="1" l="1"/>
  <c r="N14" i="1"/>
  <c r="N9" i="1"/>
  <c r="N10" i="1"/>
  <c r="N11" i="1"/>
  <c r="N8" i="1"/>
  <c r="N7" i="1"/>
  <c r="F21" i="6" l="1"/>
  <c r="F24" i="6"/>
  <c r="L18" i="77" l="1"/>
  <c r="E18" i="77"/>
  <c r="D18" i="77"/>
  <c r="B18" i="77"/>
  <c r="D17" i="77" l="1"/>
  <c r="E17" i="77"/>
  <c r="B17" i="77"/>
  <c r="B15" i="77"/>
  <c r="AL17" i="3"/>
  <c r="AL21" i="3"/>
  <c r="AN21" i="3"/>
  <c r="AN22" i="3"/>
  <c r="AN23" i="3"/>
  <c r="AT18" i="3"/>
  <c r="AT21" i="3"/>
  <c r="AT22" i="3"/>
  <c r="AH16" i="3"/>
  <c r="AH23" i="3"/>
  <c r="AD21" i="3"/>
  <c r="AD22" i="3"/>
  <c r="AD23" i="3"/>
  <c r="O14" i="3"/>
  <c r="O15" i="3"/>
  <c r="O16" i="3"/>
  <c r="O17" i="3"/>
  <c r="O19" i="3"/>
  <c r="Q21" i="3"/>
  <c r="Q22" i="3"/>
  <c r="Q23" i="3"/>
  <c r="S21" i="3"/>
  <c r="S22" i="3"/>
  <c r="S23" i="3"/>
  <c r="O13" i="3"/>
  <c r="M14" i="3"/>
  <c r="M17" i="3"/>
  <c r="M19" i="3"/>
  <c r="M13" i="3"/>
  <c r="K15" i="3"/>
  <c r="I16" i="3"/>
  <c r="I18" i="3"/>
  <c r="I20" i="3"/>
  <c r="A3" i="3"/>
  <c r="C11" i="4"/>
  <c r="B25" i="77"/>
  <c r="L15" i="77"/>
  <c r="C15" i="77" l="1"/>
  <c r="D15" i="77"/>
  <c r="E15" i="77"/>
  <c r="G15" i="77"/>
  <c r="H15" i="77"/>
  <c r="J15" i="77"/>
  <c r="F15" i="77"/>
  <c r="K15" i="77"/>
  <c r="L7" i="77"/>
  <c r="L13" i="77"/>
  <c r="L14" i="77"/>
  <c r="I12" i="77" l="1"/>
  <c r="I15" i="77" s="1"/>
  <c r="L4" i="77"/>
  <c r="L5" i="77"/>
  <c r="L6" i="77"/>
  <c r="L8" i="77"/>
  <c r="L9" i="77"/>
  <c r="L10" i="77"/>
  <c r="L11" i="77"/>
  <c r="L1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Y8" i="71" s="1"/>
  <c r="Z8" i="71" s="1"/>
  <c r="Q11" i="71"/>
  <c r="F10" i="71"/>
  <c r="F9" i="71" s="1"/>
  <c r="F8" i="71" s="1"/>
  <c r="P11" i="71"/>
  <c r="O11" i="71"/>
  <c r="N11" i="71"/>
  <c r="A2" i="53"/>
  <c r="K59" i="67"/>
  <c r="K59" i="15"/>
  <c r="P74" i="15" s="1"/>
  <c r="P61"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7"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O15" i="71"/>
  <c r="N15" i="71"/>
  <c r="X12" i="71" s="1"/>
  <c r="D15" i="71"/>
  <c r="O14" i="71"/>
  <c r="C14" i="71" s="1"/>
  <c r="N14" i="71"/>
  <c r="B16" i="71"/>
  <c r="B17" i="71" s="1"/>
  <c r="B18" i="71" s="1"/>
  <c r="S18" i="71" s="1"/>
  <c r="X15" i="71"/>
  <c r="E17" i="71"/>
  <c r="E18" i="71" s="1"/>
  <c r="U18" i="71" s="1"/>
  <c r="B20" i="71"/>
  <c r="B21" i="71" s="1"/>
  <c r="B22" i="71" s="1"/>
  <c r="S22" i="71" s="1"/>
  <c r="X19" i="71"/>
  <c r="B25" i="71"/>
  <c r="B26" i="71" s="1"/>
  <c r="S26" i="71"/>
  <c r="E24" i="71"/>
  <c r="E25" i="71" s="1"/>
  <c r="E26" i="71"/>
  <c r="U26" i="71" s="1"/>
  <c r="AA23" i="71"/>
  <c r="N54" i="71"/>
  <c r="E20" i="71"/>
  <c r="E21" i="71" s="1"/>
  <c r="E22" i="71"/>
  <c r="U22" i="71" s="1"/>
  <c r="AA19" i="71"/>
  <c r="C16" i="71"/>
  <c r="Y15" i="71"/>
  <c r="Z15" i="71" s="1"/>
  <c r="AB15" i="71"/>
  <c r="AA16" i="71"/>
  <c r="AA17" i="71"/>
  <c r="AA18" i="71"/>
  <c r="C20" i="71"/>
  <c r="C21" i="71"/>
  <c r="X20" i="71"/>
  <c r="X21" i="71"/>
  <c r="X22" i="71"/>
  <c r="C24" i="71"/>
  <c r="C25" i="71" s="1"/>
  <c r="Y23" i="71"/>
  <c r="Z23" i="71"/>
  <c r="AB23" i="71"/>
  <c r="X24" i="71"/>
  <c r="AA24" i="71"/>
  <c r="F37" i="71"/>
  <c r="F38" i="71" s="1"/>
  <c r="V38" i="71" s="1"/>
  <c r="Y3" i="71"/>
  <c r="Z3" i="71" s="1"/>
  <c r="B14" i="71"/>
  <c r="B13" i="71"/>
  <c r="B12" i="71" s="1"/>
  <c r="X11" i="71"/>
  <c r="X13" i="71"/>
  <c r="C17" i="71"/>
  <c r="D16" i="71"/>
  <c r="D20" i="71"/>
  <c r="D24" i="71"/>
  <c r="C29" i="71"/>
  <c r="D28" i="71"/>
  <c r="C33" i="71"/>
  <c r="D33" i="71"/>
  <c r="D32" i="71"/>
  <c r="C37" i="71"/>
  <c r="D36" i="71"/>
  <c r="P14" i="71"/>
  <c r="AA10" i="71" s="1"/>
  <c r="E41" i="71"/>
  <c r="E42" i="71"/>
  <c r="U42" i="71" s="1"/>
  <c r="E45" i="71"/>
  <c r="E46" i="71" s="1"/>
  <c r="U46" i="71"/>
  <c r="E49" i="71"/>
  <c r="E50" i="71"/>
  <c r="U50" i="71" s="1"/>
  <c r="U54" i="71"/>
  <c r="E53" i="71"/>
  <c r="Q14" i="71"/>
  <c r="C41" i="71"/>
  <c r="C45" i="71"/>
  <c r="D44" i="71"/>
  <c r="C49" i="71"/>
  <c r="D48" i="71"/>
  <c r="N53" i="71"/>
  <c r="B52" i="71"/>
  <c r="T54" i="71"/>
  <c r="O54" i="71"/>
  <c r="D54" i="71"/>
  <c r="C53" i="71"/>
  <c r="O53" i="71" s="1"/>
  <c r="Q54" i="71"/>
  <c r="C57" i="71"/>
  <c r="E57" i="71"/>
  <c r="E56" i="71"/>
  <c r="D58" i="71"/>
  <c r="C61" i="71"/>
  <c r="C60" i="71" s="1"/>
  <c r="D60" i="71" s="1"/>
  <c r="E61" i="71"/>
  <c r="E60" i="71"/>
  <c r="D62" i="71"/>
  <c r="C65" i="71"/>
  <c r="C64" i="71" s="1"/>
  <c r="D64" i="71" s="1"/>
  <c r="E65" i="71"/>
  <c r="E64" i="71"/>
  <c r="D66" i="71"/>
  <c r="C69" i="71"/>
  <c r="D69" i="71" s="1"/>
  <c r="C73" i="71"/>
  <c r="T14" i="71"/>
  <c r="C13" i="71"/>
  <c r="S14" i="71"/>
  <c r="F14" i="71"/>
  <c r="F13" i="71"/>
  <c r="F12" i="71" s="1"/>
  <c r="AB11" i="71"/>
  <c r="AB12" i="71"/>
  <c r="AB13" i="71"/>
  <c r="AB14" i="71"/>
  <c r="E14" i="71"/>
  <c r="E13" i="71" s="1"/>
  <c r="E12" i="71" s="1"/>
  <c r="AA11" i="71"/>
  <c r="AA12" i="71"/>
  <c r="AA13" i="71"/>
  <c r="AA14" i="71"/>
  <c r="D14" i="71"/>
  <c r="U14" i="71" s="1"/>
  <c r="C52" i="71"/>
  <c r="D52" i="71" s="1"/>
  <c r="D53" i="71"/>
  <c r="C50" i="71"/>
  <c r="D49" i="71"/>
  <c r="C68" i="71"/>
  <c r="D68" i="71" s="1"/>
  <c r="D61" i="71"/>
  <c r="N51" i="71"/>
  <c r="N52" i="71"/>
  <c r="D73" i="71"/>
  <c r="C72" i="71"/>
  <c r="D72" i="71" s="1"/>
  <c r="D65"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P51" i="71"/>
  <c r="P52" i="71"/>
  <c r="O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B86" i="43" s="1"/>
  <c r="C22" i="20"/>
  <c r="B75" i="43" s="1"/>
  <c r="B55" i="43"/>
  <c r="C25" i="40"/>
  <c r="S25" i="40"/>
  <c r="S18" i="36"/>
  <c r="U18" i="36"/>
  <c r="H25" i="40"/>
  <c r="J25" i="40"/>
  <c r="H30" i="39"/>
  <c r="U30" i="39" s="1"/>
  <c r="J30" i="39"/>
  <c r="AC30" i="39" s="1"/>
  <c r="J18" i="36"/>
  <c r="AC18" i="36" s="1"/>
  <c r="H18" i="35"/>
  <c r="AB18" i="35" s="1"/>
  <c r="S18" i="35"/>
  <c r="J18" i="35"/>
  <c r="F77" i="37"/>
  <c r="G77" i="37" s="1"/>
  <c r="H21" i="37"/>
  <c r="F21" i="37"/>
  <c r="AA21" i="37" s="1"/>
  <c r="F83" i="33"/>
  <c r="H21" i="33"/>
  <c r="U21" i="33" s="1"/>
  <c r="F21" i="33"/>
  <c r="H1" i="69"/>
  <c r="AC25" i="40"/>
  <c r="W25" i="40"/>
  <c r="AB25" i="40"/>
  <c r="U25" i="40"/>
  <c r="AB30" i="39"/>
  <c r="W18" i="36"/>
  <c r="AB21" i="37"/>
  <c r="U21" i="37"/>
  <c r="S21" i="37"/>
  <c r="AB21" i="33"/>
  <c r="AA21" i="33"/>
  <c r="S21" i="33"/>
  <c r="U18" i="35"/>
  <c r="AC18" i="35"/>
  <c r="W18" i="35"/>
  <c r="J21" i="37"/>
  <c r="AC21" i="37" s="1"/>
  <c r="G83" i="33"/>
  <c r="J21" i="33"/>
  <c r="AC21" i="33" s="1"/>
  <c r="H21" i="21"/>
  <c r="AB21" i="21" s="1"/>
  <c r="F38" i="69"/>
  <c r="E37" i="69"/>
  <c r="F36" i="69"/>
  <c r="F35" i="69"/>
  <c r="F21" i="69"/>
  <c r="C21" i="69" s="1"/>
  <c r="F20" i="69"/>
  <c r="E10" i="69"/>
  <c r="E9" i="69"/>
  <c r="C7" i="69"/>
  <c r="W21" i="37"/>
  <c r="W21" i="33"/>
  <c r="J21" i="21"/>
  <c r="AC21" i="21" s="1"/>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J51" i="15" s="1"/>
  <c r="D12" i="31"/>
  <c r="E12" i="31" s="1"/>
  <c r="F12" i="3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J5" i="3" s="1"/>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c r="D2" i="52"/>
  <c r="B46" i="72"/>
  <c r="B8" i="53"/>
  <c r="B23" i="72"/>
  <c r="L4" i="9"/>
  <c r="B17" i="72"/>
  <c r="B15" i="72"/>
  <c r="A3" i="51"/>
  <c r="C8" i="11"/>
  <c r="B2" i="49"/>
  <c r="E17" i="49" s="1"/>
  <c r="B40" i="48"/>
  <c r="B3" i="72" s="1"/>
  <c r="I2" i="43"/>
  <c r="N1" i="43"/>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5" i="3" s="1"/>
  <c r="BO17" i="3"/>
  <c r="BN13" i="3"/>
  <c r="BN14" i="3"/>
  <c r="BN15" i="3"/>
  <c r="BN16" i="3"/>
  <c r="BN17" i="3"/>
  <c r="BP13" i="3"/>
  <c r="BP14" i="3"/>
  <c r="BP15" i="3"/>
  <c r="BP5" i="3" s="1"/>
  <c r="BP16" i="3"/>
  <c r="BP17" i="3"/>
  <c r="F23" i="15"/>
  <c r="D24" i="15"/>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C5" i="3" s="1"/>
  <c r="BD15" i="3"/>
  <c r="BE15" i="3"/>
  <c r="BF15" i="3"/>
  <c r="BG15" i="3"/>
  <c r="BH15" i="3"/>
  <c r="BI15" i="3"/>
  <c r="BJ15" i="3"/>
  <c r="BK15" i="3"/>
  <c r="BB16" i="3"/>
  <c r="BC16" i="3"/>
  <c r="BD16" i="3"/>
  <c r="BE16" i="3"/>
  <c r="BF16" i="3"/>
  <c r="BG16" i="3"/>
  <c r="BH16" i="3"/>
  <c r="BI16" i="3"/>
  <c r="BJ16" i="3"/>
  <c r="BK16" i="3"/>
  <c r="BB17" i="3"/>
  <c r="BC17" i="3"/>
  <c r="BD17" i="3"/>
  <c r="BE17" i="3"/>
  <c r="BA17" i="3" s="1"/>
  <c r="BF17" i="3"/>
  <c r="BG17" i="3"/>
  <c r="BH17" i="3"/>
  <c r="BI17" i="3"/>
  <c r="BJ17" i="3"/>
  <c r="BK17" i="3"/>
  <c r="BC10" i="3"/>
  <c r="BD10" i="3"/>
  <c r="BB10" i="3"/>
  <c r="BL16" i="3"/>
  <c r="H13" i="3"/>
  <c r="AC13" i="3"/>
  <c r="H14" i="3"/>
  <c r="AC14" i="3"/>
  <c r="H15" i="3"/>
  <c r="AC15" i="3"/>
  <c r="H16" i="3"/>
  <c r="AC16" i="3"/>
  <c r="H17" i="3"/>
  <c r="AC17" i="3"/>
  <c r="AT5" i="3"/>
  <c r="I5" i="3"/>
  <c r="F19" i="6" s="1"/>
  <c r="E19" i="6" s="1"/>
  <c r="K6" i="1" s="1"/>
  <c r="M6" i="1" s="1"/>
  <c r="O6" i="1" s="1"/>
  <c r="AD5" i="3"/>
  <c r="AH5" i="3"/>
  <c r="E9" i="6"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4" i="39"/>
  <c r="J54" i="39" s="1"/>
  <c r="G54" i="39"/>
  <c r="H54" i="39" s="1"/>
  <c r="E54" i="39"/>
  <c r="F54"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J30" i="36"/>
  <c r="AC30" i="36" s="1"/>
  <c r="H30" i="36"/>
  <c r="F30" i="36"/>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9" i="39"/>
  <c r="W39" i="39" s="1"/>
  <c r="H39" i="39"/>
  <c r="AB39" i="39" s="1"/>
  <c r="F39" i="39"/>
  <c r="AA39"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8" i="39" s="1"/>
  <c r="D110" i="39"/>
  <c r="F35" i="39"/>
  <c r="AA35" i="39" s="1"/>
  <c r="D108" i="39"/>
  <c r="E108" i="39" s="1"/>
  <c r="D106" i="39"/>
  <c r="E106" i="39" s="1"/>
  <c r="F106" i="39" s="1"/>
  <c r="G106" i="39" s="1"/>
  <c r="H106" i="39" s="1"/>
  <c r="I106" i="39" s="1"/>
  <c r="J106" i="39" s="1"/>
  <c r="K106" i="39" s="1"/>
  <c r="L106" i="39" s="1"/>
  <c r="M106" i="39" s="1"/>
  <c r="D102" i="39"/>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J44" i="39" s="1"/>
  <c r="D127" i="39"/>
  <c r="E127" i="39" s="1"/>
  <c r="F127" i="39" s="1"/>
  <c r="G127" i="39" s="1"/>
  <c r="H127" i="39" s="1"/>
  <c r="I127" i="39" s="1"/>
  <c r="J127" i="39" s="1"/>
  <c r="K127" i="39" s="1"/>
  <c r="L127" i="39" s="1"/>
  <c r="M127" i="39" s="1"/>
  <c r="D123" i="39"/>
  <c r="E123" i="39" s="1"/>
  <c r="F123" i="39"/>
  <c r="G123" i="39" s="1"/>
  <c r="H123" i="39" s="1"/>
  <c r="I123" i="39" s="1"/>
  <c r="J123" i="39" s="1"/>
  <c r="K123" i="39" s="1"/>
  <c r="L123" i="39" s="1"/>
  <c r="M123" i="39" s="1"/>
  <c r="H36" i="39"/>
  <c r="AB36" i="39" s="1"/>
  <c r="B105" i="39"/>
  <c r="D98" i="39"/>
  <c r="J24" i="39"/>
  <c r="AC24" i="39" s="1"/>
  <c r="D96" i="39"/>
  <c r="E96" i="39" s="1"/>
  <c r="F96" i="39" s="1"/>
  <c r="D94" i="39"/>
  <c r="E94" i="39" s="1"/>
  <c r="D92" i="39"/>
  <c r="E92" i="39"/>
  <c r="F92" i="39" s="1"/>
  <c r="G92" i="39" s="1"/>
  <c r="D90" i="39"/>
  <c r="E90" i="39" s="1"/>
  <c r="F90" i="39" s="1"/>
  <c r="G90" i="39" s="1"/>
  <c r="B87" i="39"/>
  <c r="B85" i="39"/>
  <c r="B83" i="39"/>
  <c r="J13" i="39"/>
  <c r="M80" i="39"/>
  <c r="L80" i="39"/>
  <c r="K80" i="39"/>
  <c r="J80" i="39"/>
  <c r="I80" i="39"/>
  <c r="H80" i="39"/>
  <c r="G80" i="39"/>
  <c r="F80" i="39"/>
  <c r="E80" i="39"/>
  <c r="D80" i="39"/>
  <c r="C80" i="39"/>
  <c r="P49" i="39"/>
  <c r="P48" i="39"/>
  <c r="V47" i="39"/>
  <c r="T47" i="39"/>
  <c r="R47" i="39"/>
  <c r="P47" i="39"/>
  <c r="F45" i="39"/>
  <c r="AA45" i="39" s="1"/>
  <c r="J41" i="39"/>
  <c r="AC41" i="39" s="1"/>
  <c r="F41" i="39"/>
  <c r="AA41" i="39" s="1"/>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H30" i="21" s="1"/>
  <c r="B94" i="21"/>
  <c r="J29" i="21"/>
  <c r="AC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F22" i="6" s="1"/>
  <c r="P5" i="3"/>
  <c r="Q5" i="3"/>
  <c r="G22" i="6" s="1"/>
  <c r="R5" i="3"/>
  <c r="S5" i="3"/>
  <c r="G23" i="6" s="1"/>
  <c r="E23" i="6" s="1"/>
  <c r="T5" i="3"/>
  <c r="U5" i="3"/>
  <c r="V5" i="3"/>
  <c r="W5" i="3"/>
  <c r="X5" i="3"/>
  <c r="Y5" i="3"/>
  <c r="Z5" i="3"/>
  <c r="AA5" i="3"/>
  <c r="AB5" i="3"/>
  <c r="H585" i="3"/>
  <c r="G585" i="3"/>
  <c r="H586" i="3"/>
  <c r="G586" i="3"/>
  <c r="H587" i="3"/>
  <c r="G587" i="3"/>
  <c r="F5" i="3"/>
  <c r="F34" i="21"/>
  <c r="AA34" i="21" s="1"/>
  <c r="H38" i="21"/>
  <c r="U38" i="21" s="1"/>
  <c r="H43" i="21"/>
  <c r="AB43" i="21" s="1"/>
  <c r="F38" i="21"/>
  <c r="S38" i="21" s="1"/>
  <c r="F36" i="21"/>
  <c r="S36" i="21" s="1"/>
  <c r="F39" i="21"/>
  <c r="AA39" i="21" s="1"/>
  <c r="J40" i="21"/>
  <c r="W40" i="21" s="1"/>
  <c r="H35" i="21"/>
  <c r="AB35" i="21" s="1"/>
  <c r="J8" i="21"/>
  <c r="AC8" i="21" s="1"/>
  <c r="H8" i="21"/>
  <c r="U8" i="21"/>
  <c r="H10" i="21"/>
  <c r="AB10" i="21" s="1"/>
  <c r="H39" i="21"/>
  <c r="U39" i="21" s="1"/>
  <c r="J34" i="21"/>
  <c r="W34" i="21" s="1"/>
  <c r="H36" i="21"/>
  <c r="U36" i="21" s="1"/>
  <c r="F35" i="21"/>
  <c r="AA35" i="21" s="1"/>
  <c r="J10" i="21"/>
  <c r="AC10" i="21" s="1"/>
  <c r="H26" i="21"/>
  <c r="AB26" i="21"/>
  <c r="J19" i="21"/>
  <c r="W19" i="21" s="1"/>
  <c r="J12" i="21"/>
  <c r="AC12" i="21" s="1"/>
  <c r="H12" i="21"/>
  <c r="AB12" i="21" s="1"/>
  <c r="J26" i="21"/>
  <c r="W26" i="21" s="1"/>
  <c r="F26" i="21"/>
  <c r="S26" i="21" s="1"/>
  <c r="AB41" i="21"/>
  <c r="S41" i="21"/>
  <c r="AA41" i="21"/>
  <c r="F37" i="39"/>
  <c r="S37" i="39" s="1"/>
  <c r="H37" i="39"/>
  <c r="AB37" i="39" s="1"/>
  <c r="J37" i="39"/>
  <c r="AC37" i="39" s="1"/>
  <c r="W41" i="39"/>
  <c r="U30" i="37"/>
  <c r="E103" i="37"/>
  <c r="F103" i="37" s="1"/>
  <c r="G103" i="37" s="1"/>
  <c r="H103" i="37" s="1"/>
  <c r="I103" i="37" s="1"/>
  <c r="J103" i="37" s="1"/>
  <c r="K103" i="37" s="1"/>
  <c r="L103" i="37" s="1"/>
  <c r="M103" i="37" s="1"/>
  <c r="F39" i="37"/>
  <c r="S39" i="37"/>
  <c r="F29" i="36"/>
  <c r="AA29" i="36" s="1"/>
  <c r="W8" i="36"/>
  <c r="F16" i="36"/>
  <c r="AA16" i="36"/>
  <c r="AA31" i="36"/>
  <c r="U31" i="36"/>
  <c r="J33" i="36"/>
  <c r="W33" i="36" s="1"/>
  <c r="H22" i="35"/>
  <c r="AB22" i="35" s="1"/>
  <c r="AC27" i="35"/>
  <c r="U31" i="35"/>
  <c r="W22" i="35"/>
  <c r="S31" i="35"/>
  <c r="F36" i="34"/>
  <c r="AA36" i="34" s="1"/>
  <c r="J35" i="34"/>
  <c r="S34" i="34"/>
  <c r="H39" i="33"/>
  <c r="AB39" i="33" s="1"/>
  <c r="F26" i="33"/>
  <c r="AA26" i="33" s="1"/>
  <c r="S9" i="33"/>
  <c r="U33" i="33"/>
  <c r="U35" i="33"/>
  <c r="W33" i="33"/>
  <c r="W39" i="33"/>
  <c r="H39" i="37"/>
  <c r="AB39" i="37" s="1"/>
  <c r="S27" i="35"/>
  <c r="F11" i="40"/>
  <c r="AA11" i="40"/>
  <c r="H11" i="40"/>
  <c r="AB11" i="40"/>
  <c r="AB39" i="40"/>
  <c r="AA9" i="40"/>
  <c r="U9" i="40"/>
  <c r="U38" i="40"/>
  <c r="W31" i="40"/>
  <c r="S38" i="40"/>
  <c r="F43" i="39"/>
  <c r="AA43" i="39" s="1"/>
  <c r="H41" i="39"/>
  <c r="AB41" i="39" s="1"/>
  <c r="H40" i="39"/>
  <c r="U40" i="39" s="1"/>
  <c r="S39" i="39"/>
  <c r="S35" i="39"/>
  <c r="H35" i="39"/>
  <c r="U35" i="39" s="1"/>
  <c r="E110" i="39"/>
  <c r="E102" i="39"/>
  <c r="F102" i="39" s="1"/>
  <c r="G102"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J18" i="39"/>
  <c r="AC18" i="39" s="1"/>
  <c r="J28" i="39"/>
  <c r="AC28" i="39" s="1"/>
  <c r="F11" i="21"/>
  <c r="S11" i="21" s="1"/>
  <c r="C26" i="39"/>
  <c r="C28" i="39"/>
  <c r="C22" i="39"/>
  <c r="S41" i="39"/>
  <c r="C16"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5" i="39"/>
  <c r="F38" i="39"/>
  <c r="AA38"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S35" i="34"/>
  <c r="F28" i="34"/>
  <c r="AA28" i="34" s="1"/>
  <c r="F27" i="34"/>
  <c r="AA27" i="34" s="1"/>
  <c r="F25" i="34"/>
  <c r="S25" i="34" s="1"/>
  <c r="H23" i="34"/>
  <c r="U23" i="34" s="1"/>
  <c r="J23" i="34"/>
  <c r="AC23" i="34" s="1"/>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F23" i="34"/>
  <c r="AA23" i="34" s="1"/>
  <c r="S41" i="33"/>
  <c r="G113" i="33"/>
  <c r="H113" i="33" s="1"/>
  <c r="I113" i="33" s="1"/>
  <c r="J113" i="33" s="1"/>
  <c r="K113" i="33" s="1"/>
  <c r="L113" i="33" s="1"/>
  <c r="M113" i="33" s="1"/>
  <c r="H37" i="33"/>
  <c r="AB37" i="33"/>
  <c r="H15" i="33"/>
  <c r="AB15" i="33"/>
  <c r="H11" i="33"/>
  <c r="AB11" i="33"/>
  <c r="F28" i="40"/>
  <c r="AA28" i="40"/>
  <c r="AA29" i="35"/>
  <c r="AA42" i="34"/>
  <c r="S42" i="34"/>
  <c r="AA38" i="34"/>
  <c r="J11" i="33"/>
  <c r="W11" i="33" s="1"/>
  <c r="S28" i="34"/>
  <c r="U23" i="40"/>
  <c r="J42" i="21"/>
  <c r="AC42" i="21" s="1"/>
  <c r="H42" i="21"/>
  <c r="U42" i="21" s="1"/>
  <c r="J44" i="34"/>
  <c r="AC44" i="34" s="1"/>
  <c r="F44" i="34"/>
  <c r="AA44" i="34" s="1"/>
  <c r="J10" i="35"/>
  <c r="W10" i="35" s="1"/>
  <c r="BL587" i="3"/>
  <c r="J14" i="21"/>
  <c r="W14" i="21"/>
  <c r="F14" i="21"/>
  <c r="S14" i="21"/>
  <c r="H14" i="21"/>
  <c r="U14" i="21"/>
  <c r="H28" i="21"/>
  <c r="AB28" i="21"/>
  <c r="F28" i="21"/>
  <c r="AA28" i="21"/>
  <c r="J28" i="21"/>
  <c r="W28"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4" i="39"/>
  <c r="AA44" i="39"/>
  <c r="H44" i="39"/>
  <c r="J15" i="39"/>
  <c r="AC15" i="39" s="1"/>
  <c r="F15" i="39"/>
  <c r="S15" i="39" s="1"/>
  <c r="H15" i="39"/>
  <c r="AB15"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4" i="39"/>
  <c r="AA14" i="39" s="1"/>
  <c r="J14" i="39"/>
  <c r="W14" i="39" s="1"/>
  <c r="H14" i="39"/>
  <c r="U14" i="39" s="1"/>
  <c r="H14" i="40"/>
  <c r="AB14" i="40"/>
  <c r="J14" i="40"/>
  <c r="W14" i="40"/>
  <c r="F14" i="40"/>
  <c r="AA14" i="40"/>
  <c r="J14" i="37"/>
  <c r="AC14" i="37"/>
  <c r="J27" i="37"/>
  <c r="AC27" i="37"/>
  <c r="AA13" i="35"/>
  <c r="U31" i="34"/>
  <c r="J36" i="37"/>
  <c r="AC36" i="37" s="1"/>
  <c r="G105" i="37"/>
  <c r="AB11" i="35"/>
  <c r="J10" i="36"/>
  <c r="AC10" i="36"/>
  <c r="AA14" i="37"/>
  <c r="W13" i="36"/>
  <c r="W11" i="36"/>
  <c r="AB46" i="34"/>
  <c r="AA14" i="34"/>
  <c r="AB45" i="33"/>
  <c r="U31" i="33"/>
  <c r="U13" i="33"/>
  <c r="AC28" i="21"/>
  <c r="BA586" i="3"/>
  <c r="BA585" i="3"/>
  <c r="H17" i="21"/>
  <c r="AB17" i="21" s="1"/>
  <c r="F15" i="21"/>
  <c r="S15" i="21" s="1"/>
  <c r="AB11" i="21"/>
  <c r="W37" i="39"/>
  <c r="U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7"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W23" i="35"/>
  <c r="W14" i="37"/>
  <c r="AB28" i="37"/>
  <c r="U33" i="37"/>
  <c r="U39" i="37"/>
  <c r="W26" i="37"/>
  <c r="AC8" i="37"/>
  <c r="U26" i="37"/>
  <c r="W47" i="34"/>
  <c r="AB13" i="34"/>
  <c r="AA13" i="33"/>
  <c r="AC31" i="33"/>
  <c r="AC45" i="33"/>
  <c r="W44" i="33"/>
  <c r="U11" i="33"/>
  <c r="W44" i="21"/>
  <c r="U26" i="21"/>
  <c r="AC46" i="21"/>
  <c r="U12" i="21"/>
  <c r="F43" i="33"/>
  <c r="AA43" i="33" s="1"/>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3" i="39"/>
  <c r="S13" i="39" s="1"/>
  <c r="J43" i="39"/>
  <c r="AC43"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4" i="39"/>
  <c r="AC44" i="39"/>
  <c r="W44" i="39"/>
  <c r="H38" i="39"/>
  <c r="AB38" i="39" s="1"/>
  <c r="AC38" i="39"/>
  <c r="W38" i="39"/>
  <c r="H26" i="39"/>
  <c r="AB26" i="39" s="1"/>
  <c r="J26" i="39"/>
  <c r="AC26" i="39" s="1"/>
  <c r="F26" i="39"/>
  <c r="AA26" i="39" s="1"/>
  <c r="F16" i="39"/>
  <c r="AA16" i="39" s="1"/>
  <c r="H16" i="39"/>
  <c r="U16" i="39" s="1"/>
  <c r="J16" i="39"/>
  <c r="W16" i="39" s="1"/>
  <c r="H42" i="39"/>
  <c r="AB42" i="39" s="1"/>
  <c r="S43" i="39"/>
  <c r="W8" i="39"/>
  <c r="J19" i="40"/>
  <c r="AC19" i="40"/>
  <c r="J50" i="40"/>
  <c r="B54" i="72"/>
  <c r="H103" i="9"/>
  <c r="D8" i="53"/>
  <c r="B16" i="53"/>
  <c r="B33" i="72"/>
  <c r="C7" i="37"/>
  <c r="C7" i="34"/>
  <c r="C7" i="36"/>
  <c r="W35" i="40"/>
  <c r="A4" i="52"/>
  <c r="B41" i="72" s="1"/>
  <c r="A12" i="52"/>
  <c r="B56" i="72" s="1"/>
  <c r="G4" i="4"/>
  <c r="I4" i="4"/>
  <c r="K5" i="4"/>
  <c r="B47" i="48" s="1"/>
  <c r="N2" i="43"/>
  <c r="F59" i="4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AZ317" i="3"/>
  <c r="AZ333" i="3"/>
  <c r="AZ549" i="3"/>
  <c r="AZ506" i="3"/>
  <c r="AZ496" i="3"/>
  <c r="G548" i="3"/>
  <c r="G538" i="3"/>
  <c r="G520" i="3"/>
  <c r="G502" i="3"/>
  <c r="BS5" i="3"/>
  <c r="BN5" i="3"/>
  <c r="AZ343" i="3"/>
  <c r="BK5" i="3"/>
  <c r="AZ350" i="3"/>
  <c r="AZ352" i="3"/>
  <c r="AZ360" i="3"/>
  <c r="AZ368" i="3"/>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35" i="21"/>
  <c r="AC35" i="21"/>
  <c r="U10" i="21"/>
  <c r="G9" i="1"/>
  <c r="F48" i="9"/>
  <c r="O52" i="9" s="1"/>
  <c r="AZ563" i="3"/>
  <c r="AZ501" i="3"/>
  <c r="W37" i="37"/>
  <c r="W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H44" i="34"/>
  <c r="AB44" i="34" s="1"/>
  <c r="F40" i="39"/>
  <c r="S40" i="39" s="1"/>
  <c r="J40" i="39"/>
  <c r="AC40" i="39" s="1"/>
  <c r="E98" i="39"/>
  <c r="F98" i="39" s="1"/>
  <c r="G98"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4" i="39"/>
  <c r="AA24" i="39" s="1"/>
  <c r="H27" i="36"/>
  <c r="U27" i="36"/>
  <c r="F27" i="36"/>
  <c r="AA27" i="36"/>
  <c r="H33" i="34"/>
  <c r="U33" i="34" s="1"/>
  <c r="F32" i="37"/>
  <c r="AA32" i="37"/>
  <c r="G96" i="37"/>
  <c r="H96" i="37"/>
  <c r="I96" i="37" s="1"/>
  <c r="J96" i="37" s="1"/>
  <c r="K96" i="37" s="1"/>
  <c r="L96" i="37" s="1"/>
  <c r="M96" i="37" s="1"/>
  <c r="F20" i="36"/>
  <c r="AA20" i="36" s="1"/>
  <c r="J33" i="34"/>
  <c r="AC33" i="34" s="1"/>
  <c r="H24" i="39"/>
  <c r="U24" i="39" s="1"/>
  <c r="D48" i="9"/>
  <c r="M52" i="9" s="1"/>
  <c r="H86" i="43"/>
  <c r="H82" i="43"/>
  <c r="H87" i="43"/>
  <c r="G29" i="6"/>
  <c r="AC26" i="33"/>
  <c r="W26" i="33"/>
  <c r="W27" i="34"/>
  <c r="AC27" i="34"/>
  <c r="AB34" i="36"/>
  <c r="U34" i="36"/>
  <c r="AB33" i="36"/>
  <c r="U33" i="36"/>
  <c r="AC13" i="39"/>
  <c r="W13"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F12" i="33"/>
  <c r="H13" i="39"/>
  <c r="AB13" i="39" s="1"/>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B10" i="1"/>
  <c r="E10" i="1" s="1"/>
  <c r="D1" i="66"/>
  <c r="E10" i="66"/>
  <c r="AZ80" i="3"/>
  <c r="AZ84" i="3"/>
  <c r="AZ88" i="3"/>
  <c r="AZ107" i="3"/>
  <c r="AZ111" i="3"/>
  <c r="K12" i="1"/>
  <c r="M12" i="1" s="1"/>
  <c r="S13" i="1"/>
  <c r="AR13" i="1" s="1"/>
  <c r="R13" i="1"/>
  <c r="J51" i="67"/>
  <c r="C42" i="1"/>
  <c r="H100" i="43"/>
  <c r="C30" i="66"/>
  <c r="E26" i="66" s="1"/>
  <c r="AC34" i="33"/>
  <c r="S22" i="31"/>
  <c r="J100" i="43"/>
  <c r="AB37" i="40"/>
  <c r="S35" i="40"/>
  <c r="U35" i="40"/>
  <c r="AC36" i="40"/>
  <c r="W38" i="40"/>
  <c r="AA32" i="40"/>
  <c r="S17" i="40"/>
  <c r="S23" i="40"/>
  <c r="AC17" i="40"/>
  <c r="AC15" i="40"/>
  <c r="AB27" i="40"/>
  <c r="S30" i="40"/>
  <c r="AA19" i="40"/>
  <c r="S28" i="40"/>
  <c r="U21" i="40"/>
  <c r="AB19" i="40"/>
  <c r="W43" i="39"/>
  <c r="W40" i="39"/>
  <c r="S44" i="39"/>
  <c r="S38" i="39"/>
  <c r="U36" i="39"/>
  <c r="J22" i="39"/>
  <c r="AC22" i="39" s="1"/>
  <c r="F22" i="39"/>
  <c r="S22" i="39" s="1"/>
  <c r="G96" i="39"/>
  <c r="H22" i="39"/>
  <c r="U22" i="39" s="1"/>
  <c r="S18" i="39"/>
  <c r="AC16" i="39"/>
  <c r="AA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AB8" i="34"/>
  <c r="U44" i="34"/>
  <c r="AC39" i="34"/>
  <c r="AC42" i="34"/>
  <c r="U39" i="34"/>
  <c r="AB41" i="34"/>
  <c r="AA45" i="34"/>
  <c r="W34" i="34"/>
  <c r="AA25" i="34"/>
  <c r="U28" i="34"/>
  <c r="AA29" i="34"/>
  <c r="U27" i="34"/>
  <c r="S10" i="34"/>
  <c r="S13" i="34"/>
  <c r="H10" i="34"/>
  <c r="AB10"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C40" i="21"/>
  <c r="J15" i="21"/>
  <c r="W15" i="21" s="1"/>
  <c r="E85" i="21"/>
  <c r="J23" i="21" s="1"/>
  <c r="W23" i="21" s="1"/>
  <c r="AC11" i="21"/>
  <c r="AA14" i="21"/>
  <c r="AB8" i="21"/>
  <c r="S8" i="21"/>
  <c r="M3" i="43"/>
  <c r="N10" i="43"/>
  <c r="M1" i="43"/>
  <c r="M8" i="43"/>
  <c r="N8" i="43"/>
  <c r="N9" i="43"/>
  <c r="D120" i="9"/>
  <c r="C18" i="9"/>
  <c r="D18" i="9" s="1"/>
  <c r="F34" i="15"/>
  <c r="F62" i="15" s="1"/>
  <c r="J56" i="9"/>
  <c r="J57" i="9"/>
  <c r="A24" i="51"/>
  <c r="B18" i="72"/>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c r="H62" i="43"/>
  <c r="H66" i="43"/>
  <c r="H61" i="43"/>
  <c r="H65" i="43"/>
  <c r="H60" i="43"/>
  <c r="H64" i="43"/>
  <c r="H59" i="43"/>
  <c r="H63" i="43"/>
  <c r="H67" i="43"/>
  <c r="H55" i="43"/>
  <c r="H51" i="43"/>
  <c r="H56" i="43"/>
  <c r="H76" i="43"/>
  <c r="H72" i="43"/>
  <c r="H77" i="43"/>
  <c r="L20" i="6"/>
  <c r="B6" i="1"/>
  <c r="E6" i="1"/>
  <c r="K11" i="1"/>
  <c r="M11" i="1" s="1"/>
  <c r="O11" i="1" s="1"/>
  <c r="AP6" i="1"/>
  <c r="B9" i="1"/>
  <c r="E9" i="1" s="1"/>
  <c r="W23" i="40"/>
  <c r="U32" i="40"/>
  <c r="AB31" i="40"/>
  <c r="S37" i="40"/>
  <c r="AB28" i="40"/>
  <c r="W28" i="40"/>
  <c r="W34" i="40"/>
  <c r="W19" i="40"/>
  <c r="W27" i="40"/>
  <c r="S36" i="40"/>
  <c r="W37" i="40"/>
  <c r="AC14" i="40"/>
  <c r="S13" i="40"/>
  <c r="S33" i="40"/>
  <c r="AA15" i="40"/>
  <c r="U11" i="40"/>
  <c r="S31" i="40"/>
  <c r="AB13" i="40"/>
  <c r="U15" i="40"/>
  <c r="AB17" i="40"/>
  <c r="U8" i="40"/>
  <c r="S8" i="40"/>
  <c r="AB24" i="39"/>
  <c r="W26" i="39"/>
  <c r="AA15" i="39"/>
  <c r="U44" i="39"/>
  <c r="AB44" i="39"/>
  <c r="W18" i="39"/>
  <c r="W32" i="39"/>
  <c r="AC32" i="39"/>
  <c r="W35" i="39"/>
  <c r="U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AB33" i="34"/>
  <c r="AC45" i="34"/>
  <c r="AA31" i="34"/>
  <c r="AA30" i="34"/>
  <c r="AB45" i="34"/>
  <c r="AB47" i="34"/>
  <c r="U25" i="34"/>
  <c r="AB36" i="34"/>
  <c r="W33" i="34"/>
  <c r="AC14" i="34"/>
  <c r="AC32" i="34"/>
  <c r="AC29" i="34"/>
  <c r="W29" i="34"/>
  <c r="W46" i="34"/>
  <c r="AC46" i="34"/>
  <c r="S32" i="34"/>
  <c r="AA32" i="34"/>
  <c r="U30" i="34"/>
  <c r="AB30" i="34"/>
  <c r="U38" i="34"/>
  <c r="S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S33" i="21" s="1"/>
  <c r="J33" i="21"/>
  <c r="W33" i="21" s="1"/>
  <c r="H33" i="21"/>
  <c r="AB33" i="21" s="1"/>
  <c r="F37" i="21"/>
  <c r="AA26" i="21"/>
  <c r="AB14" i="21"/>
  <c r="AB46" i="21"/>
  <c r="U40" i="21"/>
  <c r="AB31" i="21"/>
  <c r="U31" i="21"/>
  <c r="U13" i="21"/>
  <c r="AB13" i="21"/>
  <c r="W8" i="21"/>
  <c r="S35" i="21"/>
  <c r="J37" i="21"/>
  <c r="H15" i="21"/>
  <c r="J17" i="21"/>
  <c r="AC19" i="21"/>
  <c r="W39" i="21"/>
  <c r="AC14" i="21"/>
  <c r="S46" i="21"/>
  <c r="H45" i="21"/>
  <c r="U45" i="21"/>
  <c r="F29" i="21"/>
  <c r="S29" i="21"/>
  <c r="F13" i="21"/>
  <c r="AA13" i="21"/>
  <c r="H32" i="21"/>
  <c r="AB32" i="21" s="1"/>
  <c r="H9" i="21"/>
  <c r="AB9" i="21" s="1"/>
  <c r="J9" i="21"/>
  <c r="W9" i="21" s="1"/>
  <c r="J32" i="21"/>
  <c r="W32" i="21" s="1"/>
  <c r="F32" i="21"/>
  <c r="AA32" i="21" s="1"/>
  <c r="W29" i="21"/>
  <c r="S9" i="21"/>
  <c r="AA9" i="21"/>
  <c r="K141" i="21"/>
  <c r="K144" i="21"/>
  <c r="K143" i="21"/>
  <c r="U27" i="21"/>
  <c r="AB44" i="21"/>
  <c r="W13" i="21"/>
  <c r="AC45" i="21"/>
  <c r="F10" i="21"/>
  <c r="AA10" i="21" s="1"/>
  <c r="K145" i="21"/>
  <c r="AA29" i="21"/>
  <c r="S27" i="21"/>
  <c r="AC26" i="21"/>
  <c r="S28" i="21"/>
  <c r="AC34"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AB22" i="39"/>
  <c r="AA22"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J10" i="34"/>
  <c r="W10" i="34" s="1"/>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F85" i="21"/>
  <c r="G85" i="21" s="1"/>
  <c r="H23" i="21"/>
  <c r="U23" i="21" s="1"/>
  <c r="S13" i="21"/>
  <c r="D6" i="52"/>
  <c r="D121" i="9"/>
  <c r="D7" i="52" s="1"/>
  <c r="K120" i="9"/>
  <c r="J59" i="9"/>
  <c r="J61" i="9"/>
  <c r="R22" i="31"/>
  <c r="B21" i="31" s="1"/>
  <c r="O19" i="43"/>
  <c r="E58" i="21"/>
  <c r="F58" i="21" s="1"/>
  <c r="E48" i="35"/>
  <c r="F48" i="35" s="1"/>
  <c r="G48" i="35" s="1"/>
  <c r="AP7" i="1"/>
  <c r="AB45" i="21"/>
  <c r="AC32" i="21"/>
  <c r="S32" i="21"/>
  <c r="AC9" i="21"/>
  <c r="U32" i="21"/>
  <c r="E6" i="70"/>
  <c r="A18" i="62"/>
  <c r="B64" i="72" s="1"/>
  <c r="W23" i="37"/>
  <c r="AC23" i="37"/>
  <c r="AB11" i="37"/>
  <c r="H63" i="37"/>
  <c r="I63" i="37" s="1"/>
  <c r="J63" i="37"/>
  <c r="K63" i="37" s="1"/>
  <c r="L63" i="37" s="1"/>
  <c r="M63" i="37" s="1"/>
  <c r="J11" i="37"/>
  <c r="AC11" i="37" s="1"/>
  <c r="W10" i="37"/>
  <c r="AC10" i="37"/>
  <c r="AC36" i="33"/>
  <c r="W36" i="33"/>
  <c r="W27" i="33"/>
  <c r="AA23" i="33"/>
  <c r="S23" i="33"/>
  <c r="AB19" i="33"/>
  <c r="U17" i="33"/>
  <c r="AB17" i="33"/>
  <c r="AB23" i="21"/>
  <c r="G58" i="21"/>
  <c r="H58" i="21"/>
  <c r="I58" i="21" s="1"/>
  <c r="E69" i="39"/>
  <c r="F69" i="39" s="1"/>
  <c r="F1" i="67"/>
  <c r="Q52" i="67"/>
  <c r="W11" i="37"/>
  <c r="E71" i="39"/>
  <c r="AE7" i="1"/>
  <c r="AE6" i="1"/>
  <c r="AG6" i="1"/>
  <c r="H109" i="9"/>
  <c r="M49" i="9" s="1"/>
  <c r="H110" i="9"/>
  <c r="D18" i="53" s="1"/>
  <c r="B35" i="72" s="1"/>
  <c r="D16" i="53"/>
  <c r="B34" i="72" s="1"/>
  <c r="J7" i="33"/>
  <c r="W7" i="33"/>
  <c r="F7" i="33"/>
  <c r="S7" i="33"/>
  <c r="H7" i="33"/>
  <c r="AB7" i="33" s="1"/>
  <c r="T48" i="33" s="1"/>
  <c r="G48" i="33" s="1"/>
  <c r="AA7" i="33"/>
  <c r="R48" i="33" s="1"/>
  <c r="AC7" i="33"/>
  <c r="V48" i="33" s="1"/>
  <c r="I48" i="33" s="1"/>
  <c r="H112" i="9"/>
  <c r="D21" i="53" s="1"/>
  <c r="B39" i="72" s="1"/>
  <c r="H111" i="9"/>
  <c r="D126" i="9"/>
  <c r="I14" i="74" s="1"/>
  <c r="B8" i="74" s="1"/>
  <c r="D19" i="53"/>
  <c r="D59" i="9"/>
  <c r="M55" i="9" s="1"/>
  <c r="B38" i="72"/>
  <c r="D20" i="53"/>
  <c r="B40" i="72"/>
  <c r="AD3" i="71"/>
  <c r="AE8" i="1"/>
  <c r="AO6" i="1"/>
  <c r="E7" i="76"/>
  <c r="D2" i="37"/>
  <c r="E9" i="76"/>
  <c r="E2" i="68"/>
  <c r="B9" i="76"/>
  <c r="B11" i="76"/>
  <c r="AE10" i="1"/>
  <c r="F41" i="80"/>
  <c r="F6" i="73"/>
  <c r="F20" i="31"/>
  <c r="D2" i="35"/>
  <c r="E13" i="76"/>
  <c r="AO11" i="1"/>
  <c r="D6" i="73"/>
  <c r="D2" i="36"/>
  <c r="F3" i="73"/>
  <c r="E8" i="76"/>
  <c r="B7" i="76"/>
  <c r="D2" i="33"/>
  <c r="D2" i="34"/>
  <c r="D5" i="73"/>
  <c r="B12" i="76"/>
  <c r="B8" i="76"/>
  <c r="D3" i="73"/>
  <c r="E12" i="76"/>
  <c r="AO12" i="1"/>
  <c r="B10" i="76"/>
  <c r="F41" i="79"/>
  <c r="F4" i="73"/>
  <c r="B13" i="76"/>
  <c r="AO7" i="1"/>
  <c r="AO13" i="1"/>
  <c r="E11" i="76"/>
  <c r="F5" i="73"/>
  <c r="E2" i="69"/>
  <c r="D7" i="73"/>
  <c r="F7" i="73"/>
  <c r="E10" i="76"/>
  <c r="D4" i="73"/>
  <c r="D2" i="21"/>
  <c r="AC33" i="21" l="1"/>
  <c r="U34" i="34"/>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U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W22" i="39"/>
  <c r="H18" i="39"/>
  <c r="AB18" i="39" s="1"/>
  <c r="U18" i="39"/>
  <c r="F94" i="39"/>
  <c r="G94" i="39" s="1"/>
  <c r="H20" i="39"/>
  <c r="F20" i="39"/>
  <c r="J20" i="39"/>
  <c r="AC20" i="39" s="1"/>
  <c r="AB16" i="39"/>
  <c r="W31" i="34"/>
  <c r="AA39" i="34"/>
  <c r="AC38" i="34"/>
  <c r="AC36" i="34"/>
  <c r="F11" i="34"/>
  <c r="F70" i="34"/>
  <c r="AC10" i="34"/>
  <c r="U10" i="34"/>
  <c r="AB14" i="39"/>
  <c r="U15" i="39"/>
  <c r="W15" i="39"/>
  <c r="G82" i="39"/>
  <c r="H82" i="39" s="1"/>
  <c r="I82" i="39" s="1"/>
  <c r="J82" i="39" s="1"/>
  <c r="K82" i="39" s="1"/>
  <c r="L82" i="39" s="1"/>
  <c r="M82" i="39" s="1"/>
  <c r="H11" i="39"/>
  <c r="J11" i="39"/>
  <c r="F11" i="39"/>
  <c r="U43" i="39"/>
  <c r="AB40" i="39"/>
  <c r="AA40" i="39"/>
  <c r="AC39" i="39"/>
  <c r="S9" i="39"/>
  <c r="W9" i="39"/>
  <c r="W42" i="21"/>
  <c r="AA33" i="21"/>
  <c r="AA11" i="21"/>
  <c r="U33"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F69" i="80"/>
  <c r="F69" i="79"/>
  <c r="B41" i="1"/>
  <c r="D93" i="9"/>
  <c r="M20" i="67"/>
  <c r="F34" i="67"/>
  <c r="F62" i="67" s="1"/>
  <c r="C40" i="69"/>
  <c r="E19" i="11"/>
  <c r="G26" i="12"/>
  <c r="G22" i="69"/>
  <c r="G25" i="12"/>
  <c r="G41" i="11"/>
  <c r="G27" i="12"/>
  <c r="G41" i="68"/>
  <c r="G7" i="1"/>
  <c r="H75" i="43"/>
  <c r="AC5" i="3"/>
  <c r="G27" i="6"/>
  <c r="E22" i="6"/>
  <c r="K9" i="1" s="1"/>
  <c r="M9" i="1" s="1"/>
  <c r="O9" i="1" s="1"/>
  <c r="P9" i="1" s="1"/>
  <c r="BG5" i="3"/>
  <c r="BL21" i="3"/>
  <c r="BL23" i="3"/>
  <c r="K10" i="1"/>
  <c r="M10" i="1" s="1"/>
  <c r="E7" i="12"/>
  <c r="G1" i="69"/>
  <c r="G1" i="68"/>
  <c r="G1" i="67"/>
  <c r="G1" i="15"/>
  <c r="K1" i="12"/>
  <c r="K8" i="1"/>
  <c r="M8" i="1" s="1"/>
  <c r="BT5" i="3"/>
  <c r="BL18" i="3"/>
  <c r="G19" i="3"/>
  <c r="BL20" i="3"/>
  <c r="G21" i="3"/>
  <c r="BL22" i="3"/>
  <c r="G23" i="3"/>
  <c r="BR5" i="3"/>
  <c r="BQ5" i="3"/>
  <c r="F28" i="6" s="1"/>
  <c r="BL13" i="3"/>
  <c r="G13" i="3"/>
  <c r="G17" i="3"/>
  <c r="G16" i="3"/>
  <c r="G15" i="3"/>
  <c r="BL17" i="3"/>
  <c r="AZ17" i="3" s="1"/>
  <c r="BM5" i="3"/>
  <c r="F29" i="6" s="1"/>
  <c r="E29" i="6" s="1"/>
  <c r="K15" i="1" s="1"/>
  <c r="G18" i="3"/>
  <c r="G20" i="3"/>
  <c r="G22" i="3"/>
  <c r="BD5" i="3"/>
  <c r="BE5" i="3"/>
  <c r="BA22" i="3"/>
  <c r="AZ22" i="3" s="1"/>
  <c r="BF5" i="3"/>
  <c r="BA23" i="3"/>
  <c r="AZ23" i="3" s="1"/>
  <c r="AQ13" i="1"/>
  <c r="BA15" i="3"/>
  <c r="T13" i="1"/>
  <c r="BA13" i="3"/>
  <c r="AZ13" i="3" s="1"/>
  <c r="BB5" i="3"/>
  <c r="E5" i="6" s="1"/>
  <c r="D9" i="11" s="1"/>
  <c r="C9" i="11" s="1"/>
  <c r="I4" i="6"/>
  <c r="G3" i="43" s="1"/>
  <c r="J22" i="43" s="1"/>
  <c r="H5" i="3"/>
  <c r="G14" i="3"/>
  <c r="BA16" i="3"/>
  <c r="AZ16" i="3" s="1"/>
  <c r="BA14" i="3"/>
  <c r="E2" i="70"/>
  <c r="L27" i="6"/>
  <c r="AR12" i="1"/>
  <c r="T12" i="1"/>
  <c r="AQ12" i="1"/>
  <c r="E15" i="6"/>
  <c r="G28" i="6"/>
  <c r="G30" i="6" s="1"/>
  <c r="G31" i="6" s="1"/>
  <c r="BL14" i="3"/>
  <c r="BL15" i="3"/>
  <c r="BA18" i="3"/>
  <c r="BA19" i="3"/>
  <c r="AZ19" i="3" s="1"/>
  <c r="BA20" i="3"/>
  <c r="BA21" i="3"/>
  <c r="P6" i="1"/>
  <c r="C36" i="69"/>
  <c r="T35" i="4"/>
  <c r="A19" i="51" s="1"/>
  <c r="B14" i="72" s="1"/>
  <c r="G13" i="1"/>
  <c r="G11" i="1"/>
  <c r="G12" i="1"/>
  <c r="G10" i="1"/>
  <c r="G8" i="1"/>
  <c r="A2" i="9"/>
  <c r="A118" i="9"/>
  <c r="R49" i="33"/>
  <c r="E48" i="33"/>
  <c r="E53" i="33" s="1"/>
  <c r="F53" i="33" s="1"/>
  <c r="C65" i="40"/>
  <c r="D63" i="40"/>
  <c r="G69" i="39"/>
  <c r="H69" i="39" s="1"/>
  <c r="F71" i="39"/>
  <c r="U7" i="33"/>
  <c r="I52" i="33"/>
  <c r="J52" i="33" s="1"/>
  <c r="I53" i="33"/>
  <c r="J53" i="33" s="1"/>
  <c r="C49" i="33"/>
  <c r="C48" i="33"/>
  <c r="G52" i="33"/>
  <c r="H52" i="33" s="1"/>
  <c r="G53" i="33"/>
  <c r="H53" i="33" s="1"/>
  <c r="L68" i="9"/>
  <c r="M68" i="9" s="1"/>
  <c r="L65" i="9"/>
  <c r="M65" i="9" s="1"/>
  <c r="L66" i="9"/>
  <c r="M66" i="9" s="1"/>
  <c r="L64" i="9"/>
  <c r="M64" i="9" s="1"/>
  <c r="L63" i="9"/>
  <c r="M63" i="9" s="1"/>
  <c r="M69" i="9" s="1"/>
  <c r="N69" i="9" s="1"/>
  <c r="L67" i="9"/>
  <c r="M67" i="9" s="1"/>
  <c r="J58" i="21"/>
  <c r="K58" i="21" s="1"/>
  <c r="L58" i="21" s="1"/>
  <c r="M58" i="21" s="1"/>
  <c r="N58" i="21" s="1"/>
  <c r="O58" i="21" s="1"/>
  <c r="J7" i="21"/>
  <c r="H7" i="21"/>
  <c r="I59" i="34"/>
  <c r="J59" i="34" s="1"/>
  <c r="K59" i="34" s="1"/>
  <c r="L59" i="34" s="1"/>
  <c r="M59" i="34" s="1"/>
  <c r="N59" i="34" s="1"/>
  <c r="O59" i="34" s="1"/>
  <c r="F7" i="34"/>
  <c r="H48" i="35"/>
  <c r="I48" i="35" s="1"/>
  <c r="J48" i="35" s="1"/>
  <c r="K48" i="35" s="1"/>
  <c r="L48" i="35" s="1"/>
  <c r="M48" i="35" s="1"/>
  <c r="N48" i="35" s="1"/>
  <c r="O48" i="35" s="1"/>
  <c r="J7" i="35"/>
  <c r="K52" i="37"/>
  <c r="L52" i="37" s="1"/>
  <c r="M52" i="37" s="1"/>
  <c r="N52" i="37" s="1"/>
  <c r="O52" i="37" s="1"/>
  <c r="F7" i="37"/>
  <c r="D12" i="52"/>
  <c r="D127" i="9"/>
  <c r="D13" i="52" s="1"/>
  <c r="E52" i="33"/>
  <c r="F52" i="33" s="1"/>
  <c r="D17" i="53"/>
  <c r="B36" i="72" s="1"/>
  <c r="D124" i="9"/>
  <c r="F7" i="21"/>
  <c r="J7" i="37"/>
  <c r="F7" i="35"/>
  <c r="H7" i="35"/>
  <c r="P7" i="1"/>
  <c r="AA17" i="33"/>
  <c r="W25" i="33"/>
  <c r="U36" i="33"/>
  <c r="W19" i="37"/>
  <c r="AC17" i="21"/>
  <c r="W17" i="21"/>
  <c r="W37" i="21"/>
  <c r="AC37" i="21"/>
  <c r="U15" i="21"/>
  <c r="AB15" i="21"/>
  <c r="AA37" i="21"/>
  <c r="S37" i="21"/>
  <c r="P11" i="1"/>
  <c r="H7" i="37"/>
  <c r="E46" i="36"/>
  <c r="O12" i="1"/>
  <c r="AZ583" i="3"/>
  <c r="AZ558" i="3"/>
  <c r="U11" i="36"/>
  <c r="AB11" i="36"/>
  <c r="U26" i="33"/>
  <c r="AB26" i="33"/>
  <c r="U13" i="39"/>
  <c r="AA27" i="40"/>
  <c r="AA34" i="33"/>
  <c r="U12" i="37"/>
  <c r="AZ521" i="3"/>
  <c r="AZ587" i="3"/>
  <c r="AZ504" i="3"/>
  <c r="AZ508" i="3"/>
  <c r="AZ520" i="3"/>
  <c r="AZ534" i="3"/>
  <c r="AZ542" i="3"/>
  <c r="AZ556"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U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AC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92"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94" i="9"/>
  <c r="C92" i="9"/>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C16" i="79"/>
  <c r="C16" i="80"/>
  <c r="F42" i="67"/>
  <c r="F36" i="67"/>
  <c r="F26" i="67"/>
  <c r="F37" i="67"/>
  <c r="F9" i="67"/>
  <c r="F16" i="15"/>
  <c r="F40" i="67"/>
  <c r="L47" i="15"/>
  <c r="F38" i="15"/>
  <c r="M22" i="15"/>
  <c r="F40" i="15"/>
  <c r="F6" i="15"/>
  <c r="M27" i="67"/>
  <c r="C76" i="15"/>
  <c r="F43" i="67"/>
  <c r="F41" i="67"/>
  <c r="M29" i="67"/>
  <c r="M23" i="15"/>
  <c r="M8" i="15"/>
  <c r="F36" i="15"/>
  <c r="L48" i="15"/>
  <c r="C76" i="67"/>
  <c r="M8" i="67"/>
  <c r="M24" i="67"/>
  <c r="M28" i="15"/>
  <c r="J15" i="67"/>
  <c r="M29" i="15"/>
  <c r="M6" i="67"/>
  <c r="F8" i="67"/>
  <c r="J15" i="15"/>
  <c r="F6" i="67"/>
  <c r="F26" i="15"/>
  <c r="F13" i="67"/>
  <c r="F38" i="67"/>
  <c r="F16" i="67"/>
  <c r="M9" i="67"/>
  <c r="F42" i="15"/>
  <c r="M9" i="15"/>
  <c r="M22" i="67"/>
  <c r="M6" i="15"/>
  <c r="F8" i="15"/>
  <c r="M27" i="15"/>
  <c r="L48" i="67"/>
  <c r="F7" i="67"/>
  <c r="F13" i="15"/>
  <c r="M26" i="67"/>
  <c r="M24" i="15"/>
  <c r="F7" i="15"/>
  <c r="F43" i="15"/>
  <c r="M23" i="67"/>
  <c r="F37" i="15"/>
  <c r="L47" i="67"/>
  <c r="M28" i="67"/>
  <c r="F35" i="67"/>
  <c r="M26" i="15"/>
  <c r="F9" i="15"/>
  <c r="M21" i="67"/>
  <c r="G1" i="73"/>
  <c r="O8" i="1" l="1"/>
  <c r="P8" i="1" s="1"/>
  <c r="S21" i="34"/>
  <c r="AC42" i="39"/>
  <c r="O10" i="1"/>
  <c r="P10" i="1" s="1"/>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H11" i="34"/>
  <c r="J11" i="34"/>
  <c r="G70" i="34"/>
  <c r="H70" i="34" s="1"/>
  <c r="I70" i="34" s="1"/>
  <c r="J70" i="34" s="1"/>
  <c r="K70" i="34" s="1"/>
  <c r="L70" i="34" s="1"/>
  <c r="M70" i="34" s="1"/>
  <c r="S11" i="34"/>
  <c r="AA11" i="34"/>
  <c r="AA11" i="39"/>
  <c r="S11" i="39"/>
  <c r="U11" i="39"/>
  <c r="AB11" i="39"/>
  <c r="W11" i="39"/>
  <c r="AC11" i="39"/>
  <c r="S43" i="21"/>
  <c r="AA43" i="21"/>
  <c r="AB34" i="21"/>
  <c r="U34" i="21"/>
  <c r="W30" i="21"/>
  <c r="AC30" i="21"/>
  <c r="AA30" i="21"/>
  <c r="S30" i="21"/>
  <c r="S23" i="21"/>
  <c r="AA23" i="21"/>
  <c r="AA17" i="21"/>
  <c r="S17" i="21"/>
  <c r="J53" i="15"/>
  <c r="F11" i="80"/>
  <c r="M11" i="80"/>
  <c r="J10" i="80" s="1"/>
  <c r="J5" i="80" s="1"/>
  <c r="G17" i="43"/>
  <c r="C16" i="43" s="1"/>
  <c r="F11" i="79"/>
  <c r="M11" i="79"/>
  <c r="J10" i="79" s="1"/>
  <c r="J5" i="79" s="1"/>
  <c r="F31" i="12"/>
  <c r="F32" i="67"/>
  <c r="F60" i="67" s="1"/>
  <c r="F32" i="15"/>
  <c r="F60" i="15" s="1"/>
  <c r="F30" i="68"/>
  <c r="F28" i="67"/>
  <c r="C28" i="67" s="1"/>
  <c r="F52" i="9"/>
  <c r="M18" i="67"/>
  <c r="F30" i="69"/>
  <c r="M18" i="15"/>
  <c r="D68" i="9"/>
  <c r="F53" i="9"/>
  <c r="F30" i="11"/>
  <c r="F28" i="15"/>
  <c r="C28" i="15" s="1"/>
  <c r="F54" i="9"/>
  <c r="C13" i="12"/>
  <c r="AZ14" i="3"/>
  <c r="E13" i="6"/>
  <c r="E64" i="39" s="1"/>
  <c r="B113" i="43"/>
  <c r="G118" i="43" s="1"/>
  <c r="H118" i="43" s="1"/>
  <c r="E8" i="6"/>
  <c r="F27" i="6" s="1"/>
  <c r="AZ21" i="3"/>
  <c r="E14" i="6"/>
  <c r="E65" i="39" s="1"/>
  <c r="E10" i="6"/>
  <c r="E12" i="6"/>
  <c r="E16" i="6" s="1"/>
  <c r="E11" i="6"/>
  <c r="H16" i="1"/>
  <c r="Q16" i="1"/>
  <c r="F27" i="68" s="1"/>
  <c r="C29" i="68" s="1"/>
  <c r="D27" i="68" s="1"/>
  <c r="Q71" i="15"/>
  <c r="M7" i="15"/>
  <c r="J6" i="15" s="1"/>
  <c r="F50" i="15"/>
  <c r="F65" i="15"/>
  <c r="L58" i="15"/>
  <c r="Q73" i="15" s="1"/>
  <c r="N59" i="15"/>
  <c r="M59" i="15"/>
  <c r="L59" i="15" s="1"/>
  <c r="Q74" i="15" s="1"/>
  <c r="J57" i="15"/>
  <c r="J55" i="15" s="1"/>
  <c r="J58" i="15" s="1"/>
  <c r="Q50" i="15" s="1"/>
  <c r="L56" i="15"/>
  <c r="I54" i="15"/>
  <c r="F71" i="15"/>
  <c r="C6" i="15"/>
  <c r="F64" i="15"/>
  <c r="F51" i="15"/>
  <c r="F68" i="15"/>
  <c r="C27" i="15"/>
  <c r="F66"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F31" i="6" s="1"/>
  <c r="BL5" i="3"/>
  <c r="H22" i="43"/>
  <c r="AZ15" i="3"/>
  <c r="D117" i="43"/>
  <c r="E117" i="43" s="1"/>
  <c r="F117" i="43" s="1"/>
  <c r="G117" i="43" s="1"/>
  <c r="H117" i="43" s="1"/>
  <c r="AI11" i="43"/>
  <c r="AI13" i="43" s="1"/>
  <c r="D116" i="43"/>
  <c r="E116" i="43" s="1"/>
  <c r="F116" i="43" s="1"/>
  <c r="G116" i="43" s="1"/>
  <c r="H116" i="43" s="1"/>
  <c r="I117" i="43"/>
  <c r="J117" i="43" s="1"/>
  <c r="K117" i="43" s="1"/>
  <c r="L117" i="43" s="1"/>
  <c r="M117" i="43" s="1"/>
  <c r="F101" i="43"/>
  <c r="F102" i="43" s="1"/>
  <c r="Z7" i="43"/>
  <c r="F103" i="43"/>
  <c r="I115" i="43"/>
  <c r="J115" i="43" s="1"/>
  <c r="K115" i="43" s="1"/>
  <c r="L115" i="43" s="1"/>
  <c r="M115" i="43" s="1"/>
  <c r="I116" i="43"/>
  <c r="J116" i="43" s="1"/>
  <c r="K116" i="43" s="1"/>
  <c r="L116" i="43" s="1"/>
  <c r="M116" i="43" s="1"/>
  <c r="D115" i="43"/>
  <c r="E115" i="43" s="1"/>
  <c r="F115" i="43" s="1"/>
  <c r="G115" i="43" s="1"/>
  <c r="H115" i="43" s="1"/>
  <c r="D118" i="43"/>
  <c r="E118" i="43" s="1"/>
  <c r="F118" i="43" s="1"/>
  <c r="C101" i="43"/>
  <c r="M101" i="43"/>
  <c r="M105" i="43" s="1"/>
  <c r="AD11" i="43"/>
  <c r="AD13" i="43" s="1"/>
  <c r="AA11" i="43"/>
  <c r="AA13" i="43" s="1"/>
  <c r="AG11" i="43"/>
  <c r="AG13" i="43" s="1"/>
  <c r="M104" i="43"/>
  <c r="C103" i="43"/>
  <c r="B118" i="43"/>
  <c r="C118" i="43" s="1"/>
  <c r="B117" i="43"/>
  <c r="C117" i="43" s="1"/>
  <c r="B116" i="43"/>
  <c r="C116" i="43" s="1"/>
  <c r="I118" i="43"/>
  <c r="J118" i="43" s="1"/>
  <c r="K118" i="43" s="1"/>
  <c r="L118" i="43" s="1"/>
  <c r="M118" i="43" s="1"/>
  <c r="B115" i="43"/>
  <c r="C115" i="43" s="1"/>
  <c r="E22" i="43"/>
  <c r="N104" i="46"/>
  <c r="H101" i="43"/>
  <c r="E101" i="43"/>
  <c r="AH11" i="43"/>
  <c r="AH13" i="43" s="1"/>
  <c r="Z11" i="43"/>
  <c r="Z13" i="43" s="1"/>
  <c r="AE11" i="43"/>
  <c r="AE13" i="43" s="1"/>
  <c r="J101" i="43"/>
  <c r="J109" i="43" s="1"/>
  <c r="D101" i="43"/>
  <c r="D105" i="43" s="1"/>
  <c r="I101" i="43"/>
  <c r="I106" i="43" s="1"/>
  <c r="F22" i="43"/>
  <c r="AJ11" i="43"/>
  <c r="AJ13" i="43" s="1"/>
  <c r="K101" i="43"/>
  <c r="K102" i="43" s="1"/>
  <c r="AC11" i="43"/>
  <c r="AC13" i="43" s="1"/>
  <c r="AF11" i="43"/>
  <c r="AF13" i="43" s="1"/>
  <c r="L101" i="43"/>
  <c r="L109" i="43" s="1"/>
  <c r="N101" i="43"/>
  <c r="N106" i="43" s="1"/>
  <c r="Y11" i="43"/>
  <c r="Y13" i="43" s="1"/>
  <c r="AB11" i="43"/>
  <c r="AB13" i="43" s="1"/>
  <c r="G22" i="43"/>
  <c r="G101" i="43"/>
  <c r="G102" i="43" s="1"/>
  <c r="L102" i="43"/>
  <c r="G104" i="43"/>
  <c r="I102" i="43"/>
  <c r="D104" i="43"/>
  <c r="F107" i="43"/>
  <c r="D19" i="12"/>
  <c r="C19" i="12" s="1"/>
  <c r="D9" i="69"/>
  <c r="C9" i="69" s="1"/>
  <c r="D9" i="68"/>
  <c r="C9" i="68" s="1"/>
  <c r="E60" i="40"/>
  <c r="E66" i="39"/>
  <c r="S2" i="43"/>
  <c r="C23" i="43"/>
  <c r="C21" i="43" s="1"/>
  <c r="S3" i="43"/>
  <c r="S5" i="43"/>
  <c r="S6" i="43"/>
  <c r="S7" i="43"/>
  <c r="S4" i="43"/>
  <c r="BA5" i="3"/>
  <c r="E27" i="6" s="1"/>
  <c r="K22" i="6" s="1"/>
  <c r="G16" i="1"/>
  <c r="H10" i="40" s="1"/>
  <c r="AB10" i="40" s="1"/>
  <c r="K4" i="4"/>
  <c r="B46" i="48" s="1"/>
  <c r="B4" i="72" s="1"/>
  <c r="B4" i="62"/>
  <c r="B71" i="72" s="1"/>
  <c r="D65" i="40"/>
  <c r="E63" i="40"/>
  <c r="D5" i="43"/>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AB7" i="37"/>
  <c r="T42" i="37" s="1"/>
  <c r="G42" i="37" s="1"/>
  <c r="U7" i="35"/>
  <c r="AB7" i="35"/>
  <c r="T38" i="35" s="1"/>
  <c r="G38" i="35" s="1"/>
  <c r="AC7" i="37"/>
  <c r="V42" i="37" s="1"/>
  <c r="I42" i="37" s="1"/>
  <c r="W7" i="37"/>
  <c r="AA7" i="21"/>
  <c r="R48" i="21" s="1"/>
  <c r="S7" i="21"/>
  <c r="H14" i="74"/>
  <c r="B7" i="74" s="1"/>
  <c r="D10" i="52"/>
  <c r="D125" i="9"/>
  <c r="D11" i="52" s="1"/>
  <c r="J7" i="34"/>
  <c r="U7" i="21"/>
  <c r="AB7" i="21"/>
  <c r="T48" i="21" s="1"/>
  <c r="G48" i="21" s="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E30" i="6"/>
  <c r="G5" i="3"/>
  <c r="B3" i="3" s="1"/>
  <c r="AT6" i="3" s="1"/>
  <c r="AA7" i="35"/>
  <c r="R38" i="35" s="1"/>
  <c r="S7" i="35"/>
  <c r="AA7" i="37"/>
  <c r="R42" i="37" s="1"/>
  <c r="S7" i="37"/>
  <c r="W7" i="35"/>
  <c r="AC7" i="35"/>
  <c r="V38" i="35" s="1"/>
  <c r="I38" i="35" s="1"/>
  <c r="S7" i="34"/>
  <c r="AA7" i="34"/>
  <c r="R49" i="34" s="1"/>
  <c r="AC7" i="21"/>
  <c r="V48" i="21" s="1"/>
  <c r="I48" i="21" s="1"/>
  <c r="W7" i="21"/>
  <c r="H7" i="34"/>
  <c r="P23" i="43"/>
  <c r="B72" i="39" s="1"/>
  <c r="P25" i="43"/>
  <c r="B40" i="1"/>
  <c r="M11" i="15"/>
  <c r="F11" i="67"/>
  <c r="F11" i="15"/>
  <c r="M11" i="67"/>
  <c r="J10" i="67" s="1"/>
  <c r="P28" i="43"/>
  <c r="M28" i="43"/>
  <c r="N28" i="43"/>
  <c r="O28" i="43"/>
  <c r="C14" i="67"/>
  <c r="C16" i="15"/>
  <c r="C16" i="67"/>
  <c r="C17" i="67"/>
  <c r="C17" i="15"/>
  <c r="W11" i="34" l="1"/>
  <c r="AC11" i="34"/>
  <c r="U11" i="34"/>
  <c r="AB11" i="34"/>
  <c r="Q52" i="15"/>
  <c r="F1" i="15"/>
  <c r="F24" i="79"/>
  <c r="C24" i="79" s="1"/>
  <c r="F24" i="80"/>
  <c r="J26" i="80"/>
  <c r="J29" i="80" s="1"/>
  <c r="J24" i="80"/>
  <c r="J18" i="80"/>
  <c r="C53" i="80"/>
  <c r="C48" i="80" s="1"/>
  <c r="C10" i="80"/>
  <c r="C5" i="80" s="1"/>
  <c r="C53" i="79"/>
  <c r="C48" i="79" s="1"/>
  <c r="C10" i="79"/>
  <c r="C5" i="79" s="1"/>
  <c r="J26" i="79"/>
  <c r="J29" i="79" s="1"/>
  <c r="J24" i="79"/>
  <c r="J18" i="79"/>
  <c r="C48" i="11"/>
  <c r="C30" i="11"/>
  <c r="C48" i="69"/>
  <c r="C30" i="69"/>
  <c r="C30" i="68"/>
  <c r="C48" i="68"/>
  <c r="C15" i="67"/>
  <c r="C18" i="67"/>
  <c r="E58" i="40"/>
  <c r="Q61" i="15"/>
  <c r="E59" i="40"/>
  <c r="E63" i="39"/>
  <c r="E51" i="40"/>
  <c r="E57" i="39"/>
  <c r="E57" i="40"/>
  <c r="E62" i="39"/>
  <c r="E56" i="40"/>
  <c r="Q74" i="67"/>
  <c r="J10" i="15"/>
  <c r="J5" i="15" s="1"/>
  <c r="J18" i="15" s="1"/>
  <c r="AZ5" i="3"/>
  <c r="AY6" i="3" s="1"/>
  <c r="Q60" i="15"/>
  <c r="Q60" i="67"/>
  <c r="J5" i="67"/>
  <c r="J26" i="67" s="1"/>
  <c r="J29" i="67" s="1"/>
  <c r="F27" i="11"/>
  <c r="C47" i="11" s="1"/>
  <c r="D45" i="11" s="1"/>
  <c r="C49" i="15"/>
  <c r="C47" i="68"/>
  <c r="D45" i="68" s="1"/>
  <c r="M22" i="6"/>
  <c r="I22" i="6" s="1"/>
  <c r="S22" i="6" s="1"/>
  <c r="S9" i="1"/>
  <c r="F28" i="12"/>
  <c r="C29" i="12" s="1"/>
  <c r="D28" i="12" s="1"/>
  <c r="F27" i="69"/>
  <c r="F106" i="43"/>
  <c r="D107" i="43"/>
  <c r="M106" i="43"/>
  <c r="F105" i="43"/>
  <c r="F109" i="43"/>
  <c r="F104" i="43"/>
  <c r="D103" i="43"/>
  <c r="D109" i="43"/>
  <c r="M103" i="43"/>
  <c r="C107" i="43"/>
  <c r="C109" i="43"/>
  <c r="C104" i="43"/>
  <c r="K105" i="43"/>
  <c r="G107" i="43"/>
  <c r="N103" i="43"/>
  <c r="C105" i="43"/>
  <c r="C102" i="43"/>
  <c r="C106" i="43"/>
  <c r="M109" i="43"/>
  <c r="M102" i="43"/>
  <c r="M107" i="43"/>
  <c r="J105" i="43"/>
  <c r="J102" i="43"/>
  <c r="J104" i="43"/>
  <c r="J107" i="43"/>
  <c r="J106" i="43"/>
  <c r="E103" i="43"/>
  <c r="E104" i="43"/>
  <c r="E109" i="43"/>
  <c r="E107" i="43"/>
  <c r="E106" i="43"/>
  <c r="E102" i="43"/>
  <c r="E105" i="43"/>
  <c r="D113" i="43"/>
  <c r="J103" i="43"/>
  <c r="N109" i="43"/>
  <c r="G106" i="43"/>
  <c r="D22" i="43"/>
  <c r="D102" i="43"/>
  <c r="D106" i="43"/>
  <c r="H102" i="43"/>
  <c r="H103" i="43"/>
  <c r="H105" i="43"/>
  <c r="H107" i="43"/>
  <c r="H104" i="43"/>
  <c r="H109" i="43"/>
  <c r="H106" i="43"/>
  <c r="I107" i="43"/>
  <c r="I105" i="43"/>
  <c r="I104" i="43"/>
  <c r="I103" i="43"/>
  <c r="I109" i="43"/>
  <c r="L104" i="43"/>
  <c r="K109" i="43"/>
  <c r="K103" i="43"/>
  <c r="K104" i="43"/>
  <c r="K107" i="43"/>
  <c r="K106" i="43"/>
  <c r="G103" i="43"/>
  <c r="G105" i="43"/>
  <c r="G109" i="43"/>
  <c r="N102" i="43"/>
  <c r="N107" i="43"/>
  <c r="N104" i="43"/>
  <c r="N105" i="43"/>
  <c r="L105" i="43"/>
  <c r="L103" i="43"/>
  <c r="L106" i="43"/>
  <c r="L107" i="43"/>
  <c r="U10" i="40"/>
  <c r="K26" i="6"/>
  <c r="M26" i="6" s="1"/>
  <c r="I26" i="6" s="1"/>
  <c r="S26" i="6" s="1"/>
  <c r="K25" i="6"/>
  <c r="M25" i="6" s="1"/>
  <c r="I25" i="6" s="1"/>
  <c r="S25" i="6" s="1"/>
  <c r="K19" i="6"/>
  <c r="K24" i="6"/>
  <c r="K21" i="6"/>
  <c r="F10" i="40"/>
  <c r="AA10" i="40" s="1"/>
  <c r="E67" i="39"/>
  <c r="K20" i="6"/>
  <c r="K23" i="6"/>
  <c r="E31" i="6"/>
  <c r="J10" i="39"/>
  <c r="H10" i="39"/>
  <c r="J10" i="40"/>
  <c r="W10" i="40" s="1"/>
  <c r="F10" i="39"/>
  <c r="S10" i="39" s="1"/>
  <c r="AC10" i="40"/>
  <c r="AA10" i="39"/>
  <c r="F63" i="40"/>
  <c r="E65" i="40"/>
  <c r="U7" i="34"/>
  <c r="AB7" i="34"/>
  <c r="T49" i="34" s="1"/>
  <c r="G49" i="34" s="1"/>
  <c r="I52" i="21"/>
  <c r="J52" i="21" s="1"/>
  <c r="E42" i="37"/>
  <c r="R43" i="37"/>
  <c r="R39" i="35"/>
  <c r="E38"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M14" i="1"/>
  <c r="C34" i="69"/>
  <c r="K16" i="1"/>
  <c r="B5" i="71"/>
  <c r="S6" i="71"/>
  <c r="E5" i="71"/>
  <c r="V6" i="71"/>
  <c r="R49" i="21"/>
  <c r="E48" i="21"/>
  <c r="I47" i="37"/>
  <c r="J47" i="37" s="1"/>
  <c r="I46" i="37"/>
  <c r="J46" i="37" s="1"/>
  <c r="E49" i="34"/>
  <c r="I42" i="35"/>
  <c r="J42" i="35" s="1"/>
  <c r="I43" i="35"/>
  <c r="J43" i="35" s="1"/>
  <c r="E551" i="3"/>
  <c r="C8" i="71"/>
  <c r="D9" i="71"/>
  <c r="J69" i="39"/>
  <c r="I71" i="39"/>
  <c r="G52" i="21"/>
  <c r="H52" i="21" s="1"/>
  <c r="G53" i="21"/>
  <c r="H53" i="21" s="1"/>
  <c r="AC7" i="34"/>
  <c r="V49" i="34" s="1"/>
  <c r="I49" i="34" s="1"/>
  <c r="W7" i="34"/>
  <c r="G42" i="35"/>
  <c r="H42" i="35" s="1"/>
  <c r="G43" i="35"/>
  <c r="H43" i="35" s="1"/>
  <c r="G46" i="37"/>
  <c r="H46" i="37" s="1"/>
  <c r="G47" i="37"/>
  <c r="H47" i="37" s="1"/>
  <c r="G46" i="36"/>
  <c r="Q52" i="71"/>
  <c r="Q51" i="71"/>
  <c r="C53" i="67"/>
  <c r="C48" i="67" s="1"/>
  <c r="C10" i="67"/>
  <c r="C5" i="67" s="1"/>
  <c r="C53" i="15"/>
  <c r="C10" i="15"/>
  <c r="C5" i="15" s="1"/>
  <c r="F24" i="67"/>
  <c r="C24" i="67" s="1"/>
  <c r="F22" i="68"/>
  <c r="F22" i="11"/>
  <c r="F22" i="69"/>
  <c r="F25" i="12"/>
  <c r="F24" i="15"/>
  <c r="C24" i="15" s="1"/>
  <c r="AE9" i="1"/>
  <c r="J24" i="15" l="1"/>
  <c r="R50" i="34"/>
  <c r="C50" i="34" s="1"/>
  <c r="C38" i="80"/>
  <c r="C32" i="80"/>
  <c r="C24" i="80"/>
  <c r="C66" i="80"/>
  <c r="C60" i="80"/>
  <c r="C38" i="79"/>
  <c r="C32" i="79"/>
  <c r="C66" i="79"/>
  <c r="C60" i="79"/>
  <c r="M24" i="6"/>
  <c r="I24" i="6" s="1"/>
  <c r="S24" i="6" s="1"/>
  <c r="S11" i="1"/>
  <c r="J26" i="15"/>
  <c r="C19" i="67"/>
  <c r="C20" i="67" s="1"/>
  <c r="C26" i="67" s="1"/>
  <c r="C48" i="15"/>
  <c r="C66" i="15" s="1"/>
  <c r="J18" i="67"/>
  <c r="E3" i="6"/>
  <c r="D3" i="33" s="1"/>
  <c r="B2" i="33" s="1"/>
  <c r="B3" i="33" s="1"/>
  <c r="J24" i="67"/>
  <c r="C29" i="11"/>
  <c r="D27" i="11" s="1"/>
  <c r="M20" i="6"/>
  <c r="I20" i="6" s="1"/>
  <c r="S20" i="6" s="1"/>
  <c r="S7" i="1"/>
  <c r="T9" i="1"/>
  <c r="AQ9" i="1"/>
  <c r="AR9" i="1"/>
  <c r="M23" i="6"/>
  <c r="I23" i="6" s="1"/>
  <c r="S23" i="6" s="1"/>
  <c r="S10" i="1"/>
  <c r="M21" i="6"/>
  <c r="I21" i="6" s="1"/>
  <c r="S21" i="6" s="1"/>
  <c r="S8" i="1"/>
  <c r="K27" i="6"/>
  <c r="S6" i="1"/>
  <c r="C47" i="69"/>
  <c r="D45" i="69" s="1"/>
  <c r="C29" i="69"/>
  <c r="D27" i="69" s="1"/>
  <c r="M19" i="6"/>
  <c r="I19" i="6" s="1"/>
  <c r="S10" i="40"/>
  <c r="AC6" i="3"/>
  <c r="H6" i="3"/>
  <c r="AC10" i="39"/>
  <c r="W10" i="39"/>
  <c r="AB10" i="39"/>
  <c r="U10" i="39"/>
  <c r="F65" i="40"/>
  <c r="G63" i="40"/>
  <c r="H46" i="36"/>
  <c r="I53" i="34"/>
  <c r="J53" i="34" s="1"/>
  <c r="I54" i="34"/>
  <c r="J54" i="34" s="1"/>
  <c r="C48" i="21"/>
  <c r="C49" i="21"/>
  <c r="D3" i="34"/>
  <c r="E6" i="6"/>
  <c r="D14" i="12"/>
  <c r="C17" i="4"/>
  <c r="B4" i="52" s="1"/>
  <c r="B43" i="72" s="1"/>
  <c r="D3" i="21"/>
  <c r="D3" i="37"/>
  <c r="C38" i="69"/>
  <c r="C35" i="69"/>
  <c r="C38" i="35"/>
  <c r="C39" i="35"/>
  <c r="B2" i="35" s="1"/>
  <c r="B3" i="35" s="1"/>
  <c r="E47" i="37"/>
  <c r="F47" i="37" s="1"/>
  <c r="E46" i="37"/>
  <c r="F46" i="37" s="1"/>
  <c r="K69" i="39"/>
  <c r="J71" i="39"/>
  <c r="D8" i="71"/>
  <c r="C7" i="71"/>
  <c r="E54" i="34"/>
  <c r="F54" i="34" s="1"/>
  <c r="E53" i="34"/>
  <c r="F53" i="34" s="1"/>
  <c r="E52" i="21"/>
  <c r="F52" i="21" s="1"/>
  <c r="E53" i="21"/>
  <c r="F53" i="2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O14" i="1"/>
  <c r="O16" i="1" s="1"/>
  <c r="M16" i="1"/>
  <c r="E43" i="35"/>
  <c r="F43" i="35" s="1"/>
  <c r="E42" i="35"/>
  <c r="F42" i="35" s="1"/>
  <c r="C42" i="37"/>
  <c r="C43" i="37"/>
  <c r="I53" i="21"/>
  <c r="J53" i="21" s="1"/>
  <c r="G53" i="34"/>
  <c r="H53" i="34" s="1"/>
  <c r="G54" i="34"/>
  <c r="H54" i="34" s="1"/>
  <c r="C26" i="68"/>
  <c r="D22" i="68" s="1"/>
  <c r="C44" i="68"/>
  <c r="D41" i="68" s="1"/>
  <c r="C38" i="15"/>
  <c r="C32" i="15"/>
  <c r="C26" i="12"/>
  <c r="D25" i="12" s="1"/>
  <c r="C44" i="11"/>
  <c r="D41" i="11" s="1"/>
  <c r="C23" i="11"/>
  <c r="C26" i="11"/>
  <c r="D22" i="11" s="1"/>
  <c r="C60" i="67"/>
  <c r="C66" i="67"/>
  <c r="C44" i="69"/>
  <c r="D41" i="69" s="1"/>
  <c r="C26" i="69"/>
  <c r="D22" i="69" s="1"/>
  <c r="C38" i="67"/>
  <c r="C32" i="67"/>
  <c r="C14" i="15"/>
  <c r="F41" i="15"/>
  <c r="C15" i="15" l="1"/>
  <c r="C18" i="15"/>
  <c r="C49" i="34"/>
  <c r="F69" i="15"/>
  <c r="J29" i="15"/>
  <c r="C33" i="79"/>
  <c r="AQ11" i="1"/>
  <c r="AR11" i="1"/>
  <c r="T11" i="1"/>
  <c r="C23" i="67"/>
  <c r="C29" i="67" s="1"/>
  <c r="C33" i="67" s="1"/>
  <c r="C31" i="67" s="1"/>
  <c r="C60" i="15"/>
  <c r="D19" i="11"/>
  <c r="C19" i="11" s="1"/>
  <c r="C20" i="11" s="1"/>
  <c r="C28" i="11" s="1"/>
  <c r="C27" i="11" s="1"/>
  <c r="L18" i="9"/>
  <c r="M18" i="9"/>
  <c r="B118" i="9" s="1"/>
  <c r="B14" i="74" s="1"/>
  <c r="B1" i="74" s="1"/>
  <c r="C7" i="74" s="1"/>
  <c r="D37" i="11"/>
  <c r="C24" i="11"/>
  <c r="M27" i="6"/>
  <c r="AQ7" i="1"/>
  <c r="AR7" i="1"/>
  <c r="T7" i="1"/>
  <c r="AQ6" i="1"/>
  <c r="T6" i="1"/>
  <c r="AR6" i="1"/>
  <c r="S16" i="1"/>
  <c r="AQ8" i="1"/>
  <c r="T8" i="1"/>
  <c r="AR8" i="1"/>
  <c r="AQ10" i="1"/>
  <c r="AR10" i="1"/>
  <c r="T10" i="1"/>
  <c r="E6" i="3"/>
  <c r="B2" i="37"/>
  <c r="B3" i="37" s="1"/>
  <c r="H63" i="40"/>
  <c r="G65" i="40"/>
  <c r="P14" i="1"/>
  <c r="P16" i="1" s="1"/>
  <c r="C11" i="12" s="1"/>
  <c r="L69" i="39"/>
  <c r="K71" i="39"/>
  <c r="B2" i="21"/>
  <c r="S19" i="6"/>
  <c r="S27" i="6" s="1"/>
  <c r="I27" i="6"/>
  <c r="I46" i="36"/>
  <c r="N16" i="1"/>
  <c r="L16" i="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7" i="71"/>
  <c r="C6" i="71"/>
  <c r="D17" i="12"/>
  <c r="C17" i="12" s="1"/>
  <c r="D10" i="68"/>
  <c r="D10" i="11"/>
  <c r="C10" i="11" s="1"/>
  <c r="D20" i="12"/>
  <c r="C20" i="12" s="1"/>
  <c r="D10" i="69"/>
  <c r="B2" i="34"/>
  <c r="C33" i="15"/>
  <c r="C14" i="79"/>
  <c r="C14" i="80"/>
  <c r="C19" i="15" l="1"/>
  <c r="C20" i="15" s="1"/>
  <c r="C26" i="15" s="1"/>
  <c r="B3" i="34"/>
  <c r="H6" i="12" s="1"/>
  <c r="H8" i="12"/>
  <c r="C15" i="80"/>
  <c r="C18" i="80"/>
  <c r="C18" i="79"/>
  <c r="C15" i="79"/>
  <c r="B3" i="21"/>
  <c r="C6" i="12" s="1"/>
  <c r="C8" i="12"/>
  <c r="J14" i="67"/>
  <c r="J22" i="67" s="1"/>
  <c r="C33" i="80"/>
  <c r="F34" i="11"/>
  <c r="C37" i="11" s="1"/>
  <c r="F34" i="68"/>
  <c r="F11" i="12"/>
  <c r="Q49" i="67"/>
  <c r="J59" i="67"/>
  <c r="J60" i="67" s="1"/>
  <c r="L46" i="67" s="1"/>
  <c r="C13" i="67"/>
  <c r="C75" i="67" s="1"/>
  <c r="C36" i="67"/>
  <c r="J19" i="67"/>
  <c r="J17" i="67" s="1"/>
  <c r="C57" i="67"/>
  <c r="C61" i="67" s="1"/>
  <c r="C59" i="67" s="1"/>
  <c r="C8" i="74"/>
  <c r="C25" i="11"/>
  <c r="C22" i="11" s="1"/>
  <c r="C31" i="11" s="1"/>
  <c r="H27" i="6"/>
  <c r="T16" i="1"/>
  <c r="D30" i="6"/>
  <c r="D16" i="6"/>
  <c r="R25" i="6"/>
  <c r="I63" i="40"/>
  <c r="H65" i="40"/>
  <c r="C10" i="69"/>
  <c r="C8" i="69" s="1"/>
  <c r="C5" i="69" s="1"/>
  <c r="D19" i="69"/>
  <c r="C10" i="68"/>
  <c r="B29" i="1" s="1"/>
  <c r="C8" i="68" s="1"/>
  <c r="D19" i="68"/>
  <c r="C5" i="71"/>
  <c r="D5" i="71" s="1"/>
  <c r="T6" i="71"/>
  <c r="D6" i="71"/>
  <c r="R21" i="6"/>
  <c r="R8" i="1" s="1"/>
  <c r="R23" i="6"/>
  <c r="R10" i="1" s="1"/>
  <c r="A7" i="51"/>
  <c r="B7" i="72" s="1"/>
  <c r="C4" i="52"/>
  <c r="B45" i="72" s="1"/>
  <c r="A10" i="51"/>
  <c r="B9" i="72" s="1"/>
  <c r="D27" i="6"/>
  <c r="D31" i="6" s="1"/>
  <c r="R19" i="6"/>
  <c r="F50" i="11"/>
  <c r="F50" i="68"/>
  <c r="F50" i="69"/>
  <c r="J46" i="36"/>
  <c r="C15" i="12"/>
  <c r="C12" i="12"/>
  <c r="R24" i="6"/>
  <c r="R11" i="1" s="1"/>
  <c r="R22" i="6"/>
  <c r="R9" i="1" s="1"/>
  <c r="R26" i="6"/>
  <c r="D8" i="74"/>
  <c r="D7" i="74"/>
  <c r="M69" i="39"/>
  <c r="L71" i="39"/>
  <c r="M21" i="15"/>
  <c r="M21" i="79"/>
  <c r="M21" i="80"/>
  <c r="F35" i="15"/>
  <c r="F35" i="79"/>
  <c r="F35" i="80"/>
  <c r="C23" i="15" l="1"/>
  <c r="C29" i="15" s="1"/>
  <c r="C36" i="15" s="1"/>
  <c r="C19" i="80"/>
  <c r="C20" i="80" s="1"/>
  <c r="C26" i="80" s="1"/>
  <c r="C19" i="79"/>
  <c r="C20" i="79" s="1"/>
  <c r="C26" i="79" s="1"/>
  <c r="J13" i="67"/>
  <c r="J23" i="67" s="1"/>
  <c r="J16" i="67" s="1"/>
  <c r="J25" i="67" s="1"/>
  <c r="F63" i="15"/>
  <c r="C62" i="15" s="1"/>
  <c r="C34" i="15"/>
  <c r="C31" i="15" s="1"/>
  <c r="J20" i="15"/>
  <c r="F63" i="79"/>
  <c r="C62" i="79" s="1"/>
  <c r="C34" i="79"/>
  <c r="C31" i="79" s="1"/>
  <c r="J20" i="79"/>
  <c r="C34" i="80"/>
  <c r="C31" i="80" s="1"/>
  <c r="F63" i="80"/>
  <c r="C62" i="80" s="1"/>
  <c r="J20" i="80"/>
  <c r="C18" i="12"/>
  <c r="C64" i="67"/>
  <c r="Q48" i="67"/>
  <c r="C56" i="67"/>
  <c r="C65" i="67" s="1"/>
  <c r="C37" i="67"/>
  <c r="C30" i="67" s="1"/>
  <c r="C39" i="67" s="1"/>
  <c r="C40" i="67" s="1"/>
  <c r="C36" i="68"/>
  <c r="C34" i="68"/>
  <c r="C14" i="12"/>
  <c r="C16" i="12" s="1"/>
  <c r="C36" i="11"/>
  <c r="C34" i="11"/>
  <c r="Q70" i="67"/>
  <c r="R27" i="6"/>
  <c r="R6" i="1"/>
  <c r="R16" i="1" s="1"/>
  <c r="J63" i="40"/>
  <c r="I65" i="40"/>
  <c r="M20" i="43"/>
  <c r="C19" i="43" s="1"/>
  <c r="U6" i="71"/>
  <c r="C23" i="69"/>
  <c r="N69" i="39"/>
  <c r="M71" i="39"/>
  <c r="K46" i="36"/>
  <c r="I6" i="6"/>
  <c r="I5" i="6"/>
  <c r="C19" i="68"/>
  <c r="D37" i="68"/>
  <c r="C37" i="68" s="1"/>
  <c r="C19" i="69"/>
  <c r="C24" i="69" s="1"/>
  <c r="D37" i="69"/>
  <c r="C37" i="69" s="1"/>
  <c r="C33" i="69" s="1"/>
  <c r="L51" i="67"/>
  <c r="C57" i="15" l="1"/>
  <c r="C61" i="15" s="1"/>
  <c r="C59" i="15" s="1"/>
  <c r="J59" i="15"/>
  <c r="J60" i="15" s="1"/>
  <c r="Q48" i="15" s="1"/>
  <c r="C13" i="15"/>
  <c r="C56" i="15" s="1"/>
  <c r="C65" i="15" s="1"/>
  <c r="J19" i="15"/>
  <c r="J17" i="15" s="1"/>
  <c r="J14" i="15"/>
  <c r="J22" i="15" s="1"/>
  <c r="Q49" i="15"/>
  <c r="C64" i="15"/>
  <c r="C23" i="79"/>
  <c r="C29" i="79" s="1"/>
  <c r="C23" i="80"/>
  <c r="C29" i="80" s="1"/>
  <c r="C58" i="67"/>
  <c r="C67" i="67" s="1"/>
  <c r="C68" i="67" s="1"/>
  <c r="C71" i="67" s="1"/>
  <c r="C21" i="12"/>
  <c r="C22" i="12" s="1"/>
  <c r="L57" i="80"/>
  <c r="L60" i="80" s="1"/>
  <c r="L57" i="79"/>
  <c r="L60" i="79" s="1"/>
  <c r="Q69" i="67"/>
  <c r="Q68" i="67" s="1"/>
  <c r="C35" i="11"/>
  <c r="C38" i="11"/>
  <c r="C38" i="68"/>
  <c r="C35" i="68"/>
  <c r="C80" i="67"/>
  <c r="C79" i="67" s="1"/>
  <c r="J65" i="40"/>
  <c r="K63" i="40"/>
  <c r="C39" i="69"/>
  <c r="C42" i="69"/>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Q67" i="67"/>
  <c r="L57" i="67"/>
  <c r="L60" i="67" s="1"/>
  <c r="L57" i="15"/>
  <c r="L60" i="15" s="1"/>
  <c r="Q56" i="67"/>
  <c r="Q47" i="67"/>
  <c r="Q53" i="67" s="1"/>
  <c r="Q65" i="67"/>
  <c r="C43" i="67"/>
  <c r="D2" i="67"/>
  <c r="C83" i="67"/>
  <c r="C82" i="67" s="1"/>
  <c r="C75" i="15" l="1"/>
  <c r="L46" i="15"/>
  <c r="J13" i="15"/>
  <c r="J23" i="15" s="1"/>
  <c r="C37" i="15"/>
  <c r="C30" i="15" s="1"/>
  <c r="C39" i="15" s="1"/>
  <c r="Q69" i="15" s="1"/>
  <c r="Q70" i="15"/>
  <c r="C58" i="15"/>
  <c r="C67" i="15" s="1"/>
  <c r="C68" i="15" s="1"/>
  <c r="C71" i="15" s="1"/>
  <c r="J16" i="15"/>
  <c r="J25" i="15" s="1"/>
  <c r="C40" i="15"/>
  <c r="Q65" i="15" s="1"/>
  <c r="C57" i="80"/>
  <c r="J59" i="80"/>
  <c r="J60" i="80" s="1"/>
  <c r="Q48" i="80" s="1"/>
  <c r="C36" i="80"/>
  <c r="C13" i="80"/>
  <c r="J14" i="80"/>
  <c r="Q49" i="80"/>
  <c r="J19" i="80"/>
  <c r="J17" i="80" s="1"/>
  <c r="C57" i="79"/>
  <c r="J59" i="79"/>
  <c r="J60" i="79" s="1"/>
  <c r="Q48" i="79" s="1"/>
  <c r="C13" i="79"/>
  <c r="J14" i="79"/>
  <c r="C36" i="79"/>
  <c r="Q49" i="79"/>
  <c r="J19" i="79"/>
  <c r="J17" i="79" s="1"/>
  <c r="C45" i="67"/>
  <c r="C46" i="67" s="1"/>
  <c r="Q66" i="80"/>
  <c r="Q57" i="80"/>
  <c r="Q66" i="79"/>
  <c r="Q57" i="79"/>
  <c r="C33" i="68"/>
  <c r="C39" i="68" s="1"/>
  <c r="C43" i="68" s="1"/>
  <c r="C33" i="11"/>
  <c r="C39" i="11" s="1"/>
  <c r="C42" i="68"/>
  <c r="C42" i="11"/>
  <c r="L63" i="40"/>
  <c r="K65" i="40"/>
  <c r="E39" i="43"/>
  <c r="G39" i="43"/>
  <c r="I39" i="43" s="1"/>
  <c r="C28" i="69"/>
  <c r="C27" i="69" s="1"/>
  <c r="C25" i="69"/>
  <c r="C22" i="69" s="1"/>
  <c r="J7" i="39"/>
  <c r="H7" i="39"/>
  <c r="F7" i="39"/>
  <c r="C46" i="69"/>
  <c r="C45" i="69" s="1"/>
  <c r="C43" i="69"/>
  <c r="C41" i="69" s="1"/>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66" i="67"/>
  <c r="Q75" i="67" s="1"/>
  <c r="Q57" i="67"/>
  <c r="Q62" i="67" s="1"/>
  <c r="B2" i="67"/>
  <c r="B3" i="67"/>
  <c r="L51" i="15"/>
  <c r="C80" i="15" l="1"/>
  <c r="C79" i="15" s="1"/>
  <c r="Q67" i="15"/>
  <c r="Q56" i="15"/>
  <c r="Q62" i="15" s="1"/>
  <c r="Q47" i="15"/>
  <c r="Q53" i="15" s="1"/>
  <c r="Q75" i="15"/>
  <c r="C83" i="15"/>
  <c r="C82" i="15" s="1"/>
  <c r="Q68" i="15"/>
  <c r="C43" i="15"/>
  <c r="B2" i="15"/>
  <c r="F8" i="12" s="1"/>
  <c r="C46" i="15"/>
  <c r="Q70" i="79"/>
  <c r="C75" i="79"/>
  <c r="C56" i="79"/>
  <c r="C65" i="79" s="1"/>
  <c r="C37" i="79"/>
  <c r="C30" i="79" s="1"/>
  <c r="C39" i="79" s="1"/>
  <c r="C64" i="79"/>
  <c r="C61" i="79"/>
  <c r="C59" i="79" s="1"/>
  <c r="Q70" i="80"/>
  <c r="C75" i="80"/>
  <c r="C56" i="80"/>
  <c r="C65" i="80" s="1"/>
  <c r="C37" i="80"/>
  <c r="C30" i="80" s="1"/>
  <c r="C39" i="80" s="1"/>
  <c r="L46" i="80"/>
  <c r="J22" i="79"/>
  <c r="J13" i="79"/>
  <c r="J23" i="79" s="1"/>
  <c r="J22" i="80"/>
  <c r="J13" i="80"/>
  <c r="J23" i="80" s="1"/>
  <c r="C61" i="80"/>
  <c r="C59" i="80" s="1"/>
  <c r="C64" i="80"/>
  <c r="L46" i="79"/>
  <c r="B3" i="15"/>
  <c r="F6" i="12" s="1"/>
  <c r="C46" i="68"/>
  <c r="C45" i="68" s="1"/>
  <c r="C43" i="11"/>
  <c r="C41" i="11" s="1"/>
  <c r="C46" i="11"/>
  <c r="C45" i="11" s="1"/>
  <c r="C41" i="68"/>
  <c r="C49" i="69"/>
  <c r="C51" i="69" s="1"/>
  <c r="C27" i="43"/>
  <c r="M63" i="40"/>
  <c r="L65" i="40"/>
  <c r="C31" i="69"/>
  <c r="C26" i="43"/>
  <c r="AB7" i="39"/>
  <c r="T48" i="39" s="1"/>
  <c r="G48" i="39" s="1"/>
  <c r="U7" i="39"/>
  <c r="N46" i="36"/>
  <c r="O46" i="36" s="1"/>
  <c r="F7" i="36" s="1"/>
  <c r="H7" i="36"/>
  <c r="J7" i="36"/>
  <c r="S7" i="39"/>
  <c r="AA7" i="39"/>
  <c r="R48" i="39" s="1"/>
  <c r="AC7" i="39"/>
  <c r="V48" i="39" s="1"/>
  <c r="I48" i="39" s="1"/>
  <c r="W7" i="39"/>
  <c r="AO9" i="1"/>
  <c r="L51" i="79"/>
  <c r="L51" i="80"/>
  <c r="E6" i="76"/>
  <c r="C58" i="80" l="1"/>
  <c r="C67" i="80" s="1"/>
  <c r="C68" i="80" s="1"/>
  <c r="C71" i="80" s="1"/>
  <c r="J16" i="79"/>
  <c r="J25" i="79" s="1"/>
  <c r="C58" i="79"/>
  <c r="C67" i="79" s="1"/>
  <c r="C68" i="79" s="1"/>
  <c r="B9" i="70"/>
  <c r="J16" i="80"/>
  <c r="J25" i="80" s="1"/>
  <c r="Q67" i="80"/>
  <c r="Q67" i="79"/>
  <c r="Q69" i="80"/>
  <c r="Q68" i="80" s="1"/>
  <c r="C40" i="80"/>
  <c r="B2" i="80" s="1"/>
  <c r="Q69" i="79"/>
  <c r="Q68" i="79" s="1"/>
  <c r="C40" i="79"/>
  <c r="C80" i="80"/>
  <c r="C79" i="80" s="1"/>
  <c r="C71" i="79"/>
  <c r="C80" i="79"/>
  <c r="C79" i="79" s="1"/>
  <c r="C49" i="68"/>
  <c r="C51" i="68" s="1"/>
  <c r="C49" i="11"/>
  <c r="C51" i="11" s="1"/>
  <c r="C52" i="11" s="1"/>
  <c r="B2" i="11" s="1"/>
  <c r="B3" i="11" s="1"/>
  <c r="C52" i="69"/>
  <c r="B2" i="69" s="1"/>
  <c r="B3" i="69" s="1"/>
  <c r="M65" i="40"/>
  <c r="N63" i="40"/>
  <c r="E2" i="76"/>
  <c r="I52" i="39"/>
  <c r="J52" i="39" s="1"/>
  <c r="U7" i="36"/>
  <c r="AB7" i="36"/>
  <c r="T36" i="36" s="1"/>
  <c r="G36" i="36" s="1"/>
  <c r="G53" i="39"/>
  <c r="H53" i="39" s="1"/>
  <c r="G52" i="39"/>
  <c r="H52" i="39" s="1"/>
  <c r="E48" i="39"/>
  <c r="I53" i="39" s="1"/>
  <c r="J53" i="39" s="1"/>
  <c r="R49" i="39"/>
  <c r="AC7" i="36"/>
  <c r="V36" i="36" s="1"/>
  <c r="I36" i="36" s="1"/>
  <c r="W7" i="36"/>
  <c r="S7" i="36"/>
  <c r="AA7" i="36"/>
  <c r="R36" i="36" s="1"/>
  <c r="B2" i="43"/>
  <c r="AO10" i="1"/>
  <c r="B6" i="76"/>
  <c r="C46" i="80" l="1"/>
  <c r="C46" i="79"/>
  <c r="B10" i="70"/>
  <c r="Q47" i="79"/>
  <c r="Q53" i="79" s="1"/>
  <c r="B2" i="79"/>
  <c r="C83" i="79"/>
  <c r="C82" i="79" s="1"/>
  <c r="Q56" i="79"/>
  <c r="Q62" i="79" s="1"/>
  <c r="C43" i="79"/>
  <c r="Q65" i="79"/>
  <c r="Q75" i="79" s="1"/>
  <c r="Q47" i="80"/>
  <c r="Q53" i="80" s="1"/>
  <c r="Q65" i="80"/>
  <c r="Q75" i="80" s="1"/>
  <c r="C83" i="80"/>
  <c r="C82" i="80" s="1"/>
  <c r="C43" i="80"/>
  <c r="Q56" i="80"/>
  <c r="Q62" i="80" s="1"/>
  <c r="G8" i="12"/>
  <c r="C44" i="80"/>
  <c r="B3" i="80"/>
  <c r="G6" i="12" s="1"/>
  <c r="C56" i="11"/>
  <c r="C57" i="11" s="1"/>
  <c r="C57" i="69"/>
  <c r="C56" i="69" s="1"/>
  <c r="O63" i="40"/>
  <c r="O65" i="40" s="1"/>
  <c r="F7" i="40" s="1"/>
  <c r="N65" i="40"/>
  <c r="J7" i="40"/>
  <c r="H7" i="40"/>
  <c r="B2" i="76"/>
  <c r="B3" i="76" s="1"/>
  <c r="B3" i="43"/>
  <c r="I40" i="36"/>
  <c r="J40" i="36" s="1"/>
  <c r="E52" i="39"/>
  <c r="F52" i="39" s="1"/>
  <c r="E53" i="39"/>
  <c r="F53" i="39" s="1"/>
  <c r="E36" i="36"/>
  <c r="I41" i="36" s="1"/>
  <c r="J41" i="36" s="1"/>
  <c r="R37" i="36"/>
  <c r="C49" i="39"/>
  <c r="C48" i="39"/>
  <c r="G40" i="36"/>
  <c r="H40" i="36" s="1"/>
  <c r="G41" i="36"/>
  <c r="H41" i="36" s="1"/>
  <c r="AO8" i="1"/>
  <c r="B8" i="70" l="1"/>
  <c r="B2" i="70" s="1"/>
  <c r="B3" i="70" s="1"/>
  <c r="B3" i="79"/>
  <c r="E6" i="12" s="1"/>
  <c r="E8" i="12"/>
  <c r="C4" i="12" s="1"/>
  <c r="AA7" i="40"/>
  <c r="R42" i="40" s="1"/>
  <c r="S7" i="40"/>
  <c r="AB7" i="40"/>
  <c r="T42" i="40" s="1"/>
  <c r="G42" i="40" s="1"/>
  <c r="U7" i="40"/>
  <c r="AC7" i="40"/>
  <c r="V42" i="40" s="1"/>
  <c r="I42" i="40" s="1"/>
  <c r="I46" i="40" s="1"/>
  <c r="J46" i="40" s="1"/>
  <c r="W7" i="40"/>
  <c r="C37" i="36"/>
  <c r="B2" i="36" s="1"/>
  <c r="B3" i="36" s="1"/>
  <c r="C36" i="36"/>
  <c r="B61" i="39"/>
  <c r="F61" i="39" s="1"/>
  <c r="B59" i="39"/>
  <c r="F59" i="39" s="1"/>
  <c r="B65" i="39"/>
  <c r="F65" i="39" s="1"/>
  <c r="B58" i="39"/>
  <c r="F58" i="39" s="1"/>
  <c r="B63" i="39"/>
  <c r="F63" i="39" s="1"/>
  <c r="B62" i="39"/>
  <c r="F62" i="39" s="1"/>
  <c r="B57" i="39"/>
  <c r="F57" i="39" s="1"/>
  <c r="B60" i="39"/>
  <c r="F60" i="39" s="1"/>
  <c r="B66" i="39"/>
  <c r="F66" i="39" s="1"/>
  <c r="B64" i="39"/>
  <c r="F64" i="39" s="1"/>
  <c r="E40" i="36"/>
  <c r="F40" i="36" s="1"/>
  <c r="E41" i="36"/>
  <c r="F41" i="36" s="1"/>
  <c r="C23" i="12" l="1"/>
  <c r="C31" i="12"/>
  <c r="F67" i="39"/>
  <c r="B2" i="39" s="1"/>
  <c r="G47" i="40"/>
  <c r="H47" i="40" s="1"/>
  <c r="G46" i="40"/>
  <c r="H46" i="40" s="1"/>
  <c r="E42" i="40"/>
  <c r="R43" i="40"/>
  <c r="B3" i="39" l="1"/>
  <c r="C6" i="68"/>
  <c r="C27" i="12"/>
  <c r="C25" i="12" s="1"/>
  <c r="C30" i="12"/>
  <c r="C28" i="12" s="1"/>
  <c r="I47" i="40"/>
  <c r="J47" i="40" s="1"/>
  <c r="E46" i="40"/>
  <c r="F46" i="40" s="1"/>
  <c r="E47" i="40"/>
  <c r="F47" i="40" s="1"/>
  <c r="C42" i="40"/>
  <c r="C43" i="40"/>
  <c r="C7" i="68" l="1"/>
  <c r="C5" i="68" s="1"/>
  <c r="C32" i="12"/>
  <c r="B2" i="12" s="1"/>
  <c r="B3" i="12" s="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D19" i="9"/>
  <c r="D20" i="9"/>
  <c r="C23" i="68" l="1"/>
  <c r="C20" i="68"/>
  <c r="C25" i="68" s="1"/>
  <c r="D21" i="9"/>
  <c r="D102" i="9"/>
  <c r="D103" i="9"/>
  <c r="C28" i="68" l="1"/>
  <c r="C27" i="68" s="1"/>
  <c r="C22" i="68"/>
  <c r="C31" i="68" l="1"/>
  <c r="C52" i="68" s="1"/>
  <c r="B2" i="68" s="1"/>
  <c r="B3" i="68" s="1"/>
  <c r="C19" i="9"/>
  <c r="C20" i="9"/>
  <c r="C102" i="9" l="1"/>
  <c r="G19" i="9"/>
  <c r="C21" i="9"/>
  <c r="D22" i="9"/>
  <c r="C57" i="68"/>
  <c r="C103" i="9"/>
  <c r="G20" i="9"/>
  <c r="J20" i="9"/>
  <c r="D35" i="9"/>
  <c r="C32" i="9" l="1"/>
  <c r="G21" i="9"/>
  <c r="C56" i="68"/>
  <c r="H118" i="9"/>
  <c r="C35" i="9"/>
  <c r="F118" i="9" s="1"/>
  <c r="D34" i="9"/>
  <c r="C34" i="9" l="1"/>
  <c r="D118" i="9" s="1"/>
  <c r="D4" i="52" s="1"/>
  <c r="B47" i="72" s="1"/>
  <c r="F4" i="52"/>
  <c r="B51" i="72" s="1"/>
  <c r="F119" i="9"/>
  <c r="F5" i="52" s="1"/>
  <c r="B53" i="72" s="1"/>
  <c r="G118" i="9"/>
  <c r="G4" i="52" s="1"/>
  <c r="B52" i="72" s="1"/>
  <c r="D119" i="9"/>
  <c r="D5" i="52" s="1"/>
  <c r="B49" i="72" s="1"/>
  <c r="H119" i="9"/>
  <c r="H5" i="52" s="1"/>
  <c r="H101" i="9"/>
  <c r="C104" i="9"/>
  <c r="H4" i="52"/>
  <c r="I118" i="9"/>
  <c r="D14" i="74"/>
  <c r="C105" i="9" l="1"/>
  <c r="H102" i="9"/>
  <c r="D7" i="53" s="1"/>
  <c r="B21" i="72" s="1"/>
  <c r="I4" i="52"/>
  <c r="E118" i="9"/>
  <c r="E4" i="52" s="1"/>
  <c r="B48" i="72" s="1"/>
  <c r="F14" i="74"/>
  <c r="E14" i="74"/>
  <c r="B5" i="74"/>
  <c r="M48" i="9"/>
  <c r="D45" i="9"/>
  <c r="D5" i="53"/>
  <c r="H107" i="9"/>
  <c r="B20" i="72" l="1"/>
  <c r="D6" i="53"/>
  <c r="B22" i="72" s="1"/>
  <c r="D13" i="53"/>
  <c r="H108" i="9"/>
  <c r="D15" i="53" s="1"/>
  <c r="B31" i="72" s="1"/>
  <c r="D122" i="9"/>
  <c r="C72" i="9"/>
  <c r="D53" i="9"/>
  <c r="C85" i="9"/>
  <c r="C78" i="9"/>
  <c r="C73" i="9" s="1"/>
  <c r="D52" i="9"/>
  <c r="C93" i="9"/>
  <c r="C86" i="9" s="1"/>
  <c r="C64" i="9"/>
  <c r="C63" i="9" s="1"/>
  <c r="C67" i="9" s="1"/>
  <c r="C68" i="9" s="1"/>
  <c r="D54" i="9" s="1"/>
  <c r="D55" i="9"/>
  <c r="M53" i="9" s="1"/>
  <c r="C5" i="74"/>
  <c r="D5" i="74"/>
  <c r="C95" i="9" l="1"/>
  <c r="C79" i="9"/>
  <c r="C96" i="9"/>
  <c r="E96" i="9" s="1"/>
  <c r="E97" i="9" s="1"/>
  <c r="D123" i="9"/>
  <c r="D9" i="52" s="1"/>
  <c r="G14" i="74"/>
  <c r="B6" i="74" s="1"/>
  <c r="D8" i="52"/>
  <c r="D14" i="53"/>
  <c r="B32" i="72" s="1"/>
  <c r="B30" i="72"/>
  <c r="C80" i="9" l="1"/>
  <c r="E80" i="9" s="1"/>
  <c r="E81" i="9" s="1"/>
  <c r="C6" i="74"/>
  <c r="D6" i="74"/>
  <c r="C97" i="9"/>
  <c r="D58" i="9" s="1"/>
  <c r="D56" i="9" s="1"/>
  <c r="M54" i="9" s="1"/>
  <c r="N57" i="9" s="1"/>
  <c r="C81" i="9" l="1"/>
  <c r="N58" i="9"/>
  <c r="N59" i="9"/>
  <c r="P57"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shapeId="0">
      <text>
        <r>
          <rPr>
            <b/>
            <sz val="12"/>
            <color indexed="81"/>
            <rFont val="宋体"/>
            <family val="3"/>
            <charset val="134"/>
          </rPr>
          <t>价值时点所在季度</t>
        </r>
        <r>
          <rPr>
            <sz val="12"/>
            <color indexed="81"/>
            <rFont val="宋体"/>
            <family val="3"/>
            <charset val="134"/>
          </rPr>
          <t xml:space="preserve">
</t>
        </r>
      </text>
    </comment>
    <comment ref="B72"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<sst xmlns="http://schemas.openxmlformats.org/spreadsheetml/2006/main" count="10241" uniqueCount="3657">
  <si>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</si>
  <si>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</si>
  <si>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</si>
  <si>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</si>
  <si>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</si>
  <si>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</si>
  <si>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</si>
  <si>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</si>
  <si>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</si>
  <si>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</si>
  <si>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</si>
  <si>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</si>
  <si>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</si>
  <si>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</si>
  <si>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</si>
  <si>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</si>
  <si>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</si>
  <si>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</si>
  <si>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</si>
  <si>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</si>
  <si>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</si>
  <si>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</si>
  <si>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</si>
  <si>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</si>
  <si>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</si>
  <si>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</si>
  <si>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</si>
  <si>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</si>
  <si>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</si>
  <si>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</si>
  <si>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</si>
  <si>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</si>
  <si>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</si>
  <si>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</si>
  <si>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</si>
  <si>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</si>
  <si>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</si>
  <si>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</si>
  <si>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</si>
  <si>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</si>
  <si>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</si>
  <si>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</si>
  <si>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</si>
  <si>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</si>
  <si>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</si>
  <si>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</si>
  <si>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</si>
  <si>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</si>
  <si>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</si>
  <si>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</si>
  <si>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</si>
  <si>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</si>
  <si>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</si>
  <si>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</si>
  <si>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</si>
  <si>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</si>
  <si>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</si>
  <si>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</si>
  <si>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</si>
  <si>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</si>
  <si>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</si>
  <si>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</si>
  <si>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</si>
  <si>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</si>
  <si>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</si>
  <si>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</si>
  <si>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</si>
  <si>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</si>
  <si>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</si>
  <si>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</si>
  <si>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</si>
  <si>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</si>
  <si>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</si>
  <si>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</si>
  <si>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</si>
  <si>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</si>
  <si>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</si>
  <si>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</si>
  <si>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</si>
  <si>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</si>
  <si>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</si>
  <si>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</si>
  <si>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</si>
  <si>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</si>
  <si>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</si>
  <si>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</si>
  <si>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</si>
  <si>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</si>
  <si>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</si>
  <si>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</si>
  <si>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</si>
  <si>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</si>
  <si>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</si>
  <si>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</si>
  <si>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</si>
  <si>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</si>
  <si>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</si>
  <si>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</si>
  <si>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</si>
  <si>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</si>
  <si>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</si>
  <si>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</si>
  <si>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</si>
  <si>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</si>
  <si>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</si>
  <si>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</si>
  <si>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</si>
  <si>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</si>
  <si>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</si>
  <si>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</si>
  <si>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</si>
  <si>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</si>
  <si>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</si>
  <si>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</si>
  <si>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</si>
  <si>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</si>
  <si>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</si>
  <si>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</si>
  <si>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</si>
  <si>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</si>
  <si>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</si>
  <si>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</si>
  <si>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</si>
  <si>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</si>
  <si>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</si>
  <si>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</si>
  <si>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</si>
  <si>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</si>
  <si>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</si>
  <si>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</si>
  <si>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</si>
  <si>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</si>
  <si>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</si>
  <si>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</si>
  <si>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</si>
  <si>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</si>
  <si>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</si>
  <si>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</si>
  <si>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</si>
  <si>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</si>
  <si>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</si>
  <si>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</si>
  <si>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</si>
  <si>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</si>
  <si>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</si>
  <si>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</si>
  <si>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</si>
  <si>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</si>
  <si>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</si>
  <si>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</si>
  <si>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</si>
  <si>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</si>
  <si>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</si>
  <si>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</si>
  <si>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</si>
  <si>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</si>
  <si>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</si>
  <si>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</si>
  <si>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</si>
  <si>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</si>
  <si>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</si>
  <si>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</si>
  <si>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</si>
  <si>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</si>
  <si>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</si>
  <si>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</si>
  <si>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</si>
  <si>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</si>
  <si>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</si>
  <si>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</si>
  <si>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</si>
  <si>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</si>
  <si>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</si>
  <si>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</si>
  <si>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</si>
  <si>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</si>
  <si>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</si>
  <si>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</si>
  <si>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</si>
  <si>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</si>
  <si>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</si>
  <si>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</si>
  <si>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</si>
  <si>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</si>
  <si>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</si>
  <si>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</si>
  <si>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</si>
  <si>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</si>
  <si>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</si>
  <si>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</si>
  <si>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</si>
  <si>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</si>
  <si>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</si>
  <si>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</si>
  <si>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</si>
  <si>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</si>
  <si>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</si>
  <si>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</si>
  <si>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</si>
  <si>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</si>
  <si>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</si>
  <si>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</si>
  <si>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</si>
  <si>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</si>
  <si>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</si>
  <si>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</si>
  <si>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</si>
  <si>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</si>
  <si>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</si>
  <si>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</si>
  <si>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</si>
  <si>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</si>
  <si>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</si>
  <si>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</si>
  <si>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</si>
  <si>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</si>
  <si>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</si>
  <si>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</si>
  <si>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</si>
  <si>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</si>
  <si>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</si>
  <si>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</si>
  <si>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</si>
  <si>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</si>
  <si>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</si>
  <si>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</si>
  <si>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</si>
  <si>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</si>
  <si>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</si>
  <si>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</si>
  <si>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</si>
  <si>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</si>
  <si>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</si>
  <si>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</si>
  <si>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</si>
  <si>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</si>
  <si>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</si>
  <si>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</si>
  <si>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</si>
  <si>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</si>
  <si>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</si>
  <si>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</si>
  <si>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</si>
  <si>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</si>
  <si>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</si>
  <si>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</si>
  <si>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</si>
  <si>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</si>
  <si>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</si>
  <si>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</si>
  <si>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</si>
  <si>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</si>
  <si>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</si>
  <si>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</si>
  <si>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</si>
  <si>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</si>
  <si>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</si>
  <si>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</si>
  <si>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</si>
  <si>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</si>
  <si>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</si>
  <si>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</si>
  <si>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</si>
  <si>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</si>
  <si>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</si>
  <si>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</si>
  <si>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</si>
  <si>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</si>
  <si>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</si>
  <si>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</si>
  <si>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</si>
  <si>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</si>
  <si>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</si>
  <si>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</si>
  <si>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</si>
  <si>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</si>
  <si>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</si>
  <si>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</si>
  <si>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</si>
  <si>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</si>
  <si>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</si>
  <si>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</si>
  <si>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</si>
  <si>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</si>
  <si>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</si>
  <si>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</si>
  <si>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</si>
  <si>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</si>
  <si>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</si>
  <si>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</si>
  <si>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</si>
  <si>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</si>
  <si>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</si>
  <si>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</si>
  <si>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</si>
  <si>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</si>
  <si>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</si>
  <si>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</si>
  <si>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</si>
  <si>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</si>
  <si>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</si>
  <si>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</si>
  <si>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</si>
  <si>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</si>
  <si>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</si>
  <si>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</si>
  <si>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</si>
  <si>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</si>
  <si>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</si>
  <si>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</si>
  <si>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</si>
  <si>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</si>
  <si>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</si>
  <si>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</si>
  <si>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</si>
  <si>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</si>
  <si>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</si>
  <si>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</si>
  <si>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</si>
  <si>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</si>
  <si>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</si>
  <si>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</si>
  <si>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</si>
  <si>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</si>
  <si>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</si>
  <si>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</si>
  <si>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</si>
  <si>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</si>
  <si>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</si>
  <si>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</si>
  <si>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</si>
  <si>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</si>
  <si>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</si>
  <si>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</si>
  <si>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</si>
  <si>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</si>
  <si>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</si>
  <si>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</si>
  <si>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</si>
  <si>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</si>
  <si>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</si>
  <si>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</si>
  <si>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</si>
  <si>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</si>
  <si>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</si>
  <si>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</si>
  <si>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</si>
  <si>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</si>
  <si>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</si>
  <si>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</si>
  <si>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</si>
  <si>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</si>
  <si>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</si>
  <si>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</si>
  <si>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</si>
  <si>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</si>
  <si>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</si>
  <si>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</si>
  <si>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</si>
  <si>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</si>
  <si>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</si>
  <si>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</si>
  <si>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</si>
  <si>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</si>
  <si>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</si>
  <si>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</si>
  <si>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</si>
  <si>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</si>
  <si>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</si>
  <si>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</si>
  <si>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</si>
  <si>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</si>
  <si>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</si>
  <si>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</si>
  <si>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</si>
  <si>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</si>
  <si>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</si>
  <si>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</si>
  <si>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</si>
  <si>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</si>
  <si>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</si>
  <si>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</si>
  <si>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</si>
  <si>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</si>
  <si>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</si>
  <si>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</si>
  <si>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</si>
  <si>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</si>
  <si>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</si>
  <si>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</si>
  <si>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</si>
  <si>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</si>
  <si>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</si>
  <si>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</si>
  <si>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</si>
  <si>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</si>
  <si>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</si>
  <si>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</si>
  <si>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</si>
  <si>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</si>
  <si>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</si>
  <si>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</si>
  <si>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</si>
  <si>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</si>
  <si>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</si>
  <si>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</si>
  <si>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</si>
  <si>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</si>
  <si>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</si>
  <si>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</si>
  <si>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</si>
  <si>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</si>
  <si>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</si>
  <si>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</si>
  <si>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</si>
  <si>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</si>
  <si>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</si>
  <si>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</si>
  <si>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</si>
  <si>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</si>
  <si>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</si>
  <si>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</si>
  <si>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</si>
  <si>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</si>
  <si>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</si>
  <si>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</si>
  <si>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</si>
  <si>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</si>
  <si>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</si>
  <si>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</si>
  <si>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</si>
  <si>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</si>
  <si>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</si>
  <si>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</si>
  <si>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</si>
  <si>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</si>
  <si>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</si>
  <si>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</si>
  <si>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</si>
  <si>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</si>
  <si>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</si>
  <si>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</si>
  <si>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</si>
  <si>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</si>
  <si>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</si>
  <si>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</si>
  <si>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</si>
  <si>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</si>
  <si>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</si>
  <si>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</si>
  <si>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</si>
  <si>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</si>
  <si>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</si>
  <si>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</si>
  <si>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</si>
  <si>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</si>
  <si>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</si>
  <si>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</si>
  <si>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</si>
  <si>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</si>
  <si>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</si>
  <si>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</si>
  <si>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</si>
  <si>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</si>
  <si>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</si>
  <si>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</si>
  <si>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</si>
  <si>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</si>
  <si>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</si>
  <si>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</si>
  <si>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</si>
  <si>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</si>
  <si>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</si>
  <si>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</si>
  <si>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</si>
  <si>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</si>
  <si>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</si>
  <si>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</si>
  <si>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</si>
  <si>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</si>
  <si>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</si>
  <si>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</si>
  <si>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</si>
  <si>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</si>
  <si>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</si>
  <si>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</si>
  <si>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</si>
  <si>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</si>
  <si>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</si>
  <si>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</si>
  <si>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</si>
  <si>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</si>
  <si>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</si>
  <si>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</si>
  <si>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</si>
  <si>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</si>
  <si>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</si>
  <si>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</si>
  <si>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</si>
  <si>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</si>
  <si>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</si>
  <si>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</si>
  <si>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</si>
  <si>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</si>
  <si>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</si>
  <si>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</si>
  <si>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</si>
  <si>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</si>
  <si>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</si>
  <si>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</si>
  <si>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</si>
  <si>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</si>
  <si>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</si>
  <si>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</si>
  <si>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</si>
  <si>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</si>
  <si>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</si>
  <si>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</si>
  <si>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</si>
  <si>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</si>
  <si>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</si>
  <si>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</si>
  <si>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</si>
  <si>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</si>
  <si>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</si>
  <si>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</si>
  <si>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</si>
  <si>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</si>
  <si>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</si>
  <si>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</si>
  <si>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</si>
  <si>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</si>
  <si>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</si>
  <si>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</si>
  <si>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</si>
  <si>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</si>
  <si>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</si>
  <si>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</si>
  <si>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</si>
  <si>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</si>
  <si>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</si>
  <si>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</si>
  <si>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</si>
  <si>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</si>
  <si>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</si>
  <si>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</si>
  <si>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</si>
  <si>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</si>
  <si>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</si>
  <si>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</si>
  <si>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</si>
  <si>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</si>
  <si>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</si>
  <si>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</si>
  <si>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</si>
  <si>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</si>
  <si>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</si>
  <si>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</si>
  <si>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</si>
  <si>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</si>
  <si>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</si>
  <si>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</si>
  <si>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</si>
  <si>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</si>
  <si>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</si>
  <si>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</si>
  <si>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</si>
  <si>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</si>
  <si>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</si>
  <si>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</si>
  <si>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</si>
  <si>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</si>
  <si>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</si>
  <si>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</si>
  <si>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</si>
  <si>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</si>
  <si>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</si>
  <si>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</si>
  <si>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</si>
  <si>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</si>
  <si>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</si>
  <si>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</si>
  <si>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</si>
  <si>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</si>
  <si>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</si>
  <si>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</si>
  <si>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</si>
  <si>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</si>
  <si>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</si>
  <si>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</si>
  <si>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</si>
  <si>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</si>
  <si>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</si>
  <si>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</si>
  <si>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</si>
  <si>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</si>
  <si>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</si>
  <si>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</si>
  <si>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</si>
  <si>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</si>
  <si>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</si>
  <si>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</si>
  <si>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</si>
  <si>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</si>
  <si>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</si>
  <si>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</si>
  <si>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</si>
  <si>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</si>
  <si>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</si>
  <si>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</si>
  <si>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</si>
  <si>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</si>
  <si>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</si>
  <si>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</si>
  <si>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</si>
  <si>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</si>
  <si>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</si>
  <si>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</si>
  <si>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</si>
  <si>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</si>
  <si>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</si>
  <si>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</si>
  <si>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</si>
  <si>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</si>
  <si>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</si>
  <si>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</si>
  <si>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</si>
  <si>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</si>
  <si>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</si>
  <si>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</si>
  <si>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</si>
  <si>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</si>
  <si>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</si>
  <si>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</si>
  <si>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</si>
  <si>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</si>
  <si>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</si>
  <si>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</si>
  <si>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</si>
  <si>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</si>
  <si>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</si>
  <si>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</si>
  <si>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</si>
  <si>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</si>
  <si>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</si>
  <si>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</si>
  <si>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</si>
  <si>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</si>
  <si>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</si>
  <si>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</si>
  <si>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</si>
  <si>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</si>
  <si>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</si>
  <si>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</si>
  <si>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</si>
  <si>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</si>
  <si>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</si>
  <si>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</si>
  <si>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</si>
  <si>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</si>
  <si>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</si>
  <si>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</si>
  <si>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</si>
  <si>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</si>
  <si>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</si>
  <si>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</si>
  <si>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</si>
  <si>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</si>
  <si>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</si>
  <si>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</si>
  <si>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</si>
  <si>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</si>
  <si>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</si>
  <si>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</si>
  <si>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</si>
  <si>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</si>
  <si>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</si>
  <si>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</si>
  <si>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</si>
  <si>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</si>
  <si>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</si>
  <si>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</si>
  <si>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</si>
  <si>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</si>
  <si>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</si>
  <si>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</si>
  <si>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</si>
  <si>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</si>
  <si>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</si>
  <si>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</si>
  <si>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</si>
  <si>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</si>
  <si>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</si>
  <si>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</si>
  <si>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</si>
  <si>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</si>
  <si>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</si>
  <si>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</si>
  <si>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</si>
  <si>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</si>
  <si>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</si>
  <si>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</si>
  <si>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</si>
  <si>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</si>
  <si>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</si>
  <si>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</si>
  <si>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</si>
  <si>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</si>
  <si>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</si>
  <si>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</si>
  <si>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</si>
  <si>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</si>
  <si>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</si>
  <si>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</si>
  <si>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</si>
  <si>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</si>
  <si>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</si>
  <si>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</si>
  <si>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</si>
  <si>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</si>
  <si>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</si>
  <si>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</si>
  <si>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</si>
  <si>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</si>
  <si>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</si>
  <si>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</si>
  <si>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</si>
  <si>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</si>
  <si>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</si>
  <si>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</si>
  <si>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</si>
  <si>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</si>
  <si>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</si>
  <si>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</si>
  <si>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</si>
  <si>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</si>
  <si>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</si>
  <si>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</si>
  <si>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</si>
  <si>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</si>
  <si>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</si>
  <si>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</si>
  <si>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</si>
  <si>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</si>
  <si>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</si>
  <si>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</si>
  <si>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</si>
  <si>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</si>
  <si>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</si>
  <si>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</si>
  <si>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</si>
  <si>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</si>
  <si>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</si>
  <si>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</si>
  <si>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</si>
  <si>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</si>
  <si>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</si>
  <si>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</si>
  <si>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</si>
  <si>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</si>
  <si>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</si>
  <si>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</si>
  <si>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</si>
  <si>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</si>
  <si>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</si>
  <si>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</si>
  <si>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</si>
  <si>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</si>
  <si>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</si>
  <si>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</si>
  <si>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</si>
  <si>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</si>
  <si>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</si>
  <si>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</si>
  <si>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</si>
  <si>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</si>
  <si>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</si>
  <si>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</si>
  <si>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</si>
  <si>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</si>
  <si>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</si>
  <si>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</si>
  <si>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</si>
  <si>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</si>
  <si>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</si>
  <si>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</si>
  <si>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</si>
  <si>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</si>
  <si>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</si>
  <si>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</si>
  <si>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</si>
  <si>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</si>
  <si>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</si>
  <si>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</si>
  <si>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</si>
  <si>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</si>
  <si>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</si>
  <si>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</si>
  <si>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</si>
  <si>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</si>
  <si>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</si>
  <si>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</si>
  <si>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</si>
  <si>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</si>
  <si>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</si>
  <si>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</si>
  <si>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</si>
  <si>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</si>
  <si>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</si>
  <si>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</si>
  <si>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</si>
  <si>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</si>
  <si>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</si>
  <si>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</si>
  <si>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</si>
  <si>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</si>
  <si>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</si>
  <si>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</si>
  <si>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</si>
  <si>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</si>
  <si>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</si>
  <si>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</si>
  <si>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</si>
  <si>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</si>
  <si>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</si>
  <si>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</si>
  <si>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</si>
  <si>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</si>
  <si>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</si>
  <si>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</si>
  <si>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</si>
  <si>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</si>
  <si>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</si>
  <si>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</si>
  <si>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</si>
  <si>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</si>
  <si>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</si>
  <si>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</si>
  <si>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</si>
  <si>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</si>
  <si>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</si>
  <si>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</si>
  <si>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</si>
  <si>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</si>
  <si>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</si>
  <si>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</si>
  <si>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</si>
  <si>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</si>
  <si>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</si>
  <si>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</si>
  <si>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</si>
  <si>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</si>
  <si>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</si>
  <si>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</si>
  <si>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</si>
  <si>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</si>
  <si>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</si>
  <si>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</si>
  <si>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</si>
  <si>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</si>
  <si>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</si>
  <si>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</si>
  <si>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</si>
  <si>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</si>
  <si>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</si>
  <si>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</si>
  <si>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</si>
  <si>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</si>
  <si>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</si>
  <si>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</si>
  <si>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</si>
  <si>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</si>
  <si>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</si>
  <si>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</si>
  <si>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</si>
  <si>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</si>
  <si>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</si>
  <si>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</si>
  <si>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</si>
  <si>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</si>
  <si>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</si>
  <si>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</si>
  <si>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</si>
  <si>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</si>
  <si>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</si>
  <si>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</si>
  <si>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</si>
  <si>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</si>
  <si>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</si>
  <si>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</si>
  <si>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</si>
  <si>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</si>
  <si>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</si>
  <si>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</si>
  <si>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</si>
  <si>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</si>
  <si>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</si>
  <si>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</si>
  <si>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</si>
  <si>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</si>
  <si>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</si>
  <si>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</si>
  <si>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</si>
  <si>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</si>
  <si>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</si>
  <si>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</si>
  <si>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</si>
  <si>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</si>
  <si>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</si>
  <si>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</si>
  <si>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</si>
  <si>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</si>
  <si>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</si>
  <si>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</si>
  <si>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</si>
  <si>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</si>
  <si>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</si>
  <si>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</si>
  <si>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</si>
  <si>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</si>
  <si>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</si>
  <si>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</si>
  <si>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</si>
  <si>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</si>
  <si>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</si>
  <si>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</si>
  <si>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</si>
  <si>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</si>
  <si>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</si>
  <si>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</si>
  <si>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</si>
  <si>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</si>
  <si>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</si>
  <si>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</si>
  <si>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</si>
  <si>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</si>
  <si>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</si>
  <si>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</si>
  <si>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</si>
  <si>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</si>
  <si>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</si>
  <si>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</si>
  <si>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</si>
  <si>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</si>
  <si>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</si>
  <si>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</si>
  <si>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</si>
  <si>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</si>
  <si>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</si>
  <si>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</si>
  <si>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</si>
  <si>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</si>
  <si>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</si>
  <si>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</si>
  <si>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</si>
  <si>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</si>
  <si>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</si>
  <si>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</si>
  <si>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</si>
  <si>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</si>
  <si>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</si>
  <si>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</si>
  <si>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</si>
  <si>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</si>
  <si>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</si>
  <si>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</si>
  <si>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</si>
  <si>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</si>
  <si>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</si>
  <si>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</si>
  <si>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</si>
  <si>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</si>
  <si>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</si>
  <si>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</si>
  <si>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</si>
  <si>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</si>
  <si>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</si>
  <si>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</si>
  <si>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</si>
  <si>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</si>
  <si>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</si>
  <si>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</si>
  <si>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</si>
  <si>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</si>
  <si>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</si>
  <si>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</si>
  <si>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</si>
  <si>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</si>
  <si>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</si>
  <si>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</si>
  <si>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</si>
  <si>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</si>
  <si>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</si>
  <si>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</si>
  <si>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</si>
  <si>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</si>
  <si>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</si>
  <si>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</si>
  <si>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</si>
  <si>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</si>
  <si>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</si>
  <si>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</si>
  <si>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</si>
  <si>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</si>
  <si>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</si>
  <si>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</si>
  <si>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</si>
  <si>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</si>
  <si>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</si>
  <si>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</si>
  <si>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</si>
  <si>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</si>
  <si>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</si>
  <si>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</si>
  <si>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</si>
  <si>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</si>
  <si>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</si>
  <si>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</si>
  <si>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</si>
  <si>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</si>
  <si>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</si>
  <si>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</si>
  <si>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</si>
  <si>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</si>
  <si>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</si>
  <si>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</si>
  <si>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</si>
  <si>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</si>
  <si>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</si>
  <si>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</si>
  <si>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</si>
  <si>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</si>
  <si>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</si>
  <si>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</si>
  <si>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</si>
  <si>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</si>
  <si>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</si>
  <si>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</si>
  <si>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</si>
  <si>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</si>
  <si>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</si>
  <si>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</si>
  <si>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</si>
  <si>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</si>
  <si>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</si>
  <si>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</si>
  <si>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</si>
  <si>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</si>
  <si>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</si>
  <si>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</si>
  <si>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</si>
  <si>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</si>
  <si>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</si>
  <si>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</si>
  <si>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</si>
  <si>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</si>
  <si>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</si>
  <si>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</si>
  <si>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</si>
  <si>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</si>
  <si>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</si>
  <si>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</si>
  <si>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</si>
  <si>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</si>
  <si>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</si>
  <si>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</si>
  <si>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</si>
  <si>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</si>
  <si>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</si>
  <si>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</si>
  <si>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</si>
  <si>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</si>
  <si>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</si>
  <si>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</si>
  <si>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</si>
  <si>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</si>
  <si>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</si>
  <si>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</si>
  <si>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</si>
  <si>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</si>
  <si>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</si>
  <si>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</si>
  <si>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</si>
  <si>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</si>
  <si>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</si>
  <si>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</si>
  <si>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</si>
  <si>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</si>
  <si>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</si>
  <si>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</si>
  <si>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</si>
  <si>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</si>
  <si>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</si>
  <si>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</si>
  <si>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</si>
  <si>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</si>
  <si>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</si>
  <si>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</si>
  <si>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</si>
  <si>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</si>
  <si>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</si>
  <si>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</si>
  <si>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</si>
  <si>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</si>
  <si>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</si>
  <si>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</si>
  <si>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</si>
  <si>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</si>
  <si>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</si>
  <si>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</si>
  <si>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</si>
  <si>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</si>
  <si>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</si>
  <si>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</si>
  <si>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</si>
  <si>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</si>
  <si>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</si>
  <si>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</si>
  <si>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</si>
  <si>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</si>
  <si>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</si>
  <si>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</si>
  <si>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</si>
  <si>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</si>
  <si>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</si>
  <si>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</si>
  <si>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</si>
  <si>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</si>
  <si>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</si>
  <si>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</si>
  <si>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</si>
  <si>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</si>
  <si>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</si>
  <si>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</si>
  <si>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</si>
  <si>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</si>
  <si>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</si>
  <si>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</si>
  <si>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</si>
  <si>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</si>
  <si>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</si>
  <si>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</si>
  <si>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</si>
  <si>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</si>
  <si>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</si>
  <si>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</si>
  <si>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</si>
  <si>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</si>
  <si>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</si>
  <si>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</si>
  <si>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</si>
  <si>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</si>
  <si>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</si>
  <si>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</si>
  <si>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</si>
  <si>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</si>
  <si>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</si>
  <si>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</si>
  <si>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</si>
  <si>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</si>
  <si>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</si>
  <si>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</si>
  <si>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</si>
  <si>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</si>
  <si>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</si>
  <si>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</si>
  <si>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</si>
  <si>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</si>
  <si>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</si>
  <si>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</si>
  <si>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</si>
  <si>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</si>
  <si>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</si>
  <si>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</si>
  <si>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</si>
  <si>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</si>
  <si>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</si>
  <si>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</si>
  <si>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</si>
  <si>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</si>
  <si>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</si>
  <si>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</si>
  <si>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</si>
  <si>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</si>
  <si>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</si>
  <si>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</si>
  <si>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</si>
  <si>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</si>
  <si>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</si>
  <si>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</si>
  <si>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</si>
  <si>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</si>
  <si>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</si>
  <si>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</si>
  <si>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</si>
  <si>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</si>
  <si>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</si>
  <si>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</si>
  <si>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</si>
  <si>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</si>
  <si>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</si>
  <si>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</si>
  <si>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</si>
  <si>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</si>
  <si>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</si>
  <si>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</si>
  <si>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</si>
  <si>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</si>
  <si>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</si>
  <si>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</si>
  <si>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</si>
  <si>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</si>
  <si>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</si>
  <si>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</si>
  <si>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</si>
  <si>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</si>
  <si>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</si>
  <si>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</si>
  <si>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</si>
  <si>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</si>
  <si>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</si>
  <si>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</si>
  <si>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</si>
  <si>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</si>
  <si>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</si>
  <si>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</si>
  <si>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</si>
  <si>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</si>
  <si>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</si>
  <si>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</si>
  <si>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</si>
  <si>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</si>
  <si>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</si>
  <si>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</si>
  <si>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</si>
  <si>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</si>
  <si>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</si>
  <si>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</si>
  <si>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</si>
  <si>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</si>
  <si>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</si>
  <si>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</si>
  <si>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</si>
  <si>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</si>
  <si>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</si>
  <si>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</si>
  <si>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</si>
  <si>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</si>
  <si>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</si>
  <si>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</si>
  <si>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</si>
  <si>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</si>
  <si>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</si>
  <si>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</si>
  <si>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</si>
  <si>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</si>
  <si>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</si>
  <si>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</si>
  <si>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</si>
  <si>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</si>
  <si>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</si>
  <si>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</si>
  <si>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</si>
  <si>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</si>
  <si>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</si>
  <si>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</si>
  <si>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</si>
  <si>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</si>
  <si>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</si>
  <si>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</si>
  <si>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</si>
  <si>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</si>
  <si>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</si>
  <si>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</si>
  <si>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</si>
  <si>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</si>
  <si>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</si>
  <si>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</si>
  <si>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</si>
  <si>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</si>
  <si>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</si>
  <si>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</si>
  <si>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</si>
  <si>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</si>
  <si>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</si>
  <si>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</si>
  <si>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</si>
  <si>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</si>
  <si>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</si>
  <si>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</si>
  <si>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</si>
  <si>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</si>
  <si>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</si>
  <si>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</si>
  <si>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</si>
  <si>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</si>
  <si>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</si>
  <si>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</si>
  <si>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</si>
  <si>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</si>
  <si>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</si>
  <si>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</si>
  <si>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</si>
  <si>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</si>
  <si>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</si>
  <si>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</si>
  <si>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</si>
  <si>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</si>
  <si>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</si>
  <si>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</si>
  <si>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</si>
  <si>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</si>
  <si>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</si>
  <si>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</si>
  <si>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</si>
  <si>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</si>
  <si>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</si>
  <si>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</si>
  <si>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</si>
  <si>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</si>
  <si>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</si>
  <si>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</si>
  <si>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</si>
  <si>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</si>
  <si>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</si>
  <si>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</si>
  <si>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</si>
  <si>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</si>
  <si>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</si>
  <si>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</si>
  <si>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</si>
  <si>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</si>
  <si>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</si>
  <si>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</si>
  <si>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</si>
  <si>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</si>
  <si>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</si>
  <si>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</si>
  <si>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</si>
  <si>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</si>
  <si>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</si>
  <si>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</si>
  <si>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</si>
  <si>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</si>
  <si>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</si>
  <si>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</si>
  <si>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</si>
  <si>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</si>
  <si>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</si>
  <si>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</si>
  <si>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</si>
  <si>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</si>
  <si>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</si>
  <si>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</si>
  <si>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</si>
  <si>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</si>
  <si>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</si>
  <si>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</si>
  <si>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</si>
  <si>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</si>
  <si>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</si>
  <si>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</si>
  <si>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</si>
  <si>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</si>
  <si>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</si>
  <si>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</si>
  <si>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</si>
  <si>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</si>
  <si>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</si>
  <si>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</si>
  <si>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</si>
  <si>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</si>
  <si>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</si>
  <si>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</si>
  <si>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</si>
  <si>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</si>
  <si>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</si>
  <si>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</si>
  <si>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</si>
  <si>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</si>
  <si>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</si>
  <si>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</si>
  <si>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</si>
  <si>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</si>
  <si>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</si>
  <si>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</si>
  <si>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</si>
  <si>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</si>
  <si>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</si>
  <si>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</si>
  <si>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</si>
  <si>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</si>
  <si>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</si>
  <si>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</si>
  <si>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</si>
  <si>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</si>
  <si>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</si>
  <si>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</si>
  <si>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</si>
  <si>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</si>
  <si>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</si>
  <si>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</si>
  <si>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</si>
  <si>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</si>
  <si>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</si>
  <si>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</si>
  <si>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</si>
  <si>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</si>
  <si>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</si>
  <si>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</si>
  <si>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</si>
  <si>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</si>
  <si>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</si>
  <si>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</si>
  <si>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</si>
  <si>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</si>
  <si>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</si>
  <si>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</si>
  <si>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</si>
  <si>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</si>
  <si>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</si>
  <si>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</si>
  <si>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</si>
  <si>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</si>
  <si>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</si>
  <si>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</si>
  <si>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</si>
  <si>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</si>
  <si>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</si>
  <si>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</si>
  <si>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</si>
  <si>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</si>
  <si>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</si>
  <si>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</si>
  <si>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</si>
  <si>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</si>
  <si>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</si>
  <si>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</si>
  <si>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</si>
  <si>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</si>
  <si>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</si>
  <si>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</si>
  <si>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</si>
  <si>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</si>
  <si>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</si>
  <si>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</si>
  <si>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</si>
  <si>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</si>
  <si>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</si>
  <si>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</si>
  <si>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</si>
  <si>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</si>
  <si>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</si>
  <si>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</si>
  <si>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</si>
  <si>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</si>
  <si>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</si>
  <si>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</si>
  <si>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</si>
  <si>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</si>
  <si>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</si>
  <si>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</si>
  <si>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</si>
  <si>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</si>
  <si>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</si>
  <si>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</si>
  <si>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</si>
  <si>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</si>
  <si>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</si>
  <si>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</si>
  <si>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</si>
  <si>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</si>
  <si>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</si>
  <si>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</si>
  <si>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</si>
  <si>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</si>
  <si>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</si>
  <si>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</si>
  <si>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</si>
  <si>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</si>
  <si>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</si>
  <si>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</si>
  <si>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</si>
  <si>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</si>
  <si>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</si>
  <si>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</si>
  <si>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</si>
  <si>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</si>
  <si>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</si>
  <si>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</si>
  <si>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</si>
  <si>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</si>
  <si>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</si>
  <si>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</si>
  <si>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</si>
  <si>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</si>
  <si>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</si>
  <si>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</si>
  <si>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</si>
  <si>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</si>
  <si>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</si>
  <si>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</si>
  <si>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</si>
  <si>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</si>
  <si>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</si>
  <si>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</si>
  <si>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</si>
  <si>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</si>
  <si>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</si>
  <si>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</si>
  <si>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</si>
  <si>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</si>
  <si>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</si>
  <si>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</si>
  <si>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</si>
  <si>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</si>
  <si>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</si>
  <si>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</si>
  <si>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</si>
  <si>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</si>
  <si>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</si>
  <si>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</si>
  <si>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</si>
  <si>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</si>
  <si>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</si>
  <si>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</si>
  <si>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</si>
  <si>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</si>
  <si>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</si>
  <si>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</si>
  <si>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</si>
  <si>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</si>
  <si>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</si>
  <si>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</si>
  <si>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</si>
  <si>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</si>
  <si>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</si>
  <si>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</si>
  <si>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</si>
  <si>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</si>
  <si>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</si>
  <si>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</si>
  <si>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</si>
  <si>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</si>
  <si>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</si>
  <si>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</si>
  <si>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</si>
  <si>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</si>
  <si>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</si>
  <si>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</si>
  <si>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</si>
  <si>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</si>
  <si>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</si>
  <si>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</si>
  <si>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</si>
  <si>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</si>
  <si>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</si>
  <si>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</si>
  <si>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</si>
  <si>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</si>
  <si>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</si>
  <si>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</si>
  <si>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</si>
  <si>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</si>
  <si>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</si>
  <si>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</si>
  <si>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</si>
  <si>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</si>
  <si>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</si>
  <si>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</si>
  <si>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</si>
  <si>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</si>
  <si>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</si>
  <si>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</si>
  <si>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</si>
  <si>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</si>
  <si>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</si>
  <si>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</si>
  <si>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</si>
  <si>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</si>
  <si>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</si>
  <si>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</si>
  <si>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</si>
  <si>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</si>
  <si>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</si>
  <si>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</si>
  <si>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</si>
  <si>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</si>
  <si>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</si>
  <si>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</si>
  <si>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</si>
  <si>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</si>
  <si>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</si>
  <si>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</si>
  <si>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</si>
  <si>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</si>
  <si>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</si>
  <si>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</si>
  <si>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</si>
  <si>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</si>
  <si>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</si>
  <si>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</si>
  <si>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</si>
  <si>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</si>
  <si>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</si>
  <si>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</si>
  <si>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</si>
  <si>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</si>
  <si>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</si>
  <si>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</si>
  <si>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</si>
  <si>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</si>
  <si>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</si>
  <si>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</si>
  <si>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</si>
  <si>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</si>
  <si>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</si>
  <si>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</si>
  <si>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</si>
  <si>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</si>
  <si>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</si>
  <si>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</si>
  <si>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</si>
  <si>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</si>
  <si>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</si>
  <si>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</si>
  <si>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</si>
  <si>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</si>
  <si>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</si>
  <si>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</si>
  <si>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</si>
  <si>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</si>
  <si>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</si>
  <si>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</si>
  <si>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</si>
  <si>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</si>
  <si>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</si>
  <si>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</si>
  <si>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</si>
  <si>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</si>
  <si>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</si>
  <si>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</si>
  <si>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</si>
  <si>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</si>
  <si>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</si>
  <si>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</si>
  <si>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</si>
  <si>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</si>
  <si>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</si>
  <si>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</si>
  <si>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</si>
  <si>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</si>
  <si>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</si>
  <si>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</si>
  <si>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</si>
  <si>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</si>
  <si>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</si>
  <si>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</si>
  <si>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</si>
  <si>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</si>
  <si>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</si>
  <si>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</si>
  <si>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</si>
  <si>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</si>
  <si>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</si>
  <si>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</si>
  <si>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</si>
  <si>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</si>
  <si>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</si>
  <si>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</si>
  <si>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</si>
  <si>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</si>
  <si>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</si>
  <si>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</si>
  <si>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</si>
  <si>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</si>
  <si>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</si>
  <si>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</si>
  <si>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</si>
  <si>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</si>
  <si>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</si>
  <si>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</si>
  <si>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</si>
  <si>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</si>
  <si>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</si>
  <si>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</si>
  <si>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</si>
  <si>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</si>
  <si>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</si>
  <si>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</si>
  <si>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</si>
  <si>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</si>
  <si>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</si>
  <si>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</si>
  <si>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</si>
  <si>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</si>
  <si>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</si>
  <si>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</si>
  <si>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</si>
  <si>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</si>
  <si>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</si>
  <si>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</si>
  <si>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</si>
  <si>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</si>
  <si>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</si>
  <si>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</si>
  <si>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</si>
  <si>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</si>
  <si>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</si>
  <si>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</si>
  <si>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</si>
  <si>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</si>
  <si>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</si>
  <si>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</si>
  <si>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</si>
  <si>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</si>
  <si>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</si>
  <si>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</si>
  <si>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</si>
  <si>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</si>
  <si>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</si>
  <si>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</si>
  <si>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</si>
  <si>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</si>
  <si>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</si>
  <si>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</si>
  <si>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</si>
  <si>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</si>
  <si>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</si>
  <si>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</si>
  <si>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</si>
  <si>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</si>
  <si>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</si>
  <si>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</si>
  <si>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</si>
  <si>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</si>
  <si>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</si>
  <si>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</si>
  <si>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</si>
  <si>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</si>
  <si>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</si>
  <si>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</si>
  <si>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</si>
  <si>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</si>
  <si>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</si>
  <si>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</si>
  <si>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</si>
  <si>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</si>
  <si>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</si>
  <si>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</si>
  <si>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</si>
  <si>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</si>
  <si>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</si>
  <si>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</si>
  <si>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</si>
  <si>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</si>
  <si>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</si>
  <si>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</si>
  <si>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</si>
  <si>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</si>
  <si>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</si>
  <si>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</si>
  <si>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</si>
  <si>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</si>
  <si>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</si>
  <si>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</si>
  <si>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</si>
  <si>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</si>
  <si>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</si>
  <si>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</si>
  <si>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</si>
  <si>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</si>
  <si>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</si>
  <si>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</si>
  <si>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</si>
  <si>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</si>
  <si>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</si>
  <si>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</si>
  <si>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</si>
  <si>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</si>
  <si>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</si>
  <si>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</si>
  <si>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</si>
  <si>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</si>
  <si>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</si>
  <si>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</si>
  <si>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</si>
  <si>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</si>
  <si>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</si>
  <si>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</si>
  <si>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</si>
  <si>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</si>
  <si>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</si>
  <si>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</si>
  <si>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</si>
  <si>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</si>
  <si>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</si>
  <si>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</si>
  <si>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</si>
  <si>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</si>
  <si>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</si>
  <si>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</si>
  <si>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</si>
  <si>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</si>
  <si>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</si>
  <si>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</si>
  <si>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</si>
  <si>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</si>
  <si>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</si>
  <si>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</si>
  <si>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</si>
  <si>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</si>
  <si>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</si>
  <si>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</si>
  <si>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</si>
  <si>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</si>
  <si>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</si>
  <si>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</si>
  <si>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</si>
  <si>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</si>
  <si>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</si>
  <si>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</si>
  <si>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</si>
  <si>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</si>
  <si>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</si>
  <si>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</si>
  <si>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</si>
  <si>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</si>
  <si>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</si>
  <si>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</si>
  <si>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</si>
  <si>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</si>
  <si>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</si>
  <si>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</si>
  <si>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</si>
  <si>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</si>
  <si>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</si>
  <si>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</si>
  <si>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</si>
  <si>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</si>
  <si>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</si>
  <si>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</si>
  <si>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</si>
  <si>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</si>
  <si>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</si>
  <si>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</si>
  <si>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</si>
  <si>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</si>
  <si>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</si>
  <si>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</si>
  <si>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</si>
  <si>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</si>
  <si>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</si>
  <si>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</si>
  <si>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</si>
  <si>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</si>
  <si>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</si>
  <si>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</si>
  <si>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</si>
  <si>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</si>
  <si>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</si>
  <si>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</si>
  <si>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</si>
  <si>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</si>
  <si>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</si>
  <si>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</si>
  <si>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</si>
  <si>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</si>
  <si>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</si>
  <si>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</si>
  <si>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</si>
  <si>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</si>
  <si>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</si>
  <si>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</si>
  <si>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</si>
  <si>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</si>
  <si>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</si>
  <si>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</si>
  <si>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</si>
  <si>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</si>
  <si>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</si>
  <si>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</si>
  <si>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</si>
  <si>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</si>
  <si>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</si>
  <si>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</si>
  <si>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</si>
  <si>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</si>
  <si>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</si>
  <si>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</si>
  <si>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</si>
  <si>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</si>
  <si>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</si>
  <si>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</si>
  <si>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</si>
  <si>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</si>
  <si>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</si>
  <si>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</si>
  <si>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</si>
  <si>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</si>
  <si>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</si>
  <si>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</si>
  <si>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</si>
  <si>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</si>
  <si>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</si>
  <si>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</si>
  <si>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</si>
  <si>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</si>
  <si>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</si>
  <si>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</si>
  <si>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</si>
  <si>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</si>
  <si>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</si>
  <si>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</si>
  <si>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</si>
  <si>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</si>
  <si>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</si>
  <si>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</si>
  <si>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</si>
  <si>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</si>
  <si>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</si>
  <si>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</si>
  <si>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</si>
  <si>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</si>
  <si>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</si>
  <si>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</si>
  <si>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</si>
  <si>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</si>
  <si>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</si>
  <si>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</si>
  <si>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</si>
  <si>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</si>
  <si>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</si>
  <si>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</si>
  <si>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</si>
  <si>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</si>
  <si>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</si>
  <si>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</si>
  <si>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</si>
  <si>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</si>
  <si>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</si>
  <si>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</si>
  <si>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</si>
  <si>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</si>
  <si>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</si>
  <si>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</si>
  <si>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</si>
  <si>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</si>
  <si>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</si>
  <si>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</si>
  <si>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</si>
  <si>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</si>
  <si>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</si>
  <si>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</si>
  <si>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</si>
  <si>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</si>
  <si>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</si>
  <si>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</si>
  <si>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</si>
  <si>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</si>
  <si>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</si>
  <si>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</si>
  <si>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</si>
  <si>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</si>
  <si>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</si>
  <si>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</si>
  <si>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</si>
  <si>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</si>
  <si>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</si>
  <si>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</si>
  <si>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</si>
  <si>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</si>
  <si>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</si>
  <si>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</si>
  <si>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</si>
  <si>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</si>
  <si>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</si>
  <si>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</si>
  <si>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</si>
  <si>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</si>
  <si>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</si>
  <si>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</si>
  <si>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</si>
  <si>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</si>
  <si>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</si>
  <si>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</si>
  <si>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</si>
  <si>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</si>
  <si>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</si>
  <si>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</si>
  <si>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</si>
  <si>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</si>
  <si>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</si>
  <si>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</si>
  <si>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</si>
  <si>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</si>
  <si>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</si>
  <si>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</si>
  <si>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</si>
  <si>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</si>
  <si>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</si>
  <si>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</si>
  <si>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</si>
  <si>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</si>
  <si>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</si>
  <si>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</si>
  <si>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</si>
  <si>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</si>
  <si>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</si>
  <si>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</si>
  <si>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</si>
  <si>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</si>
  <si>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</si>
  <si>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</si>
  <si>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</si>
  <si>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</si>
  <si>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</si>
  <si>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</si>
  <si>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</si>
  <si>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</si>
  <si>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</si>
  <si>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</si>
  <si>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</si>
  <si>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</si>
  <si>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</si>
  <si>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</si>
  <si>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</si>
  <si>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</si>
  <si>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</si>
  <si>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</si>
  <si>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</si>
  <si>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</si>
  <si>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</si>
  <si>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</si>
  <si>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</si>
  <si>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</si>
  <si>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</si>
  <si>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</si>
  <si>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</si>
  <si>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</si>
  <si>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</si>
  <si>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</si>
  <si>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</si>
  <si>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</si>
  <si>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</si>
  <si>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</si>
  <si>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</si>
  <si>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</si>
  <si>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</si>
  <si>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</si>
  <si>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</si>
  <si>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</si>
  <si>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</si>
  <si>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</si>
  <si>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</si>
  <si>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</si>
  <si>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</si>
  <si>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</si>
  <si>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</si>
  <si>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</si>
  <si>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</si>
  <si>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</si>
  <si>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</si>
  <si>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</si>
  <si>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</si>
  <si>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</si>
  <si>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</si>
  <si>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</si>
  <si>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</si>
  <si>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</si>
  <si>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</si>
  <si>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</si>
  <si>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</si>
  <si>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</si>
  <si>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</si>
  <si>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</si>
  <si>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</si>
  <si>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</si>
  <si>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</si>
  <si>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</si>
  <si>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</si>
  <si>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</si>
  <si>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</si>
  <si>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</si>
  <si>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</si>
  <si>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</si>
  <si>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</si>
  <si>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</si>
  <si>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</si>
  <si>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</si>
  <si>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</si>
  <si>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</si>
  <si>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</si>
  <si>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</si>
  <si>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</si>
  <si>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</si>
  <si>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</si>
  <si>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</si>
  <si>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</si>
  <si>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</si>
  <si>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</si>
  <si>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</si>
  <si>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</si>
  <si>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</si>
  <si>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</si>
  <si>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</si>
  <si>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</si>
  <si>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</si>
  <si>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</si>
  <si>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</si>
  <si>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</si>
  <si>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</si>
  <si>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</si>
  <si>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</si>
  <si>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</si>
  <si>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</si>
  <si>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</si>
  <si>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</si>
  <si>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</si>
  <si>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</si>
  <si>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</si>
  <si>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</si>
  <si>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</si>
  <si>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</si>
  <si>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</si>
  <si>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</si>
  <si>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</si>
  <si>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</si>
  <si>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</si>
  <si>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</si>
  <si>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</si>
  <si>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</si>
  <si>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</si>
  <si>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</si>
  <si>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</si>
  <si>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</si>
  <si>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</si>
  <si>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</si>
  <si>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</si>
  <si>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</si>
  <si>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</si>
  <si>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</si>
  <si>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</si>
  <si>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</si>
  <si>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</si>
  <si>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</si>
  <si>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</si>
  <si>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</si>
  <si>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</si>
  <si>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</si>
  <si>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</si>
  <si>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</si>
  <si>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</si>
  <si>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</si>
  <si>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</si>
  <si>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</si>
  <si>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</si>
  <si>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</si>
  <si>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</si>
  <si>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</si>
  <si>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</si>
  <si>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</si>
  <si>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</si>
  <si>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</si>
  <si>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</si>
  <si>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</si>
  <si>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</si>
  <si>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</si>
  <si>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</si>
  <si>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</si>
  <si>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</si>
  <si>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</si>
  <si>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</si>
  <si>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</si>
  <si>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</si>
  <si>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</si>
  <si>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</si>
  <si>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</si>
  <si>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</si>
  <si>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</si>
  <si>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</si>
  <si>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</si>
  <si>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</si>
  <si>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</si>
  <si>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</si>
  <si>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</si>
  <si>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</si>
  <si>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</si>
  <si>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</si>
  <si>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</si>
  <si>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</si>
  <si>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</si>
  <si>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</si>
  <si>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</si>
  <si>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</si>
  <si>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</si>
  <si>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</si>
  <si>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</si>
  <si>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</si>
  <si>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</si>
  <si>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</si>
  <si>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</si>
  <si>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</si>
  <si>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</si>
  <si>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</si>
  <si>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</si>
  <si>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</si>
  <si>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</si>
  <si>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</si>
  <si>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</si>
  <si>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</si>
  <si>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</si>
  <si>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</si>
  <si>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</si>
  <si>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</si>
  <si>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</si>
  <si>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</si>
  <si>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</si>
  <si>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</si>
  <si>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</si>
  <si>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</si>
  <si>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</si>
  <si>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</si>
  <si>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</si>
  <si>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</si>
  <si>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</si>
  <si>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</si>
  <si>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</si>
  <si>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</si>
  <si>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</si>
  <si>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</si>
  <si>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</si>
  <si>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</si>
  <si>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</si>
  <si>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</si>
  <si>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</si>
  <si>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</si>
  <si>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</si>
  <si>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</si>
  <si>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</si>
  <si>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</si>
  <si>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</si>
  <si>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</si>
  <si>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</si>
  <si>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</si>
  <si>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</si>
  <si>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</si>
  <si>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</si>
  <si>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</si>
  <si>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</si>
  <si>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</si>
  <si>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</si>
  <si>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</si>
  <si>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</si>
  <si>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</si>
  <si>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</si>
  <si>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</si>
  <si>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</si>
  <si>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</si>
  <si>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</si>
  <si>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</si>
  <si>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</si>
  <si>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</si>
  <si>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</si>
  <si>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</si>
  <si>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</si>
  <si>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</si>
  <si>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</si>
  <si>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</si>
  <si>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</si>
  <si>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</si>
  <si>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</si>
  <si>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</si>
  <si>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</si>
  <si>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</si>
  <si>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</si>
  <si>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</si>
  <si>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</si>
  <si>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</si>
  <si>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</si>
  <si>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</si>
  <si>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</si>
  <si>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</si>
  <si>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</si>
  <si>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</si>
  <si>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</si>
  <si>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</si>
  <si>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</si>
  <si>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</si>
  <si>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</si>
  <si>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</si>
  <si>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</si>
  <si>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</si>
  <si>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</si>
  <si>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</si>
  <si>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</si>
  <si>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</si>
  <si>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</si>
  <si>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</si>
  <si>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</si>
  <si>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</si>
  <si>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</si>
  <si>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</si>
  <si>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</si>
  <si>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</si>
  <si>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</si>
  <si>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</si>
  <si>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</si>
  <si>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</si>
  <si>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</si>
  <si>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</si>
  <si>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</si>
  <si>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</si>
  <si>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</si>
  <si>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</si>
  <si>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</si>
  <si>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</si>
  <si>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</si>
  <si>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</si>
  <si>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</si>
  <si>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</si>
  <si>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</si>
  <si>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</si>
  <si>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</si>
  <si>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</si>
  <si>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</si>
  <si>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</si>
  <si>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</si>
  <si>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</si>
  <si>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</si>
  <si>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</si>
  <si>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</si>
  <si>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</si>
  <si>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</si>
  <si>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</si>
  <si>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</si>
  <si>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</si>
  <si>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</si>
  <si>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</si>
  <si>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</si>
  <si>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</si>
  <si>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</si>
  <si>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</si>
  <si>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</si>
  <si>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</si>
  <si>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</si>
  <si>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</si>
  <si>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</si>
  <si>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</si>
  <si>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</si>
  <si>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</si>
  <si>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</si>
  <si>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</si>
  <si>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</si>
  <si>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</si>
  <si>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</si>
  <si>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</si>
  <si>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</si>
  <si>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</si>
  <si>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</si>
  <si>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</si>
  <si>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</si>
  <si>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</si>
  <si>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</si>
  <si>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</si>
  <si>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</si>
  <si>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</si>
  <si>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</si>
  <si>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</si>
  <si>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</si>
  <si>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</si>
  <si>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</si>
  <si>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</si>
  <si>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</si>
  <si>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</si>
  <si>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</si>
  <si>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</si>
  <si>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</si>
  <si>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</si>
  <si>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</si>
  <si>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</si>
  <si>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</si>
  <si>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</si>
  <si>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</si>
  <si>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</si>
  <si>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</si>
  <si>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</si>
  <si>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</si>
  <si>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</si>
  <si>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</si>
  <si>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</si>
  <si>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</si>
  <si>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</si>
  <si>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</si>
  <si>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</si>
  <si>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</si>
  <si>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</si>
  <si>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</si>
  <si>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</si>
  <si>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</si>
  <si>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</si>
  <si>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</si>
  <si>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</si>
  <si>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</si>
  <si>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</si>
  <si>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</si>
  <si>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</si>
  <si>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</si>
  <si>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</si>
  <si>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</si>
  <si>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</si>
  <si>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</si>
  <si>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</si>
  <si>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</si>
  <si>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</si>
  <si>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</si>
  <si>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</si>
  <si>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</si>
  <si>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</si>
  <si>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</si>
  <si>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</si>
  <si>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</si>
  <si>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</si>
  <si>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</si>
  <si>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</si>
  <si>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</si>
  <si>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</si>
  <si>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</si>
  <si>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</si>
  <si>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</si>
  <si>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</si>
  <si>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</si>
  <si>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</si>
  <si>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</si>
  <si>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</si>
  <si>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</si>
  <si>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</si>
  <si>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</si>
  <si>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</si>
  <si>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</si>
  <si>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</si>
  <si>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</si>
  <si>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</si>
  <si>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</si>
  <si>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</si>
  <si>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</si>
  <si>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</si>
  <si>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</si>
  <si>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</si>
  <si>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</si>
  <si>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</si>
  <si>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</si>
  <si>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</si>
  <si>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</si>
  <si>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</si>
  <si>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</si>
  <si>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</si>
  <si>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</si>
  <si>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</si>
  <si>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</si>
  <si>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</si>
  <si>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</si>
  <si>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</si>
  <si>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</si>
  <si>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</si>
  <si>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</si>
  <si>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</si>
  <si>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</si>
  <si>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</si>
  <si>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</si>
  <si>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</si>
  <si>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</si>
  <si>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</si>
  <si>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</si>
  <si>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</si>
  <si>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</si>
  <si>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</si>
  <si>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</si>
  <si>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</si>
  <si>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</si>
  <si>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</si>
  <si>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</si>
  <si>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</si>
  <si>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</si>
  <si>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</si>
  <si>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</si>
  <si>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</si>
  <si>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</si>
  <si>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</si>
  <si>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</si>
  <si>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</si>
  <si>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</si>
  <si>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</si>
  <si>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</si>
  <si>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</si>
  <si>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</si>
  <si>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</si>
  <si>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</si>
  <si>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</si>
  <si>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</si>
  <si>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</si>
  <si>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</si>
  <si>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</si>
  <si>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</si>
  <si>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</si>
  <si>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</si>
  <si>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</si>
  <si>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</si>
  <si>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</si>
  <si>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</si>
  <si>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</si>
  <si>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</si>
  <si>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</si>
  <si>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</si>
  <si>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</si>
  <si>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</si>
  <si>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</si>
  <si>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</si>
  <si>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</si>
  <si>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</si>
  <si>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</si>
  <si>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</si>
  <si>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</si>
  <si>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</si>
  <si>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</si>
  <si>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</si>
  <si>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</si>
  <si>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</si>
  <si>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</si>
  <si>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</si>
  <si>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</si>
  <si>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</si>
  <si>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</si>
  <si>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</si>
  <si>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</si>
  <si>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</si>
  <si>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</si>
  <si>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</si>
  <si>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</si>
  <si>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</si>
  <si>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</si>
  <si>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</si>
  <si>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</si>
  <si>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</si>
  <si>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</si>
  <si>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</si>
  <si>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</si>
  <si>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</si>
  <si>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</si>
  <si>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</si>
  <si>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</si>
  <si>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</si>
  <si>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</si>
  <si>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</si>
  <si>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</si>
  <si>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</si>
  <si>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</si>
  <si>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</si>
  <si>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</si>
  <si>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</si>
  <si>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</si>
  <si>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</si>
  <si>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</si>
  <si>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</si>
  <si>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</si>
  <si>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</si>
  <si>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</si>
  <si>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</si>
  <si>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</si>
  <si>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</si>
  <si>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</si>
  <si>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</si>
  <si>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</si>
  <si>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</si>
  <si>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</si>
  <si>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</si>
  <si>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</si>
  <si>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</si>
  <si>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</si>
  <si>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</si>
  <si>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</si>
  <si>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</si>
  <si>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</si>
  <si>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</si>
  <si>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</si>
  <si>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</si>
  <si>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</si>
  <si>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</si>
  <si>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</si>
  <si>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</si>
  <si>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</si>
  <si>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</si>
  <si>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</si>
  <si>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</si>
  <si>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</si>
  <si>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</si>
  <si>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</si>
  <si>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</si>
  <si>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</si>
  <si>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</si>
  <si>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</si>
  <si>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</si>
  <si>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</si>
  <si>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</si>
  <si>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</si>
  <si>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</si>
  <si>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</si>
  <si>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</si>
  <si>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</si>
  <si>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</si>
  <si>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</si>
  <si>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</si>
  <si>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</si>
  <si>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</si>
  <si>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</si>
  <si>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</si>
  <si>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</si>
  <si>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</si>
  <si>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</si>
  <si>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</si>
  <si>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</si>
  <si>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</si>
  <si>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</si>
  <si>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</si>
  <si>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</si>
  <si>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</si>
  <si>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</si>
  <si>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</si>
  <si>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</si>
  <si>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</si>
  <si>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</si>
  <si>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</si>
  <si>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</si>
  <si>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</si>
  <si>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</si>
  <si>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</si>
  <si>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</si>
  <si>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</si>
  <si>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</si>
  <si>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</si>
  <si>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</si>
  <si>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</si>
  <si>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</si>
  <si>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</si>
  <si>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</si>
  <si>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</si>
  <si>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</si>
  <si>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</si>
  <si>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</si>
  <si>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</si>
  <si>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</si>
  <si>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</si>
  <si>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</si>
  <si>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</si>
  <si>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</si>
  <si>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</si>
  <si>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</si>
  <si>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</si>
  <si>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</si>
  <si>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</si>
  <si>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</si>
  <si>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</si>
  <si>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</si>
  <si>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</si>
  <si>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</si>
  <si>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</si>
  <si>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</si>
  <si>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</si>
  <si>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</si>
  <si>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</si>
  <si>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</si>
  <si>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</si>
  <si>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</si>
  <si>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</si>
  <si>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</si>
  <si>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</si>
  <si>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</si>
  <si>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</si>
  <si>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</si>
  <si>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</si>
  <si>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</si>
  <si>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</si>
  <si>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</si>
  <si>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</si>
  <si>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</si>
  <si>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</si>
  <si>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</si>
  <si>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</si>
  <si>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</si>
  <si>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</si>
  <si>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</si>
  <si>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</si>
  <si>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</si>
  <si>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</si>
  <si>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</si>
  <si>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</si>
  <si>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</si>
  <si>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</si>
  <si>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</si>
  <si>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</si>
  <si>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</si>
  <si>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</si>
  <si>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</si>
  <si>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</si>
  <si>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</si>
  <si>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</si>
  <si>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</si>
  <si>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</si>
  <si>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</si>
  <si>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</si>
  <si>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</si>
  <si>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</si>
  <si>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</si>
  <si>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</si>
  <si>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</si>
  <si>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</si>
  <si>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</si>
  <si>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</si>
  <si>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</si>
  <si>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</si>
  <si>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</si>
  <si>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</si>
  <si>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</si>
  <si>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</si>
  <si>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</si>
  <si>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</si>
  <si>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</si>
  <si>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</si>
  <si>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</si>
  <si>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</si>
  <si>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</si>
  <si>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</si>
  <si>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</si>
  <si>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</si>
  <si>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</si>
  <si>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</si>
  <si>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</si>
  <si>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</si>
  <si>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</si>
  <si>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</si>
  <si>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</si>
  <si>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</si>
  <si>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</si>
  <si>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</si>
  <si>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</si>
  <si>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</si>
  <si>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</si>
  <si>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</si>
  <si>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</si>
  <si>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</si>
  <si>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</si>
  <si>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</si>
  <si>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</si>
  <si>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</si>
  <si>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</si>
  <si>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</si>
  <si>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</si>
  <si>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</si>
  <si>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</si>
  <si>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</si>
  <si>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</si>
  <si>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</si>
  <si>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</si>
  <si>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</si>
  <si>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</si>
  <si>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</si>
  <si>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</si>
  <si>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</si>
  <si>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</si>
  <si>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</si>
  <si>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</si>
  <si>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</si>
  <si>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</si>
  <si>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</si>
  <si>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</si>
  <si>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</si>
  <si>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</si>
  <si>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</si>
  <si>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</si>
  <si>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</si>
  <si>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</si>
  <si>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</si>
  <si>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</si>
  <si>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</si>
  <si>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</si>
  <si>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</si>
  <si>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</si>
  <si>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</si>
  <si>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</si>
  <si>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</si>
  <si>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</si>
  <si>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</si>
  <si>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</si>
  <si>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</si>
  <si>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</si>
  <si>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</si>
  <si>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</si>
  <si>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</si>
  <si>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</si>
  <si>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</si>
  <si>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</si>
  <si>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</si>
  <si>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</si>
  <si>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</si>
  <si>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</si>
  <si>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</si>
  <si>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</si>
  <si>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</si>
  <si>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</si>
  <si>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</si>
  <si>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</si>
  <si>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</si>
  <si>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</si>
  <si>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</si>
  <si>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</si>
  <si>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</si>
  <si>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</si>
  <si>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</si>
  <si>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</si>
  <si>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</si>
  <si>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</si>
  <si>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</si>
  <si>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</si>
  <si>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</si>
  <si>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</si>
  <si>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</si>
  <si>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</si>
  <si>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</si>
  <si>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</si>
  <si>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</si>
  <si>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</si>
  <si>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</si>
  <si>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</si>
  <si>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</si>
  <si>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</si>
  <si>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</si>
  <si>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</si>
  <si>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</si>
  <si>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</si>
  <si>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</si>
  <si>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</si>
  <si>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</si>
  <si>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</si>
  <si>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</si>
  <si>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</si>
  <si>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</si>
  <si>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</si>
  <si>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</si>
  <si>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</si>
  <si>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</si>
  <si>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</si>
  <si>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</si>
  <si>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</si>
  <si>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</si>
  <si>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</si>
  <si>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</si>
  <si>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</si>
  <si>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</si>
  <si>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</si>
  <si>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</si>
  <si>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</si>
  <si>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</si>
  <si>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</si>
  <si>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</si>
  <si>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</si>
  <si>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</si>
  <si>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</si>
  <si>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</si>
  <si>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</si>
  <si>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</si>
  <si>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</si>
  <si>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</si>
  <si>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</si>
  <si>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</si>
  <si>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</si>
  <si>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</si>
  <si>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</si>
  <si>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</si>
  <si>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</si>
  <si>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</si>
  <si>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</si>
  <si>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</si>
  <si>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</si>
  <si>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</si>
  <si>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</si>
  <si>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</si>
  <si>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</si>
  <si>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</si>
  <si>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</si>
  <si>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</si>
  <si>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</si>
  <si>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</si>
  <si>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</si>
  <si>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</si>
  <si>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</si>
  <si>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</si>
  <si>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</si>
  <si>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</si>
  <si>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</si>
  <si>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</si>
  <si>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</si>
  <si>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</si>
  <si>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</si>
  <si>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</si>
  <si>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</si>
  <si>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</si>
  <si>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</si>
  <si>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</si>
  <si>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</si>
  <si>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</si>
  <si>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</si>
  <si>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</si>
  <si>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</si>
  <si>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</si>
  <si>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</si>
  <si>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</si>
  <si>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</si>
  <si>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</si>
  <si>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</si>
  <si>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</si>
  <si>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</si>
  <si>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</si>
  <si>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</si>
  <si>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</si>
  <si>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</si>
  <si>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</si>
  <si>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</si>
  <si>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</si>
  <si>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</si>
  <si>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</si>
  <si>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</si>
  <si>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</si>
  <si>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</si>
  <si>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</si>
  <si>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</si>
  <si>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</si>
  <si>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</si>
  <si>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</si>
  <si>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</si>
  <si>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</si>
  <si>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</si>
  <si>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</si>
  <si>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</si>
  <si>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</si>
  <si>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</si>
  <si>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</si>
  <si>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</si>
  <si>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</si>
  <si>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</si>
  <si>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</si>
  <si>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</si>
  <si>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</si>
  <si>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</si>
  <si>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</si>
  <si>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</si>
  <si>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</si>
  <si>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</si>
  <si>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</si>
  <si>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</si>
  <si>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</si>
  <si>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</si>
  <si>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</si>
  <si>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</si>
  <si>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</si>
  <si>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</si>
  <si>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</si>
  <si>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</si>
  <si>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</si>
  <si>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</si>
  <si>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</si>
  <si>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</si>
  <si>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</si>
  <si>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</si>
  <si>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</si>
  <si>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</si>
  <si>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</si>
  <si>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</si>
  <si>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</si>
  <si>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</si>
  <si>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</si>
  <si>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</si>
  <si>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</si>
  <si>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</si>
  <si>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</si>
  <si>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</si>
  <si>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</si>
  <si>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</si>
  <si>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</si>
  <si>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</si>
  <si>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</si>
  <si>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</si>
  <si>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</si>
  <si>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</si>
  <si>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</si>
  <si>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</si>
  <si>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</si>
  <si>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</si>
  <si>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</si>
  <si>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</si>
  <si>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</si>
  <si>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</si>
  <si>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</si>
  <si>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</si>
  <si>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</si>
  <si>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</si>
  <si>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</si>
  <si>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</si>
  <si>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</si>
  <si>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</si>
  <si>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</si>
  <si>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</si>
  <si>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</si>
  <si>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</si>
  <si>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</si>
  <si>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</si>
  <si>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</si>
  <si>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</si>
  <si>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</si>
  <si>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</si>
  <si>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</si>
  <si>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</si>
  <si>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</si>
  <si>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</si>
  <si>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</si>
  <si>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</si>
  <si>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</si>
  <si>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</si>
  <si>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</si>
  <si>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</si>
  <si>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</si>
  <si>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</si>
  <si>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</si>
  <si>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</si>
  <si>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</si>
  <si>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</si>
  <si>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</si>
  <si>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</si>
  <si>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</si>
  <si>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</si>
  <si>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</si>
  <si>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</si>
  <si>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</si>
  <si>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</si>
  <si>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</si>
  <si>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</si>
  <si>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</si>
  <si>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</si>
  <si>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</si>
  <si>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</si>
  <si>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</si>
  <si>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</si>
  <si>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</si>
  <si>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</si>
  <si>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</si>
  <si>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</si>
  <si>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</si>
  <si>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</si>
  <si>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</si>
  <si>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</si>
  <si>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</si>
  <si>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</si>
  <si>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</si>
  <si>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</si>
  <si>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</si>
  <si>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</si>
  <si>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</si>
  <si>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</si>
  <si>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</si>
  <si>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</si>
  <si>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</si>
  <si>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</si>
  <si>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</si>
  <si>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</si>
  <si>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</si>
  <si>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</si>
  <si>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</si>
  <si>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</si>
  <si>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</si>
  <si>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</si>
  <si>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</si>
  <si>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</si>
  <si>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</si>
  <si>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</si>
  <si>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</si>
  <si>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</si>
  <si>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</si>
  <si>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</si>
  <si>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</si>
  <si>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</si>
  <si>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</si>
  <si>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</si>
  <si>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</si>
  <si>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</si>
  <si>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</si>
  <si>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房地产市场价值</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</si>
  <si>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</si>
  <si>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</si>
  <si>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</si>
  <si>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</si>
  <si>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</si>
  <si>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</si>
  <si>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</si>
  <si>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</si>
  <si>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</si>
  <si>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</si>
  <si>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</si>
  <si>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</si>
  <si>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</si>
  <si>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1#办公楼</t>
    <phoneticPr fontId="143" type="noConversion"/>
  </si>
  <si>
    <t>022地块地下室</t>
    <phoneticPr fontId="143" type="noConversion"/>
  </si>
  <si>
    <t>039地块地下室</t>
    <phoneticPr fontId="143" type="noConversion"/>
  </si>
  <si>
    <t>040地块地下室</t>
    <phoneticPr fontId="143" type="noConversion"/>
  </si>
  <si>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</si>
  <si>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</si>
  <si>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</si>
  <si>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</si>
  <si>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</si>
  <si>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</si>
  <si>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</si>
  <si>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</si>
  <si>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</si>
  <si>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</si>
  <si>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</si>
  <si>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</si>
  <si>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</si>
  <si>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</si>
  <si>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</si>
  <si>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</si>
  <si>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</si>
  <si>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</si>
  <si>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</si>
  <si>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</si>
  <si>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</si>
  <si>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</si>
  <si>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</si>
  <si>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</si>
  <si>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</si>
  <si>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</si>
  <si>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</si>
  <si>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</si>
  <si>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</si>
  <si>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</si>
  <si>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</si>
  <si>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</si>
  <si>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</si>
  <si>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</si>
  <si>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</si>
  <si>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</si>
  <si>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</si>
  <si>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</si>
  <si>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</si>
  <si>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</si>
  <si>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</si>
  <si>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</si>
  <si>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</si>
  <si>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</si>
  <si>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</si>
  <si>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</si>
  <si>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</si>
  <si>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</si>
  <si>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</si>
  <si>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</si>
  <si>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</si>
  <si>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</si>
  <si>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</si>
  <si>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</si>
  <si>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</si>
  <si>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</si>
  <si>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</si>
  <si>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</si>
  <si>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</si>
  <si>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</si>
  <si>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</si>
  <si>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</si>
  <si>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</si>
  <si>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</si>
  <si>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</si>
  <si>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</si>
  <si>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</si>
  <si>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</si>
  <si>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</si>
  <si>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</si>
  <si>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</si>
  <si>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</si>
  <si>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</si>
  <si>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</si>
  <si>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</si>
  <si>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</si>
  <si>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</si>
  <si>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</si>
  <si>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</si>
  <si>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</si>
  <si>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</si>
  <si>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</si>
  <si>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</si>
  <si>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</si>
  <si>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</si>
  <si>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</si>
  <si>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</si>
  <si>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</si>
  <si>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</si>
  <si>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</si>
  <si>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</si>
  <si>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</si>
  <si>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</si>
  <si>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</si>
  <si>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</si>
  <si>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</si>
  <si>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</si>
  <si>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</si>
  <si>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</si>
  <si>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</si>
  <si>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</si>
  <si>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</si>
  <si>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</si>
  <si>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</si>
  <si>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</si>
  <si>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</si>
  <si>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</si>
  <si>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</si>
  <si>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</si>
  <si>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</si>
  <si>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</si>
  <si>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</si>
  <si>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</si>
  <si>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</si>
  <si>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</si>
  <si>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</si>
  <si>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</si>
  <si>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</si>
  <si>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</si>
  <si>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</si>
  <si>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</si>
  <si>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</si>
  <si>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</si>
  <si>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</si>
  <si>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</si>
  <si>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</si>
  <si>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</si>
  <si>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</si>
  <si>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</si>
  <si>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</si>
  <si>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</si>
  <si>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</si>
  <si>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</si>
  <si>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</si>
  <si>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</si>
  <si>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</si>
  <si>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</si>
  <si>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</si>
  <si>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</si>
  <si>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</si>
  <si>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</si>
  <si>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</si>
  <si>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</si>
  <si>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</si>
  <si>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</si>
  <si>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</si>
  <si>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</si>
  <si>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</si>
  <si>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</si>
  <si>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</si>
  <si>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</si>
  <si>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</si>
  <si>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</si>
  <si>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</si>
  <si>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</si>
  <si>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</si>
  <si>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</si>
  <si>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</si>
  <si>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</si>
  <si>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</si>
  <si>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</si>
  <si>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</si>
  <si>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</si>
  <si>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</si>
  <si>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</si>
  <si>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</si>
  <si>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</si>
  <si>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</si>
  <si>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</si>
  <si>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</si>
  <si>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</si>
  <si>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</si>
  <si>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</si>
  <si>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</si>
  <si>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</si>
  <si>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</si>
  <si>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</si>
  <si>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</si>
  <si>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</si>
  <si>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</si>
  <si>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</si>
  <si>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</si>
  <si>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</si>
  <si>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</si>
  <si>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</si>
  <si>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</si>
  <si>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</si>
  <si>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</si>
  <si>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</si>
  <si>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</si>
  <si>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</si>
  <si>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</si>
  <si>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</si>
  <si>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</si>
  <si>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</si>
  <si>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</si>
  <si>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</si>
  <si>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</si>
  <si>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</si>
  <si>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</si>
  <si>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</si>
  <si>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</si>
  <si>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</si>
  <si>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</si>
  <si>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</si>
  <si>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</si>
  <si>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</si>
  <si>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</si>
  <si>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</si>
  <si>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</si>
  <si>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</si>
  <si>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</si>
  <si>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</si>
  <si>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</si>
  <si>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</si>
  <si>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</si>
  <si>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</si>
  <si>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</si>
  <si>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</si>
  <si>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</si>
  <si>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</si>
  <si>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</si>
  <si>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</si>
  <si>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</si>
  <si>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</si>
  <si>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</si>
  <si>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</si>
  <si>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</si>
  <si>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</si>
  <si>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</si>
  <si>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</si>
  <si>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</si>
  <si>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</si>
  <si>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</si>
  <si>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</si>
  <si>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</si>
  <si>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</si>
  <si>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</si>
  <si>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</si>
  <si>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</si>
  <si>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</si>
  <si>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</si>
  <si>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</si>
  <si>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</si>
  <si>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</si>
  <si>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</si>
  <si>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</si>
  <si>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</si>
  <si>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</si>
  <si>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</si>
  <si>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</si>
  <si>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</si>
  <si>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</si>
  <si>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</si>
  <si>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</si>
  <si>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</si>
  <si>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</si>
  <si>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</si>
  <si>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</si>
  <si>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</si>
  <si>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</si>
  <si>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</si>
  <si>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</si>
  <si>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</si>
  <si>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</si>
  <si>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</si>
  <si>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</si>
  <si>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</si>
  <si>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</si>
  <si>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</si>
  <si>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</si>
  <si>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</si>
  <si>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</si>
  <si>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</si>
  <si>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</si>
  <si>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</si>
  <si>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</si>
  <si>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</si>
  <si>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</si>
  <si>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</si>
  <si>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</si>
  <si>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</si>
  <si>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</si>
  <si>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</si>
  <si>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</si>
  <si>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</si>
  <si>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</si>
  <si>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</si>
  <si>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</si>
  <si>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</si>
  <si>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</si>
  <si>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</si>
  <si>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</si>
  <si>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</si>
  <si>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</si>
  <si>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</si>
  <si>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</si>
  <si>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</si>
  <si>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</si>
  <si>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</si>
  <si>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</si>
  <si>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</si>
  <si>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</si>
  <si>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</si>
  <si>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</si>
  <si>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</si>
  <si>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</si>
  <si>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</si>
  <si>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</si>
  <si>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</si>
  <si>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</si>
  <si>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</si>
  <si>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</si>
  <si>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</si>
  <si>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</si>
  <si>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</si>
  <si>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</si>
  <si>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</si>
  <si>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</si>
  <si>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</si>
  <si>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</si>
  <si>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</si>
  <si>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</si>
  <si>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</si>
  <si>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</si>
  <si>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</si>
  <si>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</si>
  <si>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</si>
  <si>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</si>
  <si>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</si>
  <si>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</si>
  <si>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</si>
  <si>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</si>
  <si>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</si>
  <si>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</si>
  <si>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</si>
  <si>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</si>
  <si>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</si>
  <si>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</si>
  <si>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</si>
  <si>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</si>
  <si>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</si>
  <si>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</si>
  <si>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</si>
  <si>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</si>
  <si>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</si>
  <si>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</si>
  <si>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</si>
  <si>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</si>
  <si>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</si>
  <si>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</si>
  <si>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</si>
  <si>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</si>
  <si>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</si>
  <si>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</si>
  <si>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</si>
  <si>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</si>
  <si>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</si>
  <si>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</si>
  <si>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</si>
  <si>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</si>
  <si>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</si>
  <si>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</si>
  <si>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</si>
  <si>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</si>
  <si>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</si>
  <si>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</si>
  <si>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</si>
  <si>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</si>
  <si>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</si>
  <si>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</si>
  <si>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</si>
  <si>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</si>
  <si>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</si>
  <si>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</si>
  <si>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</si>
  <si>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</si>
  <si>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</si>
  <si>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</si>
  <si>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</si>
  <si>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</si>
  <si>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</si>
  <si>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</si>
  <si>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</si>
  <si>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</si>
  <si>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</si>
  <si>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</si>
  <si>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</si>
  <si>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</si>
  <si>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</si>
  <si>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</si>
  <si>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</si>
  <si>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</si>
  <si>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</si>
  <si>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</si>
  <si>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</si>
  <si>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</si>
  <si>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</si>
  <si>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</si>
  <si>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</si>
  <si>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</si>
  <si>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</si>
  <si>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</si>
  <si>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</si>
  <si>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</si>
  <si>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</si>
  <si>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</si>
  <si>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</si>
  <si>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</si>
  <si>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</si>
  <si>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</si>
  <si>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</si>
  <si>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</si>
  <si>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</si>
  <si>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</si>
  <si>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</si>
  <si>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</si>
  <si>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</si>
  <si>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</si>
  <si>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</si>
  <si>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</si>
  <si>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</si>
  <si>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</si>
  <si>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</si>
  <si>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</si>
  <si>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</si>
  <si>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</si>
  <si>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</si>
  <si>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</si>
  <si>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</si>
  <si>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</si>
  <si>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</si>
  <si>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</si>
  <si>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</si>
  <si>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</si>
  <si>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</si>
  <si>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</si>
  <si>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</si>
  <si>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</si>
  <si>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</si>
  <si>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</si>
  <si>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</si>
  <si>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</si>
  <si>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</si>
  <si>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</si>
  <si>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</si>
  <si>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</si>
  <si>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</si>
  <si>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</si>
  <si>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</si>
  <si>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</si>
  <si>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</si>
  <si>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</si>
  <si>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</si>
  <si>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</si>
  <si>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</si>
  <si>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</si>
  <si>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</si>
  <si>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</si>
  <si>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</si>
  <si>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</si>
  <si>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</si>
  <si>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</si>
  <si>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</si>
  <si>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</si>
  <si>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</si>
  <si>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</si>
  <si>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</si>
  <si>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</si>
  <si>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</si>
  <si>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</si>
  <si>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</si>
  <si>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</si>
  <si>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</si>
  <si>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</si>
  <si>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</si>
  <si>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</si>
  <si>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</si>
  <si>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</si>
  <si>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</si>
  <si>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</si>
  <si>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</si>
  <si>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</si>
  <si>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</si>
  <si>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</si>
  <si>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</si>
  <si>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</si>
  <si>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</si>
  <si>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</si>
  <si>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</si>
  <si>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</si>
  <si>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</si>
  <si>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</si>
  <si>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</si>
  <si>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</si>
  <si>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</si>
  <si>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</si>
  <si>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</si>
  <si>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</si>
  <si>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</si>
  <si>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</si>
  <si>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</si>
  <si>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</si>
  <si>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</si>
  <si>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</si>
  <si>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</si>
  <si>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</si>
  <si>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</si>
  <si>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</si>
  <si>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</si>
  <si>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</si>
  <si>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</si>
  <si>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</si>
  <si>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</si>
  <si>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</si>
  <si>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</si>
  <si>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</si>
  <si>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TBD万科天地</t>
    <phoneticPr fontId="3" type="noConversion"/>
  </si>
  <si>
    <t>办公</t>
    <phoneticPr fontId="32" type="noConversion"/>
  </si>
  <si>
    <t>40-50（含）</t>
  </si>
  <si>
    <t>佰嘉城</t>
    <phoneticPr fontId="3" type="noConversion"/>
  </si>
  <si>
    <t>昌平区回龙观</t>
    <phoneticPr fontId="3" type="noConversion"/>
  </si>
  <si>
    <t>华润科创大道</t>
    <phoneticPr fontId="3" type="noConversion"/>
  </si>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</sst>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北京市昌平区北七家镇（未来科技城南区）CP07-0600-0022、0039、0040地块F2公建混合住宅用地（配建人才公共租赁住房）项目出让国有建设用地使用权及在建建筑物房地产市场价值预评估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216020</v>
      </c>
    </row>
    <row r="21" spans="1:2" s="1592" customFormat="1">
      <c r="A21" s="1590" t="s">
        <v>1231</v>
      </c>
      <c r="B21" s="1591">
        <f ca="1">'预评函-2'!D7</f>
        <v>19326</v>
      </c>
    </row>
    <row r="22" spans="1:2" s="1592" customFormat="1">
      <c r="A22" s="1590" t="s">
        <v>1232</v>
      </c>
      <c r="B22" s="1591" t="str">
        <f ca="1">'预评函-2'!D6</f>
        <v>贰拾壹亿陆仟零贰拾万元整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216020</v>
      </c>
    </row>
    <row r="31" spans="1:2" s="1592" customFormat="1">
      <c r="A31" s="1590" t="s">
        <v>1270</v>
      </c>
      <c r="B31" s="1591">
        <f ca="1">'预评函-2'!D15</f>
        <v>19326</v>
      </c>
    </row>
    <row r="32" spans="1:2" s="1592" customFormat="1">
      <c r="A32" s="1590" t="s">
        <v>1237</v>
      </c>
      <c r="B32" s="1591" t="str">
        <f ca="1">'预评函-2'!D14</f>
        <v>贰拾壹亿陆仟零贰拾万元整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111776.38999999998</v>
      </c>
    </row>
    <row r="44" spans="1:2" s="1592" customFormat="1" ht="31.2">
      <c r="A44" s="1590" t="s">
        <v>1269</v>
      </c>
      <c r="B44" s="1591" t="str">
        <f>'预评函-3'!C2</f>
        <v>(分摊)土地面积</v>
      </c>
    </row>
    <row r="45" spans="1:2" s="1592" customFormat="1">
      <c r="A45" s="1590" t="s">
        <v>1241</v>
      </c>
      <c r="B45" s="1591">
        <f>'预评函-3'!C4</f>
        <v>20087.55</v>
      </c>
    </row>
    <row r="46" spans="1:2" s="1592" customFormat="1">
      <c r="A46" s="1590" t="s">
        <v>1267</v>
      </c>
      <c r="B46" s="1591" t="str">
        <f>'预评函-3'!D2</f>
        <v>出让国有建设用地使用权价值</v>
      </c>
    </row>
    <row r="47" spans="1:2" s="1592" customFormat="1">
      <c r="A47" s="1590" t="s">
        <v>1242</v>
      </c>
      <c r="B47" s="1591">
        <f ca="1">'预评函-3'!D4</f>
        <v>176920</v>
      </c>
    </row>
    <row r="48" spans="1:2" s="1592" customFormat="1">
      <c r="A48" s="1590" t="s">
        <v>1243</v>
      </c>
      <c r="B48" s="1591">
        <f ca="1">'预评函-3'!E4</f>
        <v>15828</v>
      </c>
    </row>
    <row r="49" spans="1:2" s="1592" customFormat="1">
      <c r="A49" s="1590" t="s">
        <v>1244</v>
      </c>
      <c r="B49" s="1591" t="str">
        <f ca="1">'预评函-3'!D5</f>
        <v>壹拾柒亿陆仟玖佰贰拾万元整</v>
      </c>
    </row>
    <row r="50" spans="1:2" s="1592" customFormat="1">
      <c r="A50" s="1590" t="s">
        <v>1268</v>
      </c>
      <c r="B50" s="1591" t="str">
        <f>'预评函-3'!F2</f>
        <v>在建建筑物价值</v>
      </c>
    </row>
    <row r="51" spans="1:2" s="1592" customFormat="1">
      <c r="A51" s="1590" t="s">
        <v>1245</v>
      </c>
      <c r="B51" s="1591">
        <f ca="1">'预评函-3'!F4</f>
        <v>39100</v>
      </c>
    </row>
    <row r="52" spans="1:2" s="1592" customFormat="1">
      <c r="A52" s="1590" t="s">
        <v>1246</v>
      </c>
      <c r="B52" s="1591">
        <f ca="1">'预评函-3'!G4</f>
        <v>3498</v>
      </c>
    </row>
    <row r="53" spans="1:2" s="1592" customFormat="1">
      <c r="A53" s="1590" t="s">
        <v>1274</v>
      </c>
      <c r="B53" s="1591" t="str">
        <f ca="1">'预评函-3'!F5</f>
        <v>叁亿玖仟壹佰万元整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3556</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3558</v>
      </c>
      <c r="C17" s="2014"/>
    </row>
    <row r="18" spans="1:3">
      <c r="A18" s="2013" t="s">
        <v>1762</v>
      </c>
      <c r="B18" s="2016" t="s">
        <v>3560</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3114</v>
      </c>
      <c r="B27" s="2013" t="s">
        <v>757</v>
      </c>
      <c r="C27" s="2014"/>
    </row>
    <row r="28" spans="1:3">
      <c r="A28" s="2013" t="s">
        <v>3116</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1" t="s">
        <v>861</v>
      </c>
      <c r="C54" s="2018" t="s">
        <v>1277</v>
      </c>
    </row>
    <row r="55" spans="1:4">
      <c r="A55" s="3022"/>
      <c r="B55" s="2021" t="s">
        <v>862</v>
      </c>
      <c r="C55" s="2018" t="s">
        <v>1278</v>
      </c>
    </row>
    <row r="56" spans="1:4">
      <c r="A56" s="3022"/>
      <c r="B56" s="2021" t="s">
        <v>863</v>
      </c>
      <c r="C56" s="2018" t="s">
        <v>1282</v>
      </c>
    </row>
    <row r="57" spans="1:4">
      <c r="A57" s="302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47" sqref="I47"/>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23"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北京市昌平区北七家镇（未来科技城南区）CP07-0600-0022、0039、0040地块F2公建混合住宅用地（配建人才公共租赁住房）项目出让国有建设用地使用权及在建建筑物房地产市场价值预评估</v>
      </c>
      <c r="C1" s="3024"/>
      <c r="D1" s="3024"/>
      <c r="E1" s="3024"/>
      <c r="F1" s="3024"/>
      <c r="G1" s="3024"/>
      <c r="H1" s="3024"/>
      <c r="I1" s="302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43627</v>
      </c>
      <c r="C3" s="2036" t="s">
        <v>1774</v>
      </c>
      <c r="D3" s="2035">
        <f>B3</f>
        <v>43627</v>
      </c>
      <c r="E3" s="2025"/>
      <c r="F3" s="2025"/>
      <c r="G3" s="2025"/>
      <c r="H3" s="2025"/>
      <c r="I3" s="2025"/>
      <c r="J3" s="2025"/>
      <c r="K3" s="2026"/>
      <c r="L3" s="2027"/>
      <c r="M3" s="2027"/>
      <c r="N3" s="2028"/>
      <c r="O3" s="2029"/>
      <c r="P3" s="2028"/>
      <c r="Q3" s="2028"/>
      <c r="R3" s="2028"/>
      <c r="S3" s="2030"/>
    </row>
    <row r="4" spans="1:19" ht="18" customHeight="1" thickBot="1">
      <c r="A4" s="2037" t="s">
        <v>1775</v>
      </c>
      <c r="B4" s="2038" t="s">
        <v>3090</v>
      </c>
      <c r="C4" s="1037">
        <f ca="1">SUMIF(注册房地产估价师,B4,估价师及机构信息!B3:B24)</f>
        <v>1419970001</v>
      </c>
      <c r="D4" s="2038" t="s">
        <v>3091</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3093</v>
      </c>
      <c r="C8" s="2054"/>
      <c r="D8" s="3026" t="s">
        <v>1780</v>
      </c>
      <c r="E8" s="2055"/>
      <c r="F8" s="2056"/>
      <c r="G8" s="2025"/>
      <c r="H8" s="2025"/>
      <c r="I8" s="2025"/>
      <c r="J8" s="2041"/>
      <c r="K8" s="2042"/>
      <c r="L8" s="2027"/>
      <c r="M8" s="2027"/>
      <c r="N8" s="2028"/>
      <c r="O8" s="2029"/>
      <c r="P8" s="2028"/>
      <c r="Q8" s="2028"/>
      <c r="R8" s="2028"/>
    </row>
    <row r="9" spans="1:19" ht="18" customHeight="1" thickBot="1">
      <c r="A9" s="2039" t="s">
        <v>1781</v>
      </c>
      <c r="B9" s="2057" t="s">
        <v>3094</v>
      </c>
      <c r="C9" s="2058"/>
      <c r="D9" s="3027"/>
      <c r="E9" s="2057"/>
      <c r="F9" s="2059"/>
      <c r="G9" s="2060"/>
      <c r="H9" s="2060"/>
      <c r="I9" s="2060"/>
      <c r="J9" s="2041"/>
      <c r="K9" s="2052"/>
      <c r="L9" s="2027"/>
      <c r="M9" s="2027"/>
      <c r="N9" s="2028"/>
      <c r="O9" s="2029"/>
      <c r="P9" s="2028"/>
      <c r="Q9" s="2028"/>
      <c r="R9" s="2028"/>
    </row>
    <row r="10" spans="1:19" ht="18" customHeight="1" thickTop="1">
      <c r="A10" s="2061" t="s">
        <v>1782</v>
      </c>
      <c r="B10" s="2062" t="s">
        <v>3095</v>
      </c>
      <c r="C10" s="2063"/>
      <c r="D10" s="2045"/>
      <c r="E10" s="2064" t="s">
        <v>1783</v>
      </c>
      <c r="F10" s="2065" t="s">
        <v>3096</v>
      </c>
      <c r="G10" s="2066"/>
      <c r="H10" s="2067"/>
      <c r="I10" s="2045"/>
      <c r="J10" s="2041"/>
      <c r="K10" s="2052"/>
      <c r="L10" s="2027"/>
      <c r="M10" s="2027"/>
      <c r="N10" s="2028"/>
      <c r="O10" s="2029"/>
      <c r="P10" s="2028"/>
      <c r="Q10" s="2028"/>
      <c r="R10" s="2028"/>
    </row>
    <row r="11" spans="1:19" ht="18" customHeight="1">
      <c r="A11" s="2068" t="s">
        <v>1784</v>
      </c>
      <c r="B11" s="2069" t="s">
        <v>3097</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3098</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65.790000000000006</v>
      </c>
      <c r="E15" s="1049">
        <f>IF(B12="出让",IF(E13="","",ROUNDDOWN(MIN((E13-$D$3)/365,E14),2)),E14)</f>
        <v>35.770000000000003</v>
      </c>
      <c r="F15" s="1049">
        <f>IF(B12="出让",IF(F13="","",ROUNDDOWN(MIN((F13-$D$3)/365,F14),2)),F14)</f>
        <v>45.78</v>
      </c>
      <c r="G15" s="1049">
        <f>IF(B12="出让",IF(G13="","",ROUNDDOWN(MIN((G13-$D$3)/365,G14),2)),G14)</f>
        <v>45.78</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33"/>
      <c r="C16" s="3034"/>
      <c r="D16" s="3035"/>
      <c r="E16" s="2084" t="s">
        <v>1797</v>
      </c>
      <c r="F16" s="3036"/>
      <c r="G16" s="3037"/>
      <c r="H16" s="3037"/>
      <c r="I16" s="3038"/>
      <c r="J16" s="2028"/>
      <c r="K16" s="2081"/>
      <c r="L16" s="2082"/>
      <c r="M16" s="2082"/>
      <c r="N16" s="2083"/>
      <c r="O16" s="2082"/>
      <c r="P16" s="2083"/>
      <c r="Q16" s="2028"/>
      <c r="R16" s="2028"/>
    </row>
    <row r="17" spans="1:22" ht="18" customHeight="1">
      <c r="A17" s="2085" t="s">
        <v>1798</v>
      </c>
      <c r="B17" s="2034" t="s">
        <v>1799</v>
      </c>
      <c r="C17" s="1054">
        <f>'数据-汇总表'!E3</f>
        <v>111776.38999999998</v>
      </c>
      <c r="D17" s="2086" t="s">
        <v>1800</v>
      </c>
      <c r="E17" s="3039" t="s">
        <v>1801</v>
      </c>
      <c r="F17" s="3040"/>
      <c r="G17" s="3040"/>
      <c r="H17" s="3040"/>
      <c r="I17" s="3041"/>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20087.55</v>
      </c>
      <c r="D18" s="2089" t="s">
        <v>1800</v>
      </c>
      <c r="E18" s="3042" t="s">
        <v>1804</v>
      </c>
      <c r="F18" s="3043"/>
      <c r="G18" s="3043"/>
      <c r="H18" s="3043"/>
      <c r="I18" s="3044"/>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29" t="s">
        <v>1809</v>
      </c>
      <c r="C20" s="3030"/>
      <c r="D20" s="3031" t="s">
        <v>1810</v>
      </c>
      <c r="E20" s="3032"/>
      <c r="F20" s="2096" t="s">
        <v>1811</v>
      </c>
      <c r="G20" s="2041"/>
      <c r="H20" s="2041"/>
      <c r="I20" s="2041"/>
      <c r="J20" s="2041"/>
      <c r="K20" s="302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46"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46"/>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46"/>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47"/>
      <c r="B30" s="2034" t="s">
        <v>1828</v>
      </c>
      <c r="C30" s="3048"/>
      <c r="D30" s="3049"/>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50" t="s">
        <v>1829</v>
      </c>
      <c r="B31" s="2125" t="s">
        <v>3106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51"/>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51"/>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3099</v>
      </c>
      <c r="C34" s="2132" t="s">
        <v>3100</v>
      </c>
      <c r="D34" s="2132" t="s">
        <v>3101</v>
      </c>
      <c r="E34" s="2132" t="s">
        <v>3102</v>
      </c>
      <c r="F34" s="2132" t="s">
        <v>3104</v>
      </c>
      <c r="G34" s="2132" t="s">
        <v>3103</v>
      </c>
      <c r="H34" s="2132" t="s">
        <v>3105</v>
      </c>
      <c r="I34" s="2041"/>
      <c r="J34" s="2041"/>
      <c r="K34" s="1794">
        <f>COUNTIF(B34:H34,"——")</f>
        <v>0</v>
      </c>
      <c r="L34" s="2073" t="s">
        <v>1831</v>
      </c>
      <c r="M34" s="2073" t="s">
        <v>1832</v>
      </c>
      <c r="N34" s="2073" t="s">
        <v>1833</v>
      </c>
      <c r="O34" s="2073" t="s">
        <v>1834</v>
      </c>
      <c r="P34" s="2073" t="s">
        <v>1835</v>
      </c>
      <c r="Q34" s="2073" t="s">
        <v>1836</v>
      </c>
      <c r="R34" s="2073" t="s">
        <v>1837</v>
      </c>
      <c r="S34" s="3045" t="s">
        <v>1838</v>
      </c>
      <c r="T34" s="2133" t="str">
        <f>NUMBERSTRING(7-K34,1)&amp;"通"</f>
        <v>七通</v>
      </c>
      <c r="U34" s="2028"/>
      <c r="V34" s="2028"/>
    </row>
    <row r="35" spans="1:22" ht="18" customHeight="1">
      <c r="A35" s="2134"/>
      <c r="B35" s="3052" t="s">
        <v>1839</v>
      </c>
      <c r="C35" s="3052"/>
      <c r="D35" s="3052"/>
      <c r="E35" s="3052"/>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5"/>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8" t="s">
        <v>526</v>
      </c>
      <c r="C37" s="2958" t="s">
        <v>526</v>
      </c>
      <c r="D37" s="2958"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c r="C38" s="2141"/>
      <c r="D38" s="2141"/>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L32" sqref="AL32"/>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9821.2900000000009</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157.18</v>
      </c>
      <c r="AI5" s="16">
        <f t="shared" si="0"/>
        <v>0</v>
      </c>
      <c r="AJ5" s="16">
        <f t="shared" si="0"/>
        <v>0</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111776.38999999998</v>
      </c>
      <c r="BA5" s="18">
        <f t="shared" si="1"/>
        <v>102765.31999999999</v>
      </c>
      <c r="BB5" s="18">
        <f t="shared" si="1"/>
        <v>7323.9100000000008</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157.18</v>
      </c>
      <c r="BP5" s="18">
        <f t="shared" si="1"/>
        <v>0</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1765</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28.25</v>
      </c>
      <c r="AI6" s="16">
        <f t="shared" si="3"/>
        <v>0</v>
      </c>
      <c r="AJ6" s="16">
        <f t="shared" si="3"/>
        <v>0</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20087.55</v>
      </c>
      <c r="AZ6" s="16" t="s">
        <v>3</v>
      </c>
      <c r="BA6" s="16">
        <f>ROUND($AY$6*BA5/$AZ$5,2)</f>
        <v>18468.150000000001</v>
      </c>
      <c r="BB6" s="16">
        <f>ROUND($AY$6*BB5/$AZ$5,2)</f>
        <v>1316.19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28.25</v>
      </c>
      <c r="BP6" s="16">
        <f t="shared" si="5"/>
        <v>0</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3112</v>
      </c>
      <c r="J9" s="981"/>
      <c r="K9" s="2190" t="s">
        <v>3112</v>
      </c>
      <c r="L9" s="981"/>
      <c r="M9" s="2190" t="s">
        <v>3112</v>
      </c>
      <c r="N9" s="981"/>
      <c r="O9" s="2190" t="s">
        <v>3112</v>
      </c>
      <c r="P9" s="981"/>
      <c r="Q9" s="2190" t="s">
        <v>3119</v>
      </c>
      <c r="R9" s="981"/>
      <c r="S9" s="2190" t="s">
        <v>3119</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3057</v>
      </c>
      <c r="J10" s="981"/>
      <c r="K10" s="2196" t="s">
        <v>3057</v>
      </c>
      <c r="L10" s="981"/>
      <c r="M10" s="2196" t="s">
        <v>27</v>
      </c>
      <c r="N10" s="981"/>
      <c r="O10" s="2196" t="s">
        <v>1373</v>
      </c>
      <c r="P10" s="981"/>
      <c r="Q10" s="2196" t="s">
        <v>1373</v>
      </c>
      <c r="R10" s="981"/>
      <c r="S10" s="2196" t="s">
        <v>3120</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3113</v>
      </c>
      <c r="J11" s="2202"/>
      <c r="K11" s="2201" t="s">
        <v>3115</v>
      </c>
      <c r="L11" s="2202"/>
      <c r="M11" s="2201" t="s">
        <v>3117</v>
      </c>
      <c r="N11" s="2202"/>
      <c r="O11" s="2201" t="s">
        <v>3118</v>
      </c>
      <c r="P11" s="2202"/>
      <c r="Q11" s="2201" t="s">
        <v>3118</v>
      </c>
      <c r="R11" s="2202"/>
      <c r="S11" s="2201" t="s">
        <v>3120</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52" t="s">
        <v>3108</v>
      </c>
      <c r="D13" s="2212" t="s">
        <v>3107</v>
      </c>
      <c r="E13" s="16">
        <f>IF($C$3="是",ROUND($A$3*G13/$B$3,2),ROUND($A$3*(G13-AT13)/$B$3,2))</f>
        <v>1324.56</v>
      </c>
      <c r="F13" s="32"/>
      <c r="G13" s="33">
        <f>H13+AC13+AT13</f>
        <v>7370.47</v>
      </c>
      <c r="H13" s="20">
        <f>SUMIF(I$12:AB$12,"总值",I13:AB13)</f>
        <v>7370.47</v>
      </c>
      <c r="I13" s="2213"/>
      <c r="J13" s="2213"/>
      <c r="K13" s="2213"/>
      <c r="L13" s="2213"/>
      <c r="M13" s="2213">
        <f>项目经济指标表!C4</f>
        <v>7021.83</v>
      </c>
      <c r="N13" s="2213"/>
      <c r="O13" s="2213">
        <f>项目经济指标表!D4</f>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52" t="s">
        <v>3065</v>
      </c>
      <c r="D14" s="2212" t="s">
        <v>3107</v>
      </c>
      <c r="E14" s="16">
        <f>IF($C$3="是",ROUND($A$3*G14/$B$3,2),ROUND($A$3*(G14-AT14)/$B$3,2))</f>
        <v>2893.22</v>
      </c>
      <c r="F14" s="32"/>
      <c r="G14" s="33">
        <f>H14+AC14+AT14</f>
        <v>16099.210000000001</v>
      </c>
      <c r="H14" s="20">
        <f>SUMIF(I$12:AB$12,"总值",I14:AB14)</f>
        <v>16099.210000000001</v>
      </c>
      <c r="I14" s="2213"/>
      <c r="J14" s="2213"/>
      <c r="K14" s="2213"/>
      <c r="L14" s="2213"/>
      <c r="M14" s="2213">
        <f>项目经济指标表!C5</f>
        <v>15353.03</v>
      </c>
      <c r="N14" s="2213"/>
      <c r="O14" s="2213">
        <f>项目经济指标表!D5</f>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52" t="s">
        <v>3066</v>
      </c>
      <c r="D15" s="2212" t="s">
        <v>3107</v>
      </c>
      <c r="E15" s="16">
        <f>IF($C$3="是",ROUND($A$3*G15/$B$3,2),ROUND($A$3*(G15-AT15)/$B$3,2))</f>
        <v>1449.29</v>
      </c>
      <c r="F15" s="32"/>
      <c r="G15" s="33">
        <f>H15+AC15+AT15</f>
        <v>8064.53</v>
      </c>
      <c r="H15" s="20">
        <f>SUMIF(I$12:AB$12,"总值",I15:AB15)</f>
        <v>8064.53</v>
      </c>
      <c r="I15" s="2213"/>
      <c r="J15" s="2213"/>
      <c r="K15" s="2213">
        <f>项目经济指标表!B6</f>
        <v>7755.46</v>
      </c>
      <c r="L15" s="2213"/>
      <c r="M15" s="2213"/>
      <c r="N15" s="2213"/>
      <c r="O15" s="2213">
        <f>项目经济指标表!D6</f>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52" t="s">
        <v>3081</v>
      </c>
      <c r="D16" s="2212" t="s">
        <v>3107</v>
      </c>
      <c r="E16" s="16">
        <f>IF($C$3="是",ROUND($A$3*G16/$B$3,2),ROUND($A$3*(G16-AT16)/$B$3,2))</f>
        <v>505.2</v>
      </c>
      <c r="F16" s="32"/>
      <c r="G16" s="33">
        <f>H16+AC16+AT16</f>
        <v>2811.1699999999996</v>
      </c>
      <c r="H16" s="20">
        <f>SUMIF(I$12:AB$12,"总值",I16:AB16)</f>
        <v>2709.45</v>
      </c>
      <c r="I16" s="2213">
        <f>项目经济指标表!B7</f>
        <v>2693.22</v>
      </c>
      <c r="J16" s="2213">
        <v>244.88</v>
      </c>
      <c r="K16" s="2213"/>
      <c r="L16" s="2213"/>
      <c r="M16" s="2213"/>
      <c r="N16" s="2213"/>
      <c r="O16" s="2213">
        <f>项目经济指标表!D7</f>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f>项目经济指标表!G7</f>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52" t="s">
        <v>3067</v>
      </c>
      <c r="D17" s="2212" t="s">
        <v>3107</v>
      </c>
      <c r="E17" s="16">
        <f>IF($C$3="是",ROUND($A$3*G17/$B$3,2),ROUND($A$3*(G17-AT17)/$B$3,2))</f>
        <v>3008.85</v>
      </c>
      <c r="F17" s="32"/>
      <c r="G17" s="33">
        <f>H17+AC17+AT17</f>
        <v>16742.650000000001</v>
      </c>
      <c r="H17" s="20">
        <f>SUMIF(I$12:AB$12,"总值",I17:AB17)</f>
        <v>16533.240000000002</v>
      </c>
      <c r="I17" s="2213"/>
      <c r="J17" s="2213"/>
      <c r="K17" s="2213"/>
      <c r="L17" s="2213"/>
      <c r="M17" s="2213">
        <f>项目经济指标表!C8</f>
        <v>15926.17</v>
      </c>
      <c r="N17" s="2213"/>
      <c r="O17" s="2213">
        <f>项目经济指标表!D8</f>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f>项目经济指标表!H8</f>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52" t="s">
        <v>3082</v>
      </c>
      <c r="D18" s="2212" t="s">
        <v>3107</v>
      </c>
      <c r="E18" s="35">
        <f t="shared" ref="E18:E112" si="7">IF($C$3="是",ROUND($A$3*G18/$B$3,2),ROUND($A$3*(G18-AT18)/$B$3,2))</f>
        <v>1295.23</v>
      </c>
      <c r="F18" s="36"/>
      <c r="G18" s="37">
        <f t="shared" ref="G18:G109" si="8">H18+AC18+AT18</f>
        <v>7207.28</v>
      </c>
      <c r="H18" s="38">
        <f t="shared" ref="H18:H109" si="9">SUMIF(I$12:AB$12,"总值",I18:AB18)</f>
        <v>7178.55</v>
      </c>
      <c r="I18" s="2213">
        <f>项目经济指标表!B9</f>
        <v>7178.55</v>
      </c>
      <c r="J18" s="2213">
        <v>3588.7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f>项目经济指标表!K9</f>
        <v>28.73</v>
      </c>
      <c r="AU18" s="2218"/>
      <c r="AV18" s="1794">
        <f t="shared" ref="AV18:AV112" si="11">A18</f>
        <v>0</v>
      </c>
      <c r="AW18" s="1794">
        <f t="shared" ref="AW18:AW112" si="12">B18</f>
        <v>0</v>
      </c>
      <c r="AX18" s="1794" t="str">
        <f t="shared" ref="AX18:AX112" si="13">C18</f>
        <v>6#住宅楼</v>
      </c>
      <c r="AY18" s="42">
        <f t="shared" ref="AY18:AY109" si="14">ROUND($AY$6*AZ18/$AZ$5,2)</f>
        <v>645.14</v>
      </c>
      <c r="AZ18" s="35">
        <f t="shared" ref="AZ18:AZ109" si="15">BA18+BL18</f>
        <v>3589.8500000000004</v>
      </c>
      <c r="BA18" s="35">
        <f t="shared" ref="BA18:BA109" si="16">SUM(BB18:BK18)</f>
        <v>3589.8500000000004</v>
      </c>
      <c r="BB18" s="35">
        <f t="shared" ref="BB18:BB109" si="17">IF($D18="是",I18-J18,0)</f>
        <v>3589.8500000000004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3068</v>
      </c>
      <c r="D19" s="2212" t="s">
        <v>3107</v>
      </c>
      <c r="E19" s="35">
        <f t="shared" si="7"/>
        <v>2994.17</v>
      </c>
      <c r="F19" s="36"/>
      <c r="G19" s="37">
        <f t="shared" si="8"/>
        <v>16660.96</v>
      </c>
      <c r="H19" s="38">
        <f t="shared" si="9"/>
        <v>16660.96</v>
      </c>
      <c r="I19" s="2213"/>
      <c r="J19" s="2213"/>
      <c r="K19" s="39"/>
      <c r="L19" s="39"/>
      <c r="M19" s="2213">
        <f>项目经济指标表!C10</f>
        <v>15693.55</v>
      </c>
      <c r="N19" s="39"/>
      <c r="O19" s="2213">
        <f>项目经济指标表!D10</f>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3083</v>
      </c>
      <c r="D20" s="2212" t="s">
        <v>3107</v>
      </c>
      <c r="E20" s="35">
        <f t="shared" si="7"/>
        <v>1307.1199999999999</v>
      </c>
      <c r="F20" s="36"/>
      <c r="G20" s="37">
        <f t="shared" si="8"/>
        <v>7273.43</v>
      </c>
      <c r="H20" s="38">
        <f t="shared" si="9"/>
        <v>7273.43</v>
      </c>
      <c r="I20" s="2213">
        <f>项目经济指标表!B11</f>
        <v>7273.43</v>
      </c>
      <c r="J20" s="2213">
        <v>5987.71</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231.06</v>
      </c>
      <c r="AZ20" s="35">
        <f t="shared" si="15"/>
        <v>1285.7200000000003</v>
      </c>
      <c r="BA20" s="35">
        <f t="shared" si="16"/>
        <v>1285.7200000000003</v>
      </c>
      <c r="BB20" s="35">
        <f t="shared" si="17"/>
        <v>1285.7200000000003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52" t="s">
        <v>3109</v>
      </c>
      <c r="D21" s="2212" t="s">
        <v>3107</v>
      </c>
      <c r="E21" s="35">
        <f t="shared" si="7"/>
        <v>3269.26</v>
      </c>
      <c r="F21" s="36"/>
      <c r="G21" s="37">
        <f t="shared" si="8"/>
        <v>18191.68</v>
      </c>
      <c r="H21" s="38">
        <f t="shared" si="9"/>
        <v>10088.48</v>
      </c>
      <c r="I21" s="2213"/>
      <c r="J21" s="2213"/>
      <c r="K21" s="39"/>
      <c r="L21" s="39"/>
      <c r="M21" s="2213"/>
      <c r="N21" s="39"/>
      <c r="O21" s="2213"/>
      <c r="P21" s="39"/>
      <c r="Q21" s="2213">
        <f>项目经济指标表!E12</f>
        <v>5050.07</v>
      </c>
      <c r="R21" s="39"/>
      <c r="S21" s="2213">
        <f>项目经济指标表!F12</f>
        <v>5038.41</v>
      </c>
      <c r="T21" s="39"/>
      <c r="U21" s="39"/>
      <c r="V21" s="39"/>
      <c r="W21" s="39"/>
      <c r="X21" s="39"/>
      <c r="Y21" s="39"/>
      <c r="Z21" s="39"/>
      <c r="AA21" s="39"/>
      <c r="AB21" s="39"/>
      <c r="AC21" s="35">
        <f t="shared" si="10"/>
        <v>3525.3</v>
      </c>
      <c r="AD21" s="2214">
        <f>项目经济指标表!J12</f>
        <v>2434.92</v>
      </c>
      <c r="AE21" s="40"/>
      <c r="AF21" s="40"/>
      <c r="AG21" s="40"/>
      <c r="AH21" s="2214"/>
      <c r="AI21" s="40"/>
      <c r="AJ21" s="40"/>
      <c r="AK21" s="40"/>
      <c r="AL21" s="2214">
        <f>项目经济指标表!H12</f>
        <v>67.59</v>
      </c>
      <c r="AM21" s="40"/>
      <c r="AN21" s="2214">
        <f>项目经济指标表!I12</f>
        <v>1022.79</v>
      </c>
      <c r="AO21" s="40"/>
      <c r="AP21" s="40"/>
      <c r="AQ21" s="40"/>
      <c r="AR21" s="40"/>
      <c r="AS21" s="40"/>
      <c r="AT21" s="2215">
        <f>项目经济指标表!K12</f>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52" t="s">
        <v>3110</v>
      </c>
      <c r="D22" s="2212" t="s">
        <v>3107</v>
      </c>
      <c r="E22" s="35">
        <f t="shared" si="7"/>
        <v>2886.46</v>
      </c>
      <c r="F22" s="36"/>
      <c r="G22" s="37">
        <f t="shared" si="8"/>
        <v>16061.579999999998</v>
      </c>
      <c r="H22" s="38">
        <f t="shared" si="9"/>
        <v>7919.67</v>
      </c>
      <c r="I22" s="2213"/>
      <c r="J22" s="39"/>
      <c r="K22" s="39"/>
      <c r="L22" s="39"/>
      <c r="M22" s="2213"/>
      <c r="N22" s="39"/>
      <c r="O22" s="2213"/>
      <c r="P22" s="39"/>
      <c r="Q22" s="2213">
        <f>项目经济指标表!E13</f>
        <v>3702.58</v>
      </c>
      <c r="R22" s="39"/>
      <c r="S22" s="2213">
        <f>项目经济指标表!F13</f>
        <v>4217.09</v>
      </c>
      <c r="T22" s="39"/>
      <c r="U22" s="39"/>
      <c r="V22" s="39"/>
      <c r="W22" s="39"/>
      <c r="X22" s="39"/>
      <c r="Y22" s="39"/>
      <c r="Z22" s="39"/>
      <c r="AA22" s="39"/>
      <c r="AB22" s="39"/>
      <c r="AC22" s="35">
        <f t="shared" si="10"/>
        <v>2296.04</v>
      </c>
      <c r="AD22" s="2214">
        <f>项目经济指标表!J13</f>
        <v>2272.3000000000002</v>
      </c>
      <c r="AE22" s="40"/>
      <c r="AF22" s="40"/>
      <c r="AG22" s="40"/>
      <c r="AH22" s="2214"/>
      <c r="AI22" s="40"/>
      <c r="AJ22" s="40"/>
      <c r="AK22" s="40"/>
      <c r="AL22" s="2214"/>
      <c r="AM22" s="40"/>
      <c r="AN22" s="2214">
        <f>项目经济指标表!I13</f>
        <v>23.74</v>
      </c>
      <c r="AO22" s="40"/>
      <c r="AP22" s="40"/>
      <c r="AQ22" s="40"/>
      <c r="AR22" s="40"/>
      <c r="AS22" s="40"/>
      <c r="AT22" s="2215">
        <f>项目经济指标表!K13</f>
        <v>5845.87</v>
      </c>
      <c r="AU22" s="2218"/>
      <c r="AV22" s="1794">
        <f t="shared" si="11"/>
        <v>0</v>
      </c>
      <c r="AW22" s="1794">
        <f t="shared" si="12"/>
        <v>0</v>
      </c>
      <c r="AX22" s="1794" t="str">
        <f t="shared" si="13"/>
        <v>039地块地下室</v>
      </c>
      <c r="AY22" s="42">
        <f t="shared" si="14"/>
        <v>1835.88</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52" t="s">
        <v>3111</v>
      </c>
      <c r="D23" s="2212" t="s">
        <v>3107</v>
      </c>
      <c r="E23" s="35">
        <f t="shared" si="7"/>
        <v>2797.61</v>
      </c>
      <c r="F23" s="36"/>
      <c r="G23" s="37">
        <f t="shared" si="8"/>
        <v>15567.22</v>
      </c>
      <c r="H23" s="38">
        <f t="shared" si="9"/>
        <v>12688.619999999999</v>
      </c>
      <c r="I23" s="2213"/>
      <c r="J23" s="39"/>
      <c r="K23" s="39"/>
      <c r="L23" s="39"/>
      <c r="M23" s="2213"/>
      <c r="N23" s="39"/>
      <c r="O23" s="2213"/>
      <c r="P23" s="39"/>
      <c r="Q23" s="2213">
        <f>项目经济指标表!E14</f>
        <v>4016.47</v>
      </c>
      <c r="R23" s="39"/>
      <c r="S23" s="2213">
        <f>项目经济指标表!F14</f>
        <v>8672.15</v>
      </c>
      <c r="T23" s="39"/>
      <c r="U23" s="39"/>
      <c r="V23" s="39"/>
      <c r="W23" s="39"/>
      <c r="X23" s="39"/>
      <c r="Y23" s="39"/>
      <c r="Z23" s="39"/>
      <c r="AA23" s="39"/>
      <c r="AB23" s="39"/>
      <c r="AC23" s="35">
        <f t="shared" si="10"/>
        <v>2878.6</v>
      </c>
      <c r="AD23" s="2214">
        <f>项目经济指标表!J14</f>
        <v>2797.06</v>
      </c>
      <c r="AE23" s="40"/>
      <c r="AF23" s="40"/>
      <c r="AG23" s="40"/>
      <c r="AH23" s="2214">
        <f>项目经济指标表!G14</f>
        <v>55.46</v>
      </c>
      <c r="AI23" s="40"/>
      <c r="AJ23" s="40"/>
      <c r="AK23" s="40"/>
      <c r="AL23" s="2214"/>
      <c r="AM23" s="40"/>
      <c r="AN23" s="2214">
        <f>项目经济指标表!I14</f>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55.46</v>
      </c>
      <c r="BP23" s="35">
        <f t="shared" si="31"/>
        <v>0</v>
      </c>
      <c r="BQ23" s="35">
        <f t="shared" si="32"/>
        <v>0</v>
      </c>
      <c r="BR23" s="35">
        <f t="shared" si="33"/>
        <v>26.08</v>
      </c>
      <c r="BS23" s="35">
        <f t="shared" si="34"/>
        <v>0</v>
      </c>
      <c r="BT23" s="43">
        <f t="shared" si="35"/>
        <v>0</v>
      </c>
    </row>
    <row r="24" spans="1:72">
      <c r="A24" s="9"/>
      <c r="B24" s="34"/>
      <c r="C24" s="2952"/>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46.8">
      <c r="A3" s="3053"/>
      <c r="B3" s="3053"/>
      <c r="C3" s="3053"/>
      <c r="D3" s="3054"/>
      <c r="E3" s="30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0" sqref="F1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64" t="s">
        <v>1934</v>
      </c>
      <c r="B2" s="3064"/>
      <c r="C2" s="3064"/>
      <c r="D2" s="967" t="s">
        <v>1910</v>
      </c>
      <c r="E2" s="2226" t="s">
        <v>1911</v>
      </c>
      <c r="F2" s="1392"/>
      <c r="G2" s="2227"/>
      <c r="H2" s="2228"/>
      <c r="I2" s="2229" t="s">
        <v>1935</v>
      </c>
      <c r="J2" s="1392"/>
      <c r="K2" s="1392"/>
      <c r="L2" s="1392"/>
      <c r="M2" s="1392"/>
      <c r="N2" s="1427"/>
      <c r="O2" s="1392"/>
      <c r="P2" s="1392"/>
    </row>
    <row r="3" spans="1:16" ht="15" thickBot="1">
      <c r="A3" s="3065" t="s">
        <v>1908</v>
      </c>
      <c r="B3" s="3065"/>
      <c r="C3" s="3065"/>
      <c r="D3" s="46">
        <f>'数据-基础表'!AY6</f>
        <v>20087.55</v>
      </c>
      <c r="E3" s="46">
        <f>'数据-基础表'!AZ5</f>
        <v>111776.38999999998</v>
      </c>
      <c r="F3" s="1392"/>
      <c r="G3" s="1399"/>
      <c r="H3" s="1247" t="s">
        <v>1909</v>
      </c>
      <c r="I3" s="55">
        <f>ROUND('数据-基础表'!B3/'数据-基础表'!A3,2)</f>
        <v>5.56</v>
      </c>
      <c r="J3" s="1392"/>
      <c r="K3" s="1392"/>
      <c r="L3" s="1392"/>
      <c r="M3" s="1392"/>
      <c r="N3" s="1427"/>
      <c r="O3" s="1392"/>
      <c r="P3" s="1392"/>
    </row>
    <row r="4" spans="1:16" ht="14.4">
      <c r="A4" s="3066"/>
      <c r="B4" s="3067"/>
      <c r="C4" s="3068"/>
      <c r="D4" s="2230" t="s">
        <v>1910</v>
      </c>
      <c r="E4" s="2231" t="s">
        <v>1911</v>
      </c>
      <c r="F4" s="1392"/>
      <c r="G4" s="2232" t="s">
        <v>1936</v>
      </c>
      <c r="H4" s="1247" t="s">
        <v>1916</v>
      </c>
      <c r="I4" s="55">
        <f>ROUND(SUMIF('数据-基础表'!I9:AS9,"地上",'数据-基础表'!I5:AS5)/'数据-基础表'!A3,2)</f>
        <v>3.79</v>
      </c>
      <c r="J4" s="1392"/>
      <c r="K4" s="1392"/>
      <c r="L4" s="1392"/>
      <c r="M4" s="1392"/>
      <c r="N4" s="1427"/>
      <c r="O4" s="1392"/>
      <c r="P4" s="1392"/>
    </row>
    <row r="5" spans="1:16" ht="14.4">
      <c r="A5" s="47" t="s">
        <v>1912</v>
      </c>
      <c r="B5" s="3069" t="s">
        <v>1913</v>
      </c>
      <c r="C5" s="3069"/>
      <c r="D5" s="48">
        <f>ROUND($D$3*E5/$E$3,2)</f>
        <v>2709.94</v>
      </c>
      <c r="E5" s="49">
        <f>SUMIF('数据-基础表'!$11:$11,"住宅",'数据-基础表'!$5:$5)</f>
        <v>15079.37</v>
      </c>
      <c r="F5" s="1392"/>
      <c r="G5" s="1399"/>
      <c r="H5" s="1247" t="s">
        <v>1909</v>
      </c>
      <c r="I5" s="55">
        <f>ROUND(E31/D31,2)</f>
        <v>5.56</v>
      </c>
      <c r="J5" s="1392"/>
      <c r="K5" s="1392"/>
      <c r="L5" s="1392"/>
      <c r="M5" s="1392"/>
      <c r="N5" s="1392"/>
      <c r="O5" s="1392"/>
      <c r="P5" s="1392"/>
    </row>
    <row r="6" spans="1:16" ht="15" thickBot="1">
      <c r="A6" s="2233"/>
      <c r="B6" s="3069" t="s">
        <v>1914</v>
      </c>
      <c r="C6" s="3069"/>
      <c r="D6" s="48">
        <f>ROUND($D$3*E6/$E$3,2)</f>
        <v>17377.61</v>
      </c>
      <c r="E6" s="49">
        <f>E3-E5</f>
        <v>96697.01999999999</v>
      </c>
      <c r="F6" s="1392"/>
      <c r="G6" s="2234" t="s">
        <v>1915</v>
      </c>
      <c r="H6" s="1399" t="s">
        <v>1916</v>
      </c>
      <c r="I6" s="939">
        <f>ROUND(F31/D31,2)</f>
        <v>3.98</v>
      </c>
      <c r="J6" s="1392"/>
      <c r="K6" s="1392"/>
      <c r="L6" s="1392"/>
      <c r="M6" s="1392"/>
      <c r="N6" s="1392"/>
      <c r="O6" s="1392"/>
      <c r="P6" s="1392"/>
    </row>
    <row r="7" spans="1:16" ht="14.4">
      <c r="A7" s="3061"/>
      <c r="B7" s="3062"/>
      <c r="C7" s="3063"/>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12951.58</v>
      </c>
      <c r="E8" s="51">
        <f>SUMIF('数据-基础表'!BB10:BK10,"地上",'数据-基础表'!BB5:BK5)</f>
        <v>72068.55</v>
      </c>
      <c r="F8" s="1392"/>
      <c r="G8" s="2236"/>
      <c r="H8" s="2236"/>
      <c r="I8" s="1392"/>
      <c r="J8" s="1392"/>
      <c r="K8" s="1392"/>
      <c r="L8" s="1392"/>
      <c r="M8" s="1392"/>
      <c r="N8" s="1392"/>
      <c r="O8" s="1392"/>
      <c r="P8" s="1392"/>
    </row>
    <row r="9" spans="1:16" ht="14.4">
      <c r="A9" s="2237"/>
      <c r="B9" s="2238"/>
      <c r="C9" s="48" t="s">
        <v>1922</v>
      </c>
      <c r="D9" s="48">
        <f t="shared" si="0"/>
        <v>28.25</v>
      </c>
      <c r="E9" s="52">
        <f>'数据-基础表'!AH5</f>
        <v>157.18</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18496.400000000001</v>
      </c>
      <c r="E16" s="53">
        <f>SUM(E8:E15)</f>
        <v>102922.5</v>
      </c>
      <c r="F16" s="1392"/>
      <c r="G16" s="2236"/>
      <c r="H16" s="2239" t="s">
        <v>1938</v>
      </c>
      <c r="I16" s="2240"/>
      <c r="J16" s="1392"/>
      <c r="K16" s="3058" t="s">
        <v>1938</v>
      </c>
      <c r="L16" s="3059"/>
      <c r="M16" s="3059"/>
      <c r="N16" s="3059"/>
      <c r="O16" s="3059"/>
      <c r="P16" s="3060"/>
    </row>
    <row r="17" spans="1:19" ht="14.4">
      <c r="A17" s="2241" t="s">
        <v>1939</v>
      </c>
      <c r="B17" s="2242" t="s">
        <v>1940</v>
      </c>
      <c r="C17" s="2243" t="s">
        <v>1941</v>
      </c>
      <c r="D17" s="2244" t="s">
        <v>1929</v>
      </c>
      <c r="E17" s="2245" t="s">
        <v>1930</v>
      </c>
      <c r="F17" s="2246"/>
      <c r="G17" s="2247"/>
      <c r="H17" s="2248" t="s">
        <v>1942</v>
      </c>
      <c r="I17" s="2249" t="s">
        <v>1927</v>
      </c>
      <c r="J17" s="1392"/>
      <c r="K17" s="3055" t="s">
        <v>1943</v>
      </c>
      <c r="L17" s="3056"/>
      <c r="M17" s="3057"/>
      <c r="N17" s="3055" t="s">
        <v>1944</v>
      </c>
      <c r="O17" s="3056"/>
      <c r="P17" s="3057"/>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3" t="s">
        <v>3121</v>
      </c>
      <c r="D19" s="48">
        <f>ROUND($D$3*E19/$E$3,2)</f>
        <v>1316.19</v>
      </c>
      <c r="E19" s="56">
        <f t="shared" ref="E19:E26" si="1">SUM(F19:G19)</f>
        <v>7323.91</v>
      </c>
      <c r="F19" s="57">
        <f>'数据-基础表'!I5-'数据-基础表'!J5</f>
        <v>7323.91</v>
      </c>
      <c r="G19" s="58"/>
      <c r="H19" s="723">
        <f>ROUND($D$3*I19/$E$3,2)</f>
        <v>17.28</v>
      </c>
      <c r="I19" s="51">
        <f t="shared" ref="I19:I26" si="2">IF($I$17="自定义",P19,M19)</f>
        <v>96.18</v>
      </c>
      <c r="J19" s="1392"/>
      <c r="K19" s="1391">
        <f t="shared" ref="K19:K26" si="3">ROUND(E$28*E19/E$27,2)</f>
        <v>96.18</v>
      </c>
      <c r="L19" s="1247">
        <f t="shared" ref="L19:L26" si="4">ROUND(IF(COUNTIF(C19,"*住宅*")&gt;0,E$29*E19/E$32,0),2)</f>
        <v>0</v>
      </c>
      <c r="M19" s="1403">
        <f>K19+L19</f>
        <v>96.18</v>
      </c>
      <c r="N19" s="2259"/>
      <c r="O19" s="2260"/>
      <c r="P19" s="1403">
        <f>N19+O19</f>
        <v>0</v>
      </c>
      <c r="R19" s="1247">
        <f t="shared" ref="R19:S26" si="5">D19+H19</f>
        <v>1333.47</v>
      </c>
      <c r="S19" s="1248">
        <f t="shared" si="5"/>
        <v>7420.09</v>
      </c>
    </row>
    <row r="20" spans="1:19" ht="14.4">
      <c r="A20" s="2261"/>
      <c r="B20" s="50" t="s">
        <v>1956</v>
      </c>
      <c r="C20" s="2953" t="s">
        <v>3122</v>
      </c>
      <c r="D20" s="48">
        <f t="shared" ref="D20:D26" si="6">ROUND($D$3*E20/$E$3,2)</f>
        <v>1393.75</v>
      </c>
      <c r="E20" s="56">
        <f t="shared" si="1"/>
        <v>7755.46</v>
      </c>
      <c r="F20" s="57">
        <f>'数据-基础表'!K5</f>
        <v>7755.46</v>
      </c>
      <c r="G20" s="58"/>
      <c r="H20" s="723">
        <f t="shared" ref="H20:H26" si="7">ROUND($D$3*I20/$E$3,2)</f>
        <v>18.3</v>
      </c>
      <c r="I20" s="51">
        <f t="shared" si="2"/>
        <v>101.85</v>
      </c>
      <c r="J20" s="1392"/>
      <c r="K20" s="1391">
        <f t="shared" si="3"/>
        <v>101.85</v>
      </c>
      <c r="L20" s="1247">
        <f t="shared" si="4"/>
        <v>0</v>
      </c>
      <c r="M20" s="1403">
        <f t="shared" ref="M20:M26" si="8">K20+L20</f>
        <v>101.85</v>
      </c>
      <c r="N20" s="2259"/>
      <c r="O20" s="2260"/>
      <c r="P20" s="1403">
        <f t="shared" ref="P20:P26" si="9">N20+O20</f>
        <v>0</v>
      </c>
      <c r="R20" s="1247">
        <f t="shared" si="5"/>
        <v>1412.05</v>
      </c>
      <c r="S20" s="1248">
        <f t="shared" si="5"/>
        <v>7857.31</v>
      </c>
    </row>
    <row r="21" spans="1:19" ht="14.4">
      <c r="A21" s="2261"/>
      <c r="B21" s="50" t="s">
        <v>1956</v>
      </c>
      <c r="C21" s="2953" t="s">
        <v>3547</v>
      </c>
      <c r="D21" s="48">
        <f t="shared" si="6"/>
        <v>5682.44</v>
      </c>
      <c r="E21" s="56">
        <f t="shared" si="1"/>
        <v>31619.72</v>
      </c>
      <c r="F21" s="57">
        <f>'数据-基础表'!M17+'数据-基础表'!M19</f>
        <v>31619.72</v>
      </c>
      <c r="G21" s="58"/>
      <c r="H21" s="723">
        <f t="shared" si="7"/>
        <v>74.63</v>
      </c>
      <c r="I21" s="51">
        <f t="shared" si="2"/>
        <v>415.26</v>
      </c>
      <c r="J21" s="1392"/>
      <c r="K21" s="1391">
        <f t="shared" si="3"/>
        <v>415.26</v>
      </c>
      <c r="L21" s="1247">
        <f t="shared" si="4"/>
        <v>0</v>
      </c>
      <c r="M21" s="1403">
        <f t="shared" si="8"/>
        <v>415.26</v>
      </c>
      <c r="N21" s="2259"/>
      <c r="O21" s="2260"/>
      <c r="P21" s="1403">
        <f t="shared" si="9"/>
        <v>0</v>
      </c>
      <c r="R21" s="1247">
        <f t="shared" si="5"/>
        <v>5757.07</v>
      </c>
      <c r="S21" s="1248">
        <f t="shared" si="5"/>
        <v>32034.98</v>
      </c>
    </row>
    <row r="22" spans="1:19" ht="14.4">
      <c r="A22" s="2261"/>
      <c r="B22" s="50" t="s">
        <v>1956</v>
      </c>
      <c r="C22" s="2954" t="s">
        <v>3123</v>
      </c>
      <c r="D22" s="48">
        <f t="shared" si="6"/>
        <v>2832.93</v>
      </c>
      <c r="E22" s="56">
        <f t="shared" si="1"/>
        <v>15763.72</v>
      </c>
      <c r="F22" s="61">
        <f>'数据-基础表'!O5</f>
        <v>2994.6</v>
      </c>
      <c r="G22" s="62">
        <f>'数据-基础表'!Q5</f>
        <v>12769.119999999999</v>
      </c>
      <c r="H22" s="723">
        <f t="shared" si="7"/>
        <v>37.200000000000003</v>
      </c>
      <c r="I22" s="51">
        <f t="shared" si="2"/>
        <v>207.02</v>
      </c>
      <c r="J22" s="1392"/>
      <c r="K22" s="1391">
        <f t="shared" si="3"/>
        <v>207.02</v>
      </c>
      <c r="L22" s="1247">
        <f t="shared" si="4"/>
        <v>0</v>
      </c>
      <c r="M22" s="1403">
        <f t="shared" si="8"/>
        <v>207.02</v>
      </c>
      <c r="N22" s="2259"/>
      <c r="O22" s="2260"/>
      <c r="P22" s="1403">
        <f t="shared" si="9"/>
        <v>0</v>
      </c>
      <c r="R22" s="1247">
        <f t="shared" si="5"/>
        <v>2870.1299999999997</v>
      </c>
      <c r="S22" s="1248">
        <f t="shared" si="5"/>
        <v>15970.74</v>
      </c>
    </row>
    <row r="23" spans="1:19" ht="14.4">
      <c r="A23" s="2261"/>
      <c r="B23" s="50" t="s">
        <v>1956</v>
      </c>
      <c r="C23" s="2954" t="s">
        <v>3124</v>
      </c>
      <c r="D23" s="48">
        <f>ROUND($D$3*E23/$E$3,2)</f>
        <v>3221.81</v>
      </c>
      <c r="E23" s="56">
        <f>SUM(F23:G23)</f>
        <v>17927.650000000001</v>
      </c>
      <c r="F23" s="61"/>
      <c r="G23" s="62">
        <f>'数据-基础表'!S5</f>
        <v>17927.650000000001</v>
      </c>
      <c r="H23" s="723">
        <f>ROUND($D$3*I23/$E$3,2)</f>
        <v>42.31</v>
      </c>
      <c r="I23" s="51">
        <f t="shared" si="2"/>
        <v>235.44</v>
      </c>
      <c r="J23" s="1392"/>
      <c r="K23" s="1391">
        <f t="shared" si="3"/>
        <v>235.44</v>
      </c>
      <c r="L23" s="1247">
        <f t="shared" si="4"/>
        <v>0</v>
      </c>
      <c r="M23" s="1403">
        <f t="shared" si="8"/>
        <v>235.44</v>
      </c>
      <c r="N23" s="2259"/>
      <c r="O23" s="2260"/>
      <c r="P23" s="1403">
        <f t="shared" si="9"/>
        <v>0</v>
      </c>
      <c r="R23" s="1247">
        <f t="shared" si="5"/>
        <v>3264.12</v>
      </c>
      <c r="S23" s="1248">
        <f t="shared" si="5"/>
        <v>18163.09</v>
      </c>
    </row>
    <row r="24" spans="1:19" ht="14.4">
      <c r="A24" s="2261"/>
      <c r="B24" s="50" t="s">
        <v>1956</v>
      </c>
      <c r="C24" s="2954" t="s">
        <v>3548</v>
      </c>
      <c r="D24" s="48">
        <f>ROUND($D$3*E24/$E$3,2)</f>
        <v>4021.03</v>
      </c>
      <c r="E24" s="56">
        <f>SUM(F24:G24)</f>
        <v>22374.86</v>
      </c>
      <c r="F24" s="61">
        <f>'数据-基础表'!M13+'数据-基础表'!M14</f>
        <v>22374.86</v>
      </c>
      <c r="G24" s="62"/>
      <c r="H24" s="723">
        <f>ROUND($D$3*I24/$E$3,2)</f>
        <v>52.81</v>
      </c>
      <c r="I24" s="51">
        <f t="shared" si="2"/>
        <v>293.85000000000002</v>
      </c>
      <c r="J24" s="1392"/>
      <c r="K24" s="1391">
        <f t="shared" si="3"/>
        <v>293.85000000000002</v>
      </c>
      <c r="L24" s="1247">
        <f t="shared" si="4"/>
        <v>0</v>
      </c>
      <c r="M24" s="1403">
        <f t="shared" si="8"/>
        <v>293.85000000000002</v>
      </c>
      <c r="N24" s="2259"/>
      <c r="O24" s="2260"/>
      <c r="P24" s="1403">
        <f t="shared" si="9"/>
        <v>0</v>
      </c>
      <c r="R24" s="1247">
        <f t="shared" si="5"/>
        <v>4073.84</v>
      </c>
      <c r="S24" s="1248">
        <f t="shared" si="5"/>
        <v>22668.71</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18468.149999999998</v>
      </c>
      <c r="E27" s="1394">
        <f>IF(SUM(E19:E26)='数据-基础表'!BA5,SUM(E19:E26),IF(F27="地上面积有误","面积有误","地下面积有误"))</f>
        <v>102765.31999999999</v>
      </c>
      <c r="F27" s="1393">
        <f>IF(SUM(F19:F26)=E8,SUM(F19:F26),"地上面积有误")</f>
        <v>72068.549999999988</v>
      </c>
      <c r="G27" s="1395">
        <f>SUM(G19:G26)</f>
        <v>30696.77</v>
      </c>
      <c r="H27" s="1396">
        <f>SUM(H19:H26)</f>
        <v>242.53</v>
      </c>
      <c r="I27" s="1397">
        <f>SUM(I19:I26)</f>
        <v>1349.6</v>
      </c>
      <c r="J27" s="1392"/>
      <c r="K27" s="1400">
        <f>SUM(K19:K26)</f>
        <v>1349.6</v>
      </c>
      <c r="L27" s="1401">
        <f>SUM(L19:L26)</f>
        <v>0</v>
      </c>
      <c r="M27" s="1404">
        <f>SUM(M19:M26)</f>
        <v>1349.6</v>
      </c>
      <c r="N27" s="1400">
        <f t="shared" ref="N27:O27" si="10">SUM(N19:N26)</f>
        <v>0</v>
      </c>
      <c r="O27" s="1401">
        <f t="shared" si="10"/>
        <v>0</v>
      </c>
      <c r="P27" s="1402">
        <f>SUM(P19:P26)</f>
        <v>0</v>
      </c>
      <c r="R27" s="1249" t="str">
        <f>IF(SUM(R19:R26)=$D$3,SUM(R19:R26),SUM(R19:R26)&amp;"误差"&amp;ROUND(SUM(R19:R26)-$D$3,2))</f>
        <v>18710.68误差-1376.87</v>
      </c>
      <c r="S27" s="1247" t="str">
        <f>IF(SUM(S19:S26)=$E$3,SUM(S19:S26),SUM(S19:S26)&amp;"误差"&amp;ROUND(SUM(S19:S26)-E3,2))</f>
        <v>104114.92误差-7661.47</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7661.4600000000009</v>
      </c>
      <c r="G29" s="67">
        <f>'数据-基础表'!BN5+'数据-基础表'!BP5</f>
        <v>0</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7938.4600000000009</v>
      </c>
      <c r="G30" s="1395">
        <f>SUM(G28:G29)</f>
        <v>1072.6099999999999</v>
      </c>
      <c r="H30" s="1392"/>
      <c r="I30" s="1392"/>
      <c r="J30" s="1392"/>
      <c r="K30" s="1392"/>
      <c r="L30" s="1392"/>
      <c r="M30" s="1392"/>
      <c r="N30" s="1392"/>
      <c r="O30" s="1392"/>
      <c r="P30" s="1392"/>
    </row>
    <row r="31" spans="1:19" ht="15" thickBot="1">
      <c r="A31" s="2267"/>
      <c r="B31" s="2268"/>
      <c r="C31" s="1007" t="s">
        <v>1961</v>
      </c>
      <c r="D31" s="729">
        <f>D27+D30</f>
        <v>20087.55</v>
      </c>
      <c r="E31" s="729">
        <f>E27+E30</f>
        <v>111776.39</v>
      </c>
      <c r="F31" s="730">
        <f>F27+F30</f>
        <v>80007.009999999995</v>
      </c>
      <c r="G31" s="731">
        <f>G27+G30</f>
        <v>31769.38</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43627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3057</v>
      </c>
      <c r="D6" s="1051">
        <f>SUMIF(项目基本情况!D$12:I$12,C6,项目基本情况!D$14:I$14)</f>
        <v>70</v>
      </c>
      <c r="E6" s="1048">
        <f>IF(B6="","",SUMIF(项目基本情况!D$12:I$12,C6,项目基本情况!D$13:I$13))</f>
        <v>67643</v>
      </c>
      <c r="F6" s="72">
        <f>SUMIF(项目基本情况!D$12:I$12,C6,项目基本情况!D$15:I$15)</f>
        <v>65.790000000000006</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7323.91</v>
      </c>
      <c r="L6" s="803">
        <v>3000</v>
      </c>
      <c r="M6" s="75">
        <f t="shared" ref="M6:M14" si="0">ROUND(K6*L6/10000,0)</f>
        <v>2197</v>
      </c>
      <c r="N6" s="801">
        <v>0.9</v>
      </c>
      <c r="O6" s="75">
        <f>IF($N$5="成新度","——",ROUND(M6*N6,0))</f>
        <v>1977</v>
      </c>
      <c r="P6" s="76">
        <f>IF($N$5="成新度","——",M6-O6)</f>
        <v>220</v>
      </c>
      <c r="Q6" s="804">
        <v>0.2</v>
      </c>
      <c r="R6" s="77">
        <f ca="1">SUMIF('数据-汇总表'!C$19:C$33,A6,'数据-汇总表'!R$19:R$27)</f>
        <v>1333.47</v>
      </c>
      <c r="S6" s="54">
        <f>IF('数据-汇总表'!$I$17="按面积比例",SUMIF('数据-汇总表'!C$19:C$33,A6,'数据-汇总表'!K$19:K$33),SUMIF('数据-汇总表'!C$19:C$33,A6,'数据-汇总表'!N$19:N$33))</f>
        <v>96.18</v>
      </c>
      <c r="T6" s="1443">
        <f>ROUND($L$14*S6/10000,0)</f>
        <v>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21971730</v>
      </c>
      <c r="AQ6" s="55">
        <f>ROUND($L$14*$N$14*S6/10000,0)</f>
        <v>26</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3057</v>
      </c>
      <c r="D7" s="1051">
        <f>SUMIF(项目基本情况!D$12:I$12,C7,项目基本情况!D$14:I$14)</f>
        <v>70</v>
      </c>
      <c r="E7" s="1048">
        <f>IF(B7="","",SUMIF(项目基本情况!D$12:I$12,C7,项目基本情况!D$13:I$13))</f>
        <v>67643</v>
      </c>
      <c r="F7" s="72">
        <f>SUMIF(项目基本情况!D$12:I$12,C7,项目基本情况!D$15:I$15)</f>
        <v>65.790000000000006</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v>
      </c>
      <c r="O7" s="75">
        <f t="shared" ref="O7:O14" si="3">IF($N$5="成新度","——",ROUND(M7*N7,0))</f>
        <v>2443</v>
      </c>
      <c r="P7" s="76">
        <f t="shared" ref="P7:P14" si="4">IF($N$5="成新度","——",M7-O7)</f>
        <v>271</v>
      </c>
      <c r="Q7" s="804">
        <v>0.03</v>
      </c>
      <c r="R7" s="77">
        <f ca="1">SUMIF('数据-汇总表'!C$19:C$33,A7,'数据-汇总表'!R$19:R$27)</f>
        <v>1412.05</v>
      </c>
      <c r="S7" s="54">
        <f>IF('数据-汇总表'!$I$17="按面积比例",SUMIF('数据-汇总表'!C$19:C$33,A7,'数据-汇总表'!K$19:K$33),SUMIF('数据-汇总表'!C$19:C$33,A7,'数据-汇总表'!N$19:N$33))</f>
        <v>101.85</v>
      </c>
      <c r="T7" s="1443">
        <f t="shared" ref="T7:T13" si="5">ROUND($L$14*S7/10000,0)</f>
        <v>31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27</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45.78</v>
      </c>
      <c r="G8" s="73">
        <f t="shared" si="2"/>
        <v>0.97799999999999998</v>
      </c>
      <c r="H8" s="802">
        <v>0.05</v>
      </c>
      <c r="I8" s="802">
        <v>5.5E-2</v>
      </c>
      <c r="J8" s="802">
        <v>8.5000000000000006E-2</v>
      </c>
      <c r="K8" s="1251">
        <f>SUMIF('数据-汇总表'!C$19:C$33,A8,'数据-汇总表'!E$19:E$33)</f>
        <v>31619.72</v>
      </c>
      <c r="L8" s="803">
        <f>L6</f>
        <v>3000</v>
      </c>
      <c r="M8" s="75">
        <f>ROUND(K8*L8/10000,0)</f>
        <v>9486</v>
      </c>
      <c r="N8" s="801">
        <f>N6</f>
        <v>0.9</v>
      </c>
      <c r="O8" s="75">
        <f t="shared" si="3"/>
        <v>8537</v>
      </c>
      <c r="P8" s="76">
        <f t="shared" si="4"/>
        <v>949</v>
      </c>
      <c r="Q8" s="804">
        <v>0.1</v>
      </c>
      <c r="R8" s="77">
        <f ca="1">SUMIF('数据-汇总表'!C$19:C$33,A8,'数据-汇总表'!R$19:R$27)</f>
        <v>5757.07</v>
      </c>
      <c r="S8" s="54">
        <f>IF('数据-汇总表'!$I$17="按面积比例",SUMIF('数据-汇总表'!C$19:C$33,A8,'数据-汇总表'!K$19:K$33),SUMIF('数据-汇总表'!C$19:C$33,A8,'数据-汇总表'!N$19:N$33))</f>
        <v>415.26</v>
      </c>
      <c r="T8" s="1443">
        <f t="shared" si="5"/>
        <v>125</v>
      </c>
      <c r="U8" s="805">
        <v>3.5</v>
      </c>
      <c r="V8" s="806">
        <v>0.03</v>
      </c>
      <c r="W8" s="806">
        <v>0.1</v>
      </c>
      <c r="X8" s="1261"/>
      <c r="Y8" s="807">
        <v>1</v>
      </c>
      <c r="Z8" s="81"/>
      <c r="AA8" s="74"/>
      <c r="AB8" s="74"/>
      <c r="AC8" s="1261"/>
      <c r="AD8" s="82"/>
      <c r="AE8" s="1262">
        <f t="shared" ca="1" si="6"/>
        <v>45.480000000000004</v>
      </c>
      <c r="AF8" s="1803"/>
      <c r="AG8" s="147">
        <f t="shared" si="7"/>
        <v>0</v>
      </c>
      <c r="AH8" s="808"/>
      <c r="AI8" s="85">
        <v>365</v>
      </c>
      <c r="AJ8" s="86"/>
      <c r="AK8" s="809">
        <v>1.4999999999999999E-2</v>
      </c>
      <c r="AL8" s="810">
        <v>1.5E-3</v>
      </c>
      <c r="AM8" s="811">
        <v>1.4999999999999999E-2</v>
      </c>
      <c r="AN8" s="2307" t="s">
        <v>3557</v>
      </c>
      <c r="AO8" s="55">
        <f t="shared" ca="1" si="8"/>
        <v>72484</v>
      </c>
      <c r="AP8" s="2308">
        <f t="shared" si="9"/>
        <v>0</v>
      </c>
      <c r="AQ8" s="55">
        <f t="shared" si="10"/>
        <v>112</v>
      </c>
      <c r="AR8" s="55">
        <f t="shared" si="11"/>
        <v>12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35.770000000000003</v>
      </c>
      <c r="G9" s="73">
        <f t="shared" si="2"/>
        <v>0.96599999999999997</v>
      </c>
      <c r="H9" s="802">
        <v>5.5E-2</v>
      </c>
      <c r="I9" s="802">
        <v>0.06</v>
      </c>
      <c r="J9" s="802">
        <v>8.5000000000000006E-2</v>
      </c>
      <c r="K9" s="1251">
        <f>SUMIF('数据-汇总表'!C$19:C$33,A9,'数据-汇总表'!E$19:E$33)</f>
        <v>15763.72</v>
      </c>
      <c r="L9" s="803">
        <f>L6</f>
        <v>3000</v>
      </c>
      <c r="M9" s="75">
        <f t="shared" si="0"/>
        <v>4729</v>
      </c>
      <c r="N9" s="801">
        <f t="shared" ref="N9:N11" si="12">N7</f>
        <v>0.9</v>
      </c>
      <c r="O9" s="75">
        <f t="shared" si="3"/>
        <v>4256</v>
      </c>
      <c r="P9" s="76">
        <f t="shared" si="4"/>
        <v>473</v>
      </c>
      <c r="Q9" s="90">
        <v>0.1</v>
      </c>
      <c r="R9" s="77">
        <f ca="1">SUMIF('数据-汇总表'!C$19:C$33,A9,'数据-汇总表'!R$19:R$27)</f>
        <v>2870.1299999999997</v>
      </c>
      <c r="S9" s="54">
        <f>IF('数据-汇总表'!$I$17="按面积比例",SUMIF('数据-汇总表'!C$19:C$33,A9,'数据-汇总表'!K$19:K$33),SUMIF('数据-汇总表'!C$19:C$33,A9,'数据-汇总表'!N$19:N$33))</f>
        <v>207.02</v>
      </c>
      <c r="T9" s="1443">
        <f t="shared" si="5"/>
        <v>62</v>
      </c>
      <c r="U9" s="805">
        <f>W20</f>
        <v>4.0599999999999996</v>
      </c>
      <c r="V9" s="806">
        <v>0.03</v>
      </c>
      <c r="W9" s="806">
        <v>0.1</v>
      </c>
      <c r="X9" s="1261"/>
      <c r="Y9" s="807">
        <v>1</v>
      </c>
      <c r="Z9" s="81"/>
      <c r="AA9" s="74"/>
      <c r="AB9" s="74"/>
      <c r="AC9" s="1261"/>
      <c r="AD9" s="82"/>
      <c r="AE9" s="1262">
        <f t="shared" ca="1" si="6"/>
        <v>35.470000000000006</v>
      </c>
      <c r="AF9" s="1803"/>
      <c r="AG9" s="147">
        <f t="shared" si="7"/>
        <v>0</v>
      </c>
      <c r="AH9" s="83"/>
      <c r="AI9" s="85">
        <v>365</v>
      </c>
      <c r="AJ9" s="86"/>
      <c r="AK9" s="809">
        <v>1.4999999999999999E-2</v>
      </c>
      <c r="AL9" s="810">
        <v>1.5E-3</v>
      </c>
      <c r="AM9" s="811">
        <v>1.4999999999999999E-2</v>
      </c>
      <c r="AN9" s="2307" t="s">
        <v>3555</v>
      </c>
      <c r="AO9" s="55">
        <f t="shared" ca="1" si="8"/>
        <v>33985</v>
      </c>
      <c r="AP9" s="2308">
        <f t="shared" si="9"/>
        <v>0</v>
      </c>
      <c r="AQ9" s="55">
        <f t="shared" si="10"/>
        <v>56</v>
      </c>
      <c r="AR9" s="55">
        <f t="shared" si="11"/>
        <v>6</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3120</v>
      </c>
      <c r="D10" s="1051">
        <f>SUMIF(项目基本情况!D$12:I$12,C10,项目基本情况!D$14:I$14)</f>
        <v>50</v>
      </c>
      <c r="E10" s="1048">
        <f>IF(B10="","",SUMIF(项目基本情况!D$12:I$12,C10,项目基本情况!D$13:I$13))</f>
        <v>60338</v>
      </c>
      <c r="F10" s="72">
        <f>SUMIF(项目基本情况!D$12:I$12,C10,项目基本情况!D$15:I$15)</f>
        <v>45.78</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v>
      </c>
      <c r="O10" s="75">
        <f t="shared" si="3"/>
        <v>4840</v>
      </c>
      <c r="P10" s="76">
        <f t="shared" si="4"/>
        <v>538</v>
      </c>
      <c r="Q10" s="90">
        <v>0.05</v>
      </c>
      <c r="R10" s="77">
        <f ca="1">SUMIF('数据-汇总表'!C$19:C$33,A10,'数据-汇总表'!R$19:R$27)</f>
        <v>3264.12</v>
      </c>
      <c r="S10" s="54">
        <f>IF('数据-汇总表'!$I$17="按面积比例",SUMIF('数据-汇总表'!C$19:C$33,A10,'数据-汇总表'!K$19:K$33),SUMIF('数据-汇总表'!C$19:C$33,A10,'数据-汇总表'!N$19:N$33))</f>
        <v>235.44</v>
      </c>
      <c r="T10" s="1443">
        <f t="shared" si="5"/>
        <v>71</v>
      </c>
      <c r="U10" s="805">
        <v>1000</v>
      </c>
      <c r="V10" s="806">
        <v>0.02</v>
      </c>
      <c r="W10" s="806">
        <v>0.1</v>
      </c>
      <c r="X10" s="1261"/>
      <c r="Y10" s="807">
        <v>1</v>
      </c>
      <c r="Z10" s="81"/>
      <c r="AA10" s="74"/>
      <c r="AB10" s="74"/>
      <c r="AC10" s="1261"/>
      <c r="AD10" s="82"/>
      <c r="AE10" s="1262">
        <f t="shared" ca="1" si="6"/>
        <v>45.480000000000004</v>
      </c>
      <c r="AF10" s="1803"/>
      <c r="AG10" s="147">
        <f t="shared" si="7"/>
        <v>0</v>
      </c>
      <c r="AH10" s="83">
        <f>ROUNDDOWN(K10/35,0)</f>
        <v>512</v>
      </c>
      <c r="AI10" s="85">
        <v>12</v>
      </c>
      <c r="AJ10" s="86"/>
      <c r="AK10" s="809">
        <v>1.4999999999999999E-2</v>
      </c>
      <c r="AL10" s="810">
        <v>1.5E-3</v>
      </c>
      <c r="AM10" s="811">
        <v>1.4999999999999999E-2</v>
      </c>
      <c r="AN10" s="2307" t="s">
        <v>3559</v>
      </c>
      <c r="AO10" s="55">
        <f t="shared" ca="1" si="8"/>
        <v>7935</v>
      </c>
      <c r="AP10" s="2308">
        <f t="shared" si="9"/>
        <v>0</v>
      </c>
      <c r="AQ10" s="55">
        <f t="shared" si="10"/>
        <v>64</v>
      </c>
      <c r="AR10" s="55">
        <f t="shared" si="11"/>
        <v>7</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45.78</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v>
      </c>
      <c r="O11" s="75">
        <f t="shared" si="3"/>
        <v>6041</v>
      </c>
      <c r="P11" s="76">
        <f t="shared" si="4"/>
        <v>671</v>
      </c>
      <c r="Q11" s="90">
        <v>0.15</v>
      </c>
      <c r="R11" s="77">
        <f ca="1">SUMIF('数据-汇总表'!C$19:C$33,A11,'数据-汇总表'!R$19:R$27)</f>
        <v>4073.84</v>
      </c>
      <c r="S11" s="54">
        <f>IF('数据-汇总表'!$I$17="按面积比例",SUMIF('数据-汇总表'!C$19:C$33,A11,'数据-汇总表'!K$19:K$33),SUMIF('数据-汇总表'!C$19:C$33,A11,'数据-汇总表'!N$19:N$33))</f>
        <v>293.85000000000002</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79</v>
      </c>
      <c r="AR11" s="55">
        <f t="shared" si="11"/>
        <v>9</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v>
      </c>
      <c r="O14" s="75">
        <f t="shared" si="3"/>
        <v>365</v>
      </c>
      <c r="P14" s="76">
        <f t="shared" si="4"/>
        <v>40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0.97699999999999998</v>
      </c>
      <c r="H16" s="99">
        <f>ROUND(SUMPRODUCT(H6:H13,K6:K13)/SUMPRODUCT((H6:H13&gt;0)*(K6:K13)),3)</f>
        <v>4.8000000000000001E-2</v>
      </c>
      <c r="I16" s="100"/>
      <c r="J16" s="100"/>
      <c r="K16" s="101">
        <f>SUM(K6:K15)</f>
        <v>111776.39</v>
      </c>
      <c r="L16" s="102">
        <f>ROUND(M16*10000/SUM(K6:K14),0)</f>
        <v>3037</v>
      </c>
      <c r="M16" s="102">
        <f>SUM(M6:M14)</f>
        <v>31621</v>
      </c>
      <c r="N16" s="103">
        <f>ROUND(SUMPRODUCT(M6:M14,N6:N14)/M16,3)</f>
        <v>0.9</v>
      </c>
      <c r="O16" s="102">
        <f>SUM(O6:O14)</f>
        <v>28459</v>
      </c>
      <c r="P16" s="102">
        <f>SUM(P6:P14)</f>
        <v>3162</v>
      </c>
      <c r="Q16" s="104">
        <f>ROUND(SUMPRODUCT(Q6:Q13,K6:K13)/SUMPRODUCT((Q6:Q13&gt;0)*(K6:K13)),2)</f>
        <v>0.1</v>
      </c>
      <c r="R16" s="1255">
        <f ca="1">SUM(R6:R13)</f>
        <v>18710.68</v>
      </c>
      <c r="S16" s="105">
        <f>SUM(S6:S13)</f>
        <v>1349.6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2" t="s">
        <v>3552</v>
      </c>
      <c r="U18" s="2972" t="s">
        <v>3549</v>
      </c>
      <c r="V18" s="2972" t="s">
        <v>3550</v>
      </c>
      <c r="W18" s="2972" t="s">
        <v>3551</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2" t="s">
        <v>3553</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2" t="s">
        <v>3554</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2.7</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0.29999999999999982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2175</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0" t="s">
        <v>2080</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6" activePane="bottomRight" state="frozen"/>
      <selection pane="topRight" activeCell="B1" sqref="B1"/>
      <selection pane="bottomLeft" activeCell="A3" sqref="A3"/>
      <selection pane="bottomRight" activeCell="H29" sqref="H29"/>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3054</v>
      </c>
    </row>
    <row r="2" spans="1:15">
      <c r="B2" s="2948" t="s">
        <v>3056</v>
      </c>
      <c r="L2" s="2948" t="s">
        <v>3064</v>
      </c>
      <c r="M2" s="2948" t="s">
        <v>3063</v>
      </c>
      <c r="O2" s="2948" t="s">
        <v>3085</v>
      </c>
    </row>
    <row r="3" spans="1:15">
      <c r="B3" s="2948" t="s">
        <v>3058</v>
      </c>
      <c r="C3" s="2948" t="s">
        <v>3060</v>
      </c>
      <c r="D3" s="2948" t="s">
        <v>3071</v>
      </c>
      <c r="E3" s="2948" t="s">
        <v>3072</v>
      </c>
      <c r="F3" s="2948" t="s">
        <v>3061</v>
      </c>
      <c r="G3" s="2948" t="s">
        <v>3080</v>
      </c>
      <c r="H3" s="2948" t="s">
        <v>3073</v>
      </c>
      <c r="I3" s="2948" t="s">
        <v>3074</v>
      </c>
      <c r="J3" s="2948" t="s">
        <v>3070</v>
      </c>
      <c r="K3" s="2948" t="s">
        <v>3062</v>
      </c>
      <c r="L3" s="2948"/>
    </row>
    <row r="4" spans="1:15">
      <c r="A4" s="2948" t="s">
        <v>3055</v>
      </c>
      <c r="C4">
        <v>7021.83</v>
      </c>
      <c r="D4">
        <v>348.64</v>
      </c>
      <c r="L4">
        <f t="shared" ref="L4:L15" si="0">SUM(B4:K4)</f>
        <v>7370.47</v>
      </c>
      <c r="M4">
        <v>10</v>
      </c>
    </row>
    <row r="5" spans="1:15">
      <c r="A5" s="2948" t="s">
        <v>3065</v>
      </c>
      <c r="C5">
        <v>15353.03</v>
      </c>
      <c r="D5">
        <v>746.18</v>
      </c>
      <c r="L5">
        <f t="shared" si="0"/>
        <v>16099.210000000001</v>
      </c>
      <c r="M5">
        <v>10</v>
      </c>
    </row>
    <row r="6" spans="1:15">
      <c r="A6" s="2948" t="s">
        <v>3066</v>
      </c>
      <c r="B6">
        <v>7755.46</v>
      </c>
      <c r="D6">
        <v>309.07</v>
      </c>
      <c r="L6">
        <f t="shared" si="0"/>
        <v>8064.53</v>
      </c>
      <c r="M6">
        <v>16</v>
      </c>
    </row>
    <row r="7" spans="1:15">
      <c r="A7" s="2948" t="s">
        <v>3081</v>
      </c>
      <c r="B7">
        <v>2693.22</v>
      </c>
      <c r="D7">
        <v>16.23</v>
      </c>
      <c r="G7">
        <v>101.72</v>
      </c>
      <c r="L7">
        <f t="shared" si="0"/>
        <v>2811.1699999999996</v>
      </c>
      <c r="M7">
        <v>11</v>
      </c>
      <c r="O7">
        <v>244.88</v>
      </c>
    </row>
    <row r="8" spans="1:15">
      <c r="A8" s="2948" t="s">
        <v>3067</v>
      </c>
      <c r="C8">
        <v>15926.17</v>
      </c>
      <c r="D8">
        <v>607.07000000000005</v>
      </c>
      <c r="H8">
        <v>209.41</v>
      </c>
      <c r="L8">
        <f t="shared" si="0"/>
        <v>16742.650000000001</v>
      </c>
      <c r="M8">
        <v>10</v>
      </c>
    </row>
    <row r="9" spans="1:15">
      <c r="A9" s="2948" t="s">
        <v>3082</v>
      </c>
      <c r="B9">
        <v>7178.55</v>
      </c>
      <c r="K9">
        <v>28.73</v>
      </c>
      <c r="L9">
        <f t="shared" si="0"/>
        <v>7207.28</v>
      </c>
      <c r="M9">
        <v>11</v>
      </c>
      <c r="O9">
        <v>3588.7</v>
      </c>
    </row>
    <row r="10" spans="1:15">
      <c r="A10" s="2948" t="s">
        <v>3068</v>
      </c>
      <c r="C10">
        <v>15693.55</v>
      </c>
      <c r="D10">
        <v>967.41</v>
      </c>
      <c r="L10">
        <f t="shared" si="0"/>
        <v>16660.96</v>
      </c>
      <c r="M10">
        <v>10</v>
      </c>
    </row>
    <row r="11" spans="1:15">
      <c r="A11" s="2948" t="s">
        <v>3083</v>
      </c>
      <c r="B11">
        <v>7273.43</v>
      </c>
      <c r="L11">
        <f t="shared" si="0"/>
        <v>7273.43</v>
      </c>
      <c r="M11">
        <v>11</v>
      </c>
      <c r="O11">
        <v>5987.71</v>
      </c>
    </row>
    <row r="12" spans="1:15">
      <c r="A12" s="2948" t="s">
        <v>3069</v>
      </c>
      <c r="E12">
        <v>5050.07</v>
      </c>
      <c r="F12">
        <v>5038.41</v>
      </c>
      <c r="H12">
        <v>67.59</v>
      </c>
      <c r="I12">
        <f>872.14+150.65</f>
        <v>1022.79</v>
      </c>
      <c r="J12">
        <v>2434.92</v>
      </c>
      <c r="K12">
        <v>4577.8999999999996</v>
      </c>
      <c r="L12">
        <f t="shared" si="0"/>
        <v>18191.68</v>
      </c>
      <c r="M12" s="2949" t="s">
        <v>3075</v>
      </c>
    </row>
    <row r="13" spans="1:15">
      <c r="A13" s="2948" t="s">
        <v>3076</v>
      </c>
      <c r="E13">
        <v>3702.58</v>
      </c>
      <c r="F13">
        <v>4217.09</v>
      </c>
      <c r="I13">
        <v>23.74</v>
      </c>
      <c r="J13">
        <v>2272.3000000000002</v>
      </c>
      <c r="K13">
        <v>5845.87</v>
      </c>
      <c r="L13">
        <f t="shared" si="0"/>
        <v>16061.579999999998</v>
      </c>
      <c r="M13" s="2949" t="s">
        <v>3077</v>
      </c>
    </row>
    <row r="14" spans="1:15">
      <c r="A14" s="2948" t="s">
        <v>3079</v>
      </c>
      <c r="E14">
        <v>4016.47</v>
      </c>
      <c r="F14">
        <v>8672.15</v>
      </c>
      <c r="G14">
        <v>55.46</v>
      </c>
      <c r="I14">
        <v>26.08</v>
      </c>
      <c r="J14">
        <v>2797.06</v>
      </c>
      <c r="L14">
        <f t="shared" si="0"/>
        <v>15567.219999999998</v>
      </c>
      <c r="M14" s="2949" t="s">
        <v>3078</v>
      </c>
    </row>
    <row r="15" spans="1:15">
      <c r="A15" s="2948" t="s">
        <v>3084</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3134</v>
      </c>
      <c r="B16">
        <v>24778.35</v>
      </c>
      <c r="C16">
        <v>54720.54</v>
      </c>
      <c r="D16">
        <v>2708.32</v>
      </c>
      <c r="E16">
        <v>11412</v>
      </c>
      <c r="F16">
        <v>18649</v>
      </c>
      <c r="M16" s="2950"/>
    </row>
    <row r="17" spans="1:12">
      <c r="A17" s="2948" t="s">
        <v>3135</v>
      </c>
      <c r="B17">
        <f>B15-B16</f>
        <v>122.31000000000131</v>
      </c>
      <c r="D17">
        <f t="shared" ref="D17:E17" si="2">D15-D16</f>
        <v>286.27999999999975</v>
      </c>
      <c r="E17">
        <f t="shared" si="2"/>
        <v>1357.119999999999</v>
      </c>
    </row>
    <row r="18" spans="1:12">
      <c r="A18" s="2948" t="s">
        <v>3136</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3089</v>
      </c>
    </row>
    <row r="22" spans="1:12">
      <c r="A22" s="2948" t="s">
        <v>3088</v>
      </c>
      <c r="B22">
        <v>8684.77</v>
      </c>
    </row>
    <row r="23" spans="1:12">
      <c r="A23" s="2948" t="s">
        <v>3087</v>
      </c>
      <c r="B23">
        <v>7467.97</v>
      </c>
    </row>
    <row r="24" spans="1:12">
      <c r="A24" s="2948" t="s">
        <v>3086</v>
      </c>
      <c r="B24">
        <v>7578.25</v>
      </c>
    </row>
    <row r="25" spans="1:12">
      <c r="A25" s="2948" t="s">
        <v>3084</v>
      </c>
      <c r="B25">
        <f>SUM(B22:B24)</f>
        <v>23730.99</v>
      </c>
    </row>
    <row r="28" spans="1:12">
      <c r="A28" s="2948" t="s">
        <v>3125</v>
      </c>
      <c r="B28" s="2955" t="s">
        <v>3089</v>
      </c>
      <c r="C28" s="2948" t="s">
        <v>3129</v>
      </c>
      <c r="D28" s="2955" t="s">
        <v>3056</v>
      </c>
      <c r="E28" s="2955" t="s">
        <v>3127</v>
      </c>
      <c r="F28" s="2955" t="s">
        <v>3130</v>
      </c>
      <c r="G28" s="2955" t="s">
        <v>3131</v>
      </c>
    </row>
    <row r="29" spans="1:12">
      <c r="B29" s="2956">
        <v>23730.991000000002</v>
      </c>
      <c r="C29">
        <v>82887</v>
      </c>
      <c r="D29" s="2955" t="s">
        <v>3126</v>
      </c>
      <c r="E29" s="2955" t="s">
        <v>3128</v>
      </c>
      <c r="F29" s="2957">
        <v>42076</v>
      </c>
      <c r="G29" s="2955">
        <v>12905.101000000001</v>
      </c>
      <c r="H29" s="2955"/>
      <c r="I29" s="2955"/>
    </row>
    <row r="30" spans="1:12">
      <c r="B30" t="s">
        <v>3057</v>
      </c>
      <c r="C30" s="2948">
        <v>24866.1</v>
      </c>
    </row>
    <row r="31" spans="1:12">
      <c r="B31" s="2948" t="s">
        <v>3059</v>
      </c>
      <c r="C31">
        <v>58020.9</v>
      </c>
    </row>
    <row r="34" spans="1:1">
      <c r="A34" s="2948" t="s">
        <v>3132</v>
      </c>
    </row>
    <row r="35" spans="1:1">
      <c r="A35" s="2948" t="s">
        <v>3133</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111776.38999999998</v>
      </c>
      <c r="C1" s="1741"/>
      <c r="D1" s="1741"/>
      <c r="E1" s="1741"/>
      <c r="F1" s="1741"/>
      <c r="G1" s="1739"/>
    </row>
    <row r="2" spans="1:10" ht="16.2">
      <c r="A2" s="1742" t="s">
        <v>1349</v>
      </c>
      <c r="B2" s="1742">
        <f>SUM(C14:C23)</f>
        <v>20087.55</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216020</v>
      </c>
      <c r="C5" s="1742">
        <f ca="1">ROUND(B5*10000/$B$1,0)</f>
        <v>19326</v>
      </c>
      <c r="D5" s="1742">
        <f ca="1">ROUND(B5*10000/$B$2,0)</f>
        <v>107539</v>
      </c>
      <c r="E5" s="1741"/>
      <c r="F5" s="1739"/>
      <c r="G5" s="1739"/>
    </row>
    <row r="6" spans="1:10" ht="15.6">
      <c r="A6" s="1742" t="s">
        <v>1352</v>
      </c>
      <c r="B6" s="1742">
        <f ca="1">SUM(G14:G23)</f>
        <v>216020</v>
      </c>
      <c r="C6" s="1742">
        <f ca="1">ROUND(B6*10000/$B$1,0)</f>
        <v>19326</v>
      </c>
      <c r="D6" s="1742">
        <f ca="1">ROUND(B6*10000/$B$2,0)</f>
        <v>107539</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111776.38999999998</v>
      </c>
      <c r="C14" s="1740">
        <f>结果表!C118</f>
        <v>20087.55</v>
      </c>
      <c r="D14" s="1740">
        <f ca="1">结果表!H118</f>
        <v>216020</v>
      </c>
      <c r="E14" s="1740">
        <f ca="1">ROUND(D14*10000/B14,0)</f>
        <v>19326</v>
      </c>
      <c r="F14" s="1740">
        <f ca="1">ROUND(D14*10000/C14,0)</f>
        <v>107539</v>
      </c>
      <c r="G14" s="1740">
        <f ca="1">结果表!D122</f>
        <v>216020</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44" t="str">
        <f>项目基本情况!S2</f>
        <v>北京市昌平区北七家镇（未来科技城南区）CP07-0600-0022、0039、0040地块F2公建混合住宅用地（配建人才公共租赁住房）项目出让国有建设用地使用权及在建建筑物房地产</v>
      </c>
      <c r="B2" s="3145"/>
      <c r="C2" s="3145"/>
      <c r="D2" s="3145"/>
      <c r="E2" s="3145"/>
      <c r="F2" s="3145"/>
      <c r="G2" s="3145"/>
      <c r="H2" s="3145"/>
      <c r="I2" s="3146"/>
    </row>
    <row r="3" spans="1:12" ht="13.2">
      <c r="A3" s="3147" t="s">
        <v>2120</v>
      </c>
      <c r="B3" s="3148"/>
      <c r="C3" s="3148"/>
      <c r="D3" s="3148"/>
      <c r="E3" s="3148"/>
      <c r="F3" s="3148"/>
      <c r="G3" s="3148"/>
      <c r="H3" s="3148"/>
      <c r="I3" s="3148"/>
    </row>
    <row r="4" spans="1:12" ht="14.4">
      <c r="A4" s="2424" t="s">
        <v>2121</v>
      </c>
      <c r="B4" s="2425" t="s">
        <v>2122</v>
      </c>
      <c r="C4" s="2426" t="s">
        <v>3651</v>
      </c>
      <c r="D4" s="2426" t="s">
        <v>3655</v>
      </c>
      <c r="E4" s="3128" t="s">
        <v>2123</v>
      </c>
      <c r="F4" s="3141"/>
      <c r="G4" s="3141"/>
      <c r="H4" s="3141"/>
      <c r="I4" s="312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19" t="s">
        <v>2124</v>
      </c>
      <c r="B5" s="3045">
        <v>25</v>
      </c>
      <c r="C5" s="3149"/>
      <c r="D5" s="3137"/>
      <c r="E5" s="140" t="s">
        <v>2125</v>
      </c>
      <c r="F5" s="2428"/>
      <c r="G5" s="2428"/>
      <c r="H5" s="2428"/>
      <c r="I5" s="1830"/>
    </row>
    <row r="6" spans="1:12" ht="13.2">
      <c r="A6" s="3119"/>
      <c r="B6" s="3045"/>
      <c r="C6" s="3151"/>
      <c r="D6" s="3137"/>
      <c r="E6" s="140" t="s">
        <v>2126</v>
      </c>
      <c r="F6" s="2428"/>
      <c r="G6" s="2428"/>
      <c r="H6" s="2428"/>
      <c r="I6" s="1830"/>
    </row>
    <row r="7" spans="1:12" ht="13.2">
      <c r="A7" s="3119"/>
      <c r="B7" s="3045"/>
      <c r="C7" s="3150"/>
      <c r="D7" s="3137"/>
      <c r="E7" s="140" t="s">
        <v>2127</v>
      </c>
      <c r="F7" s="2428"/>
      <c r="G7" s="2428"/>
      <c r="H7" s="2428"/>
      <c r="I7" s="1830"/>
    </row>
    <row r="8" spans="1:12" ht="13.2">
      <c r="A8" s="3119" t="s">
        <v>2128</v>
      </c>
      <c r="B8" s="3045">
        <v>15</v>
      </c>
      <c r="C8" s="3149"/>
      <c r="D8" s="3137"/>
      <c r="E8" s="140" t="s">
        <v>2129</v>
      </c>
      <c r="F8" s="2428"/>
      <c r="G8" s="2428"/>
      <c r="H8" s="2428"/>
      <c r="I8" s="1830"/>
    </row>
    <row r="9" spans="1:12" ht="13.2">
      <c r="A9" s="3119"/>
      <c r="B9" s="3045"/>
      <c r="C9" s="3150"/>
      <c r="D9" s="3137"/>
      <c r="E9" s="140" t="s">
        <v>2130</v>
      </c>
      <c r="F9" s="2428"/>
      <c r="G9" s="2428"/>
      <c r="H9" s="2428"/>
      <c r="I9" s="1830"/>
    </row>
    <row r="10" spans="1:12" ht="13.2">
      <c r="A10" s="3119" t="s">
        <v>2131</v>
      </c>
      <c r="B10" s="3045">
        <v>15</v>
      </c>
      <c r="C10" s="3149"/>
      <c r="D10" s="3137"/>
      <c r="E10" s="140" t="s">
        <v>2132</v>
      </c>
      <c r="F10" s="2428"/>
      <c r="G10" s="2428"/>
      <c r="H10" s="2428"/>
      <c r="I10" s="1830"/>
    </row>
    <row r="11" spans="1:12" ht="13.2">
      <c r="A11" s="3119"/>
      <c r="B11" s="3045"/>
      <c r="C11" s="3150"/>
      <c r="D11" s="3137"/>
      <c r="E11" s="140" t="s">
        <v>2133</v>
      </c>
      <c r="F11" s="2428"/>
      <c r="G11" s="2428"/>
      <c r="H11" s="2428"/>
      <c r="I11" s="1830"/>
    </row>
    <row r="12" spans="1:12" ht="13.2">
      <c r="A12" s="3119" t="s">
        <v>2134</v>
      </c>
      <c r="B12" s="3045">
        <v>15</v>
      </c>
      <c r="C12" s="3149"/>
      <c r="D12" s="3137"/>
      <c r="E12" s="140" t="s">
        <v>2135</v>
      </c>
      <c r="F12" s="2428"/>
      <c r="G12" s="2428"/>
      <c r="H12" s="2428"/>
      <c r="I12" s="1830"/>
    </row>
    <row r="13" spans="1:12" ht="13.2">
      <c r="A13" s="3119"/>
      <c r="B13" s="3045"/>
      <c r="C13" s="3150"/>
      <c r="D13" s="3137"/>
      <c r="E13" s="140" t="s">
        <v>2136</v>
      </c>
      <c r="F13" s="2428"/>
      <c r="G13" s="2428"/>
      <c r="H13" s="2428"/>
      <c r="I13" s="1830"/>
    </row>
    <row r="14" spans="1:12" ht="13.2">
      <c r="A14" s="3119" t="s">
        <v>2137</v>
      </c>
      <c r="B14" s="3045">
        <v>30</v>
      </c>
      <c r="C14" s="3149">
        <v>5</v>
      </c>
      <c r="D14" s="3137">
        <v>5</v>
      </c>
      <c r="E14" s="140" t="s">
        <v>2138</v>
      </c>
      <c r="F14" s="2428"/>
      <c r="G14" s="2428"/>
      <c r="H14" s="2428"/>
      <c r="I14" s="1830"/>
    </row>
    <row r="15" spans="1:12" ht="13.2">
      <c r="A15" s="3119"/>
      <c r="B15" s="3045"/>
      <c r="C15" s="3151"/>
      <c r="D15" s="3137"/>
      <c r="E15" s="140" t="s">
        <v>2139</v>
      </c>
      <c r="F15" s="2428"/>
      <c r="G15" s="2428"/>
      <c r="H15" s="2428"/>
      <c r="I15" s="1830"/>
    </row>
    <row r="16" spans="1:12" ht="13.2">
      <c r="A16" s="3119"/>
      <c r="B16" s="3045"/>
      <c r="C16" s="3150"/>
      <c r="D16" s="3137"/>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111776.38999999998</v>
      </c>
      <c r="M18" s="2427">
        <f>IF(C1="",'数据-汇总表'!E3,SUMIF(项目类型,C1,'数据-汇总表'!E17:E26))</f>
        <v>111776.38999999998</v>
      </c>
    </row>
    <row r="19" spans="1:35" ht="14.4">
      <c r="A19" s="2433" t="s">
        <v>2146</v>
      </c>
      <c r="B19" s="2434" t="s">
        <v>2147</v>
      </c>
      <c r="C19" s="143">
        <f ca="1">SUMIF(INDIRECT("'"&amp;C4&amp;"'"&amp;"!A:A"),结果表!B19,INDIRECT("'"&amp;C4&amp;"'"&amp;"!B:B"))</f>
        <v>226503</v>
      </c>
      <c r="D19" s="144">
        <f ca="1">SUMIF(INDIRECT("'"&amp;D4&amp;"'"&amp;"!A:A"),结果表!B19,INDIRECT("'"&amp;D4&amp;"'"&amp;"!B:B"))</f>
        <v>205537</v>
      </c>
      <c r="E19" s="2433" t="s">
        <v>2148</v>
      </c>
      <c r="F19" s="2434" t="s">
        <v>2147</v>
      </c>
      <c r="G19" s="145">
        <f ca="1">ROUND(C19*$C$18+D19*$D$18,0)</f>
        <v>216020</v>
      </c>
      <c r="H19" s="2435" t="s">
        <v>2149</v>
      </c>
      <c r="I19" s="138"/>
      <c r="J19" s="3324" t="s">
        <v>3656</v>
      </c>
      <c r="K19" s="2427" t="s">
        <v>2150</v>
      </c>
      <c r="L19" s="2427">
        <f>IF(C1="",'数据-汇总表'!D3,SUMIF(项目类型,C1,'数据-汇总表'!D17:D26)+SUMIF(项目类型,C1,'数据-汇总表'!H17:H27))</f>
        <v>20087.55</v>
      </c>
      <c r="M19" s="2427">
        <f>IF(C1="",'数据-汇总表'!D3,SUMIF(项目类型,C1,'数据-汇总表'!D17:D26))</f>
        <v>20087.55</v>
      </c>
    </row>
    <row r="20" spans="1:35" ht="14.4">
      <c r="A20" s="2436"/>
      <c r="B20" s="1247" t="s">
        <v>2151</v>
      </c>
      <c r="C20" s="146">
        <f ca="1">SUMIF(INDIRECT("'"&amp;C4&amp;"'"&amp;"!A:A"),结果表!B20,INDIRECT("'"&amp;C4&amp;"'"&amp;"!B:B"))</f>
        <v>20264</v>
      </c>
      <c r="D20" s="147">
        <f ca="1">SUMIF(INDIRECT("'"&amp;D4&amp;"'"&amp;"!A:A"),结果表!B20,INDIRECT("'"&amp;D4&amp;"'"&amp;"!B:B"))</f>
        <v>18388</v>
      </c>
      <c r="E20" s="2436"/>
      <c r="F20" s="1247" t="s">
        <v>2151</v>
      </c>
      <c r="G20" s="148">
        <f ca="1">ROUND(C20*$C$18+D20*$D$18,0)</f>
        <v>19326</v>
      </c>
      <c r="H20" s="980" t="s">
        <v>2152</v>
      </c>
      <c r="I20" s="138"/>
      <c r="J20" s="795">
        <f ca="1">G19/'数据-汇总表'!F31</f>
        <v>2.7000134113248326</v>
      </c>
    </row>
    <row r="21" spans="1:35" ht="15" customHeight="1" thickBot="1">
      <c r="A21" s="1000"/>
      <c r="B21" s="2437" t="s">
        <v>2153</v>
      </c>
      <c r="C21" s="789">
        <f ca="1">ROUND(C19*10000/L19,0)</f>
        <v>112758</v>
      </c>
      <c r="D21" s="790">
        <f ca="1">ROUND(D19*10000/L19,0)</f>
        <v>102321</v>
      </c>
      <c r="E21" s="1000"/>
      <c r="F21" s="2437" t="s">
        <v>2153</v>
      </c>
      <c r="G21" s="149">
        <f ca="1">ROUND(G19*10000/L19,0)</f>
        <v>107539</v>
      </c>
      <c r="H21" s="2438" t="s">
        <v>2152</v>
      </c>
      <c r="I21" s="138"/>
    </row>
    <row r="22" spans="1:35" ht="15" thickBot="1">
      <c r="A22" s="2279" t="s">
        <v>2154</v>
      </c>
      <c r="B22" s="2439"/>
      <c r="C22" s="2440"/>
      <c r="D22" s="791">
        <f ca="1">IF(C19&lt;D19,D19/C19-1,C19/D19-1)</f>
        <v>0.10200596486277402</v>
      </c>
      <c r="E22" s="138"/>
      <c r="F22" s="138"/>
      <c r="G22" s="138"/>
      <c r="H22" s="138"/>
      <c r="I22" s="138"/>
    </row>
    <row r="23" spans="1:35" ht="13.8" thickBot="1">
      <c r="A23" s="2417"/>
      <c r="B23" s="2417"/>
      <c r="C23" s="2417"/>
      <c r="D23" s="2417"/>
      <c r="E23" s="138"/>
      <c r="F23" s="138"/>
      <c r="G23" s="138"/>
      <c r="H23" s="138"/>
      <c r="I23" s="138"/>
    </row>
    <row r="24" spans="1:35" ht="14.4">
      <c r="A24" s="3158" t="s">
        <v>2155</v>
      </c>
      <c r="B24" s="2434" t="s">
        <v>2147</v>
      </c>
      <c r="C24" s="145">
        <f>IF(B30=0,0,D30)</f>
        <v>0</v>
      </c>
      <c r="D24" s="2441"/>
      <c r="E24" s="138"/>
      <c r="F24" s="138"/>
      <c r="G24" s="138"/>
      <c r="H24" s="138"/>
      <c r="I24" s="138"/>
    </row>
    <row r="25" spans="1:35" ht="14.4">
      <c r="A25" s="3159"/>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216020</v>
      </c>
      <c r="D32" s="2448" t="s">
        <v>2162</v>
      </c>
      <c r="E32" s="138"/>
      <c r="F32" s="138"/>
      <c r="G32" s="138"/>
      <c r="H32" s="138"/>
      <c r="I32" s="138"/>
    </row>
    <row r="33" spans="1:15" ht="14.4">
      <c r="A33" s="957" t="s">
        <v>2163</v>
      </c>
      <c r="B33" s="2449"/>
      <c r="C33" s="2450" t="s">
        <v>3650</v>
      </c>
      <c r="D33" s="2451" t="s">
        <v>3651</v>
      </c>
      <c r="E33" s="2452" t="s">
        <v>2164</v>
      </c>
      <c r="F33" s="2453" t="str">
        <f>IF(D32="楼面单价","取值（单价）","取值（总价）")</f>
        <v>取值（总价）</v>
      </c>
      <c r="G33" s="138"/>
      <c r="H33" s="138"/>
      <c r="I33" s="138"/>
    </row>
    <row r="34" spans="1:15" ht="14.4">
      <c r="A34" s="2454"/>
      <c r="B34" s="2455" t="s">
        <v>2165</v>
      </c>
      <c r="C34" s="157">
        <f ca="1">IF(C33="自定义",F34,C32-C35)</f>
        <v>176920</v>
      </c>
      <c r="D34" s="1055">
        <f ca="1">IF(C33="自定义",ROUND(C34/C32,3),IF(C33="收益比率",SUMIF(INDIRECT("'"&amp;D33&amp;"'"&amp;"!b:b"),"土地收益比率",INDIRECT("'"&amp;D33&amp;"'"&amp;"!c:c")),SUMIF(INDIRECT("'"&amp;D33&amp;"'"&amp;"!b:b"),"土地成本比率",INDIRECT("'"&amp;D33&amp;"'"&amp;"!c:c"))))</f>
        <v>0.81899999999999995</v>
      </c>
      <c r="E34" s="2456" t="s">
        <v>2166</v>
      </c>
      <c r="F34" s="1735"/>
      <c r="G34" s="138"/>
      <c r="H34" s="138"/>
      <c r="I34" s="138"/>
    </row>
    <row r="35" spans="1:15" ht="15" thickBot="1">
      <c r="A35" s="2457"/>
      <c r="B35" s="2458" t="s">
        <v>2167</v>
      </c>
      <c r="C35" s="1441">
        <f ca="1">IF(C33="自定义",F35,ROUND(C32*D35,0))</f>
        <v>39100</v>
      </c>
      <c r="D35" s="1442">
        <f ca="1">IF(C33="自定义",ROUND(C35/C32,3),IF(C33="收益比率",SUMIF(INDIRECT("'"&amp;D33&amp;"'"&amp;"!b:b"),"建筑物收益比率",INDIRECT("'"&amp;D33&amp;"'"&amp;"!c:c")),SUMIF(INDIRECT("'"&amp;D33&amp;"'"&amp;"!b:b"),"建筑物成本比率",INDIRECT("'"&amp;D33&amp;"'"&amp;"!c:c"))))</f>
        <v>0.18099999999999999</v>
      </c>
      <c r="E35" s="2459" t="s">
        <v>2168</v>
      </c>
      <c r="F35" s="163"/>
      <c r="G35" s="138"/>
      <c r="H35" s="138"/>
      <c r="I35" s="138"/>
    </row>
    <row r="36" spans="1:15" ht="15" thickBot="1">
      <c r="A36" s="3138" t="s">
        <v>2169</v>
      </c>
      <c r="B36" s="2460" t="s">
        <v>2170</v>
      </c>
      <c r="C36" s="154"/>
      <c r="D36" s="2461"/>
      <c r="E36" s="2462"/>
      <c r="F36" s="2463"/>
      <c r="G36" s="138"/>
      <c r="H36" s="138"/>
      <c r="I36" s="138"/>
    </row>
    <row r="37" spans="1:15" ht="15" thickBot="1">
      <c r="A37" s="3139"/>
      <c r="B37" s="2265" t="s">
        <v>2171</v>
      </c>
      <c r="C37" s="156"/>
      <c r="D37" s="1392"/>
      <c r="E37" s="1392"/>
      <c r="F37" s="2463"/>
      <c r="G37" s="138"/>
      <c r="H37" s="138"/>
      <c r="I37" s="138"/>
    </row>
    <row r="38" spans="1:15" ht="15" thickBot="1">
      <c r="A38" s="3140"/>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55" t="s">
        <v>2183</v>
      </c>
      <c r="B45" s="3156"/>
      <c r="C45" s="3157"/>
      <c r="D45" s="164">
        <f ca="1">ROUND(H101*F45,0)</f>
        <v>216020</v>
      </c>
      <c r="E45" s="165" t="s">
        <v>2184</v>
      </c>
      <c r="F45" s="166">
        <v>1</v>
      </c>
      <c r="G45" s="167" t="s">
        <v>2185</v>
      </c>
      <c r="H45" s="138"/>
      <c r="I45" s="138"/>
      <c r="J45" s="3074" t="s">
        <v>2186</v>
      </c>
      <c r="K45" s="3074"/>
      <c r="L45" s="3074"/>
      <c r="M45" s="3074"/>
      <c r="N45" s="3074"/>
      <c r="O45" s="3074"/>
    </row>
    <row r="46" spans="1:15" ht="14.25" customHeight="1">
      <c r="A46" s="3152" t="s">
        <v>2187</v>
      </c>
      <c r="B46" s="3153"/>
      <c r="C46" s="3153"/>
      <c r="D46" s="3153"/>
      <c r="E46" s="3153"/>
      <c r="F46" s="3153"/>
      <c r="G46" s="3154"/>
      <c r="H46" s="2479"/>
      <c r="I46" s="168"/>
      <c r="J46" s="1808">
        <v>1</v>
      </c>
      <c r="K46" s="3074" t="s">
        <v>2188</v>
      </c>
      <c r="L46" s="3074"/>
      <c r="M46" s="3075"/>
      <c r="N46" s="3075"/>
      <c r="O46" s="3075"/>
    </row>
    <row r="47" spans="1:15" ht="12" customHeight="1">
      <c r="A47" s="169" t="s">
        <v>2189</v>
      </c>
      <c r="B47" s="170"/>
      <c r="C47" s="171"/>
      <c r="D47" s="172" t="s">
        <v>2190</v>
      </c>
      <c r="E47" s="24" t="s">
        <v>2191</v>
      </c>
      <c r="F47" s="173" t="s">
        <v>2192</v>
      </c>
      <c r="G47" s="174" t="s">
        <v>2193</v>
      </c>
      <c r="H47" s="2479"/>
      <c r="I47" s="168"/>
      <c r="J47" s="1808">
        <v>2</v>
      </c>
      <c r="K47" s="3074" t="s">
        <v>2194</v>
      </c>
      <c r="L47" s="3074"/>
      <c r="M47" s="3076">
        <f>'数据-取费表'!B2</f>
        <v>43627</v>
      </c>
      <c r="N47" s="3076"/>
      <c r="O47" s="3076"/>
    </row>
    <row r="48" spans="1:15" ht="26.4">
      <c r="A48" s="3142" t="s">
        <v>2195</v>
      </c>
      <c r="B48" s="3143"/>
      <c r="C48" s="3143"/>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074" t="s">
        <v>2198</v>
      </c>
      <c r="L48" s="3074"/>
      <c r="M48" s="3077">
        <f ca="1">H101</f>
        <v>216020</v>
      </c>
      <c r="N48" s="3077"/>
      <c r="O48" s="3077"/>
    </row>
    <row r="49" spans="1:35" ht="25.5" customHeight="1">
      <c r="A49" s="176" t="s">
        <v>2199</v>
      </c>
      <c r="B49" s="3122" t="s">
        <v>2200</v>
      </c>
      <c r="C49" s="3122"/>
      <c r="D49" s="177">
        <v>0</v>
      </c>
      <c r="E49" s="23" t="s">
        <v>2201</v>
      </c>
      <c r="F49" s="28" t="s">
        <v>34</v>
      </c>
      <c r="G49" s="3103"/>
      <c r="H49" s="138"/>
      <c r="I49" s="2482"/>
      <c r="J49" s="1808">
        <v>4</v>
      </c>
      <c r="K49" s="3074" t="str">
        <f>IF(项目基本情况!E8="房地产抵押价值","房地产抵押价值","抵押担保权已注销时的房地产抵押价值")</f>
        <v>抵押担保权已注销时的房地产抵押价值</v>
      </c>
      <c r="L49" s="3074"/>
      <c r="M49" s="3077" t="str">
        <f>IF(项目基本情况!E8="房地产抵押价值",H107,H109)</f>
        <v>——</v>
      </c>
      <c r="N49" s="3077"/>
      <c r="O49" s="3077"/>
    </row>
    <row r="50" spans="1:35" ht="25.5" customHeight="1">
      <c r="A50" s="178"/>
      <c r="B50" s="3122" t="s">
        <v>2202</v>
      </c>
      <c r="C50" s="3122"/>
      <c r="D50" s="179"/>
      <c r="E50" s="31"/>
      <c r="F50" s="180"/>
      <c r="G50" s="3104"/>
      <c r="H50" s="138"/>
      <c r="I50" s="2482"/>
      <c r="J50" s="3074" t="s">
        <v>2203</v>
      </c>
      <c r="K50" s="3074"/>
      <c r="L50" s="3074"/>
      <c r="M50" s="3074"/>
      <c r="N50" s="3074"/>
      <c r="O50" s="3074"/>
    </row>
    <row r="51" spans="1:35" ht="12" customHeight="1">
      <c r="A51" s="181"/>
      <c r="B51" s="3122" t="s">
        <v>2204</v>
      </c>
      <c r="C51" s="3122"/>
      <c r="D51" s="182"/>
      <c r="E51" s="30"/>
      <c r="F51" s="180"/>
      <c r="G51" s="3105"/>
      <c r="H51" s="138"/>
      <c r="I51" s="2482"/>
      <c r="J51" s="2483" t="s">
        <v>2205</v>
      </c>
      <c r="K51" s="3074" t="s">
        <v>2206</v>
      </c>
      <c r="L51" s="3074"/>
      <c r="M51" s="2483" t="s">
        <v>2207</v>
      </c>
      <c r="N51" s="2483" t="s">
        <v>2208</v>
      </c>
      <c r="O51" s="2483" t="s">
        <v>2209</v>
      </c>
    </row>
    <row r="52" spans="1:35" ht="24" customHeight="1">
      <c r="A52" s="183" t="s">
        <v>2210</v>
      </c>
      <c r="B52" s="3122" t="s">
        <v>2211</v>
      </c>
      <c r="C52" s="3122"/>
      <c r="D52" s="182">
        <f ca="1">ROUND(D45*'数据-取费表'!B41/(1+'数据-取费表'!C42),0)</f>
        <v>11315</v>
      </c>
      <c r="E52" s="11" t="s">
        <v>2212</v>
      </c>
      <c r="F52" s="184">
        <f>'数据-取费表'!B41</f>
        <v>5.5000000000000007E-2</v>
      </c>
      <c r="G52" s="2484"/>
      <c r="H52" s="138"/>
      <c r="I52" s="2482"/>
      <c r="J52" s="1808">
        <v>1</v>
      </c>
      <c r="K52" s="3097" t="s">
        <v>2213</v>
      </c>
      <c r="L52" s="3097"/>
      <c r="M52" s="1750">
        <f>D48</f>
        <v>0</v>
      </c>
      <c r="N52" s="1808" t="str">
        <f>E48</f>
        <v>销售额×税（费）率</v>
      </c>
      <c r="O52" s="1751" t="str">
        <f>F48</f>
        <v>免征</v>
      </c>
    </row>
    <row r="53" spans="1:35" ht="12" customHeight="1">
      <c r="A53" s="183" t="s">
        <v>2214</v>
      </c>
      <c r="B53" s="3123" t="s">
        <v>2215</v>
      </c>
      <c r="C53" s="3124"/>
      <c r="D53" s="182">
        <f ca="1">ROUND(D45*'数据-取费表'!B41/(1+'数据-取费表'!C42),0)</f>
        <v>11315</v>
      </c>
      <c r="E53" s="11" t="s">
        <v>2212</v>
      </c>
      <c r="F53" s="184">
        <f>'数据-取费表'!B41</f>
        <v>5.5000000000000007E-2</v>
      </c>
      <c r="G53" s="2484"/>
      <c r="H53" s="138"/>
      <c r="I53" s="2482"/>
      <c r="J53" s="1808">
        <v>2</v>
      </c>
      <c r="K53" s="3097" t="s">
        <v>2216</v>
      </c>
      <c r="L53" s="3097"/>
      <c r="M53" s="1750">
        <f t="shared" ref="M53:O54" ca="1" si="0">D55</f>
        <v>108</v>
      </c>
      <c r="N53" s="1808" t="str">
        <f t="shared" si="0"/>
        <v>销售额×税（费）率</v>
      </c>
      <c r="O53" s="1751">
        <f t="shared" si="0"/>
        <v>5.0000000000000001E-4</v>
      </c>
    </row>
    <row r="54" spans="1:35" ht="12" customHeight="1">
      <c r="A54" s="183" t="s">
        <v>2217</v>
      </c>
      <c r="B54" s="3123" t="s">
        <v>2218</v>
      </c>
      <c r="C54" s="3124"/>
      <c r="D54" s="182">
        <f ca="1">C68</f>
        <v>11315</v>
      </c>
      <c r="E54" s="30" t="s">
        <v>2219</v>
      </c>
      <c r="F54" s="184">
        <f>'数据-取费表'!B41</f>
        <v>5.5000000000000007E-2</v>
      </c>
      <c r="G54" s="2484"/>
      <c r="H54" s="2485"/>
      <c r="I54" s="2482"/>
      <c r="J54" s="1808">
        <v>3</v>
      </c>
      <c r="K54" s="3097" t="s">
        <v>2220</v>
      </c>
      <c r="L54" s="3097"/>
      <c r="M54" s="1750">
        <f t="shared" ca="1" si="0"/>
        <v>122462</v>
      </c>
      <c r="N54" s="1808" t="str">
        <f t="shared" si="0"/>
        <v>增值额×税（费）率</v>
      </c>
      <c r="O54" s="1752" t="str">
        <f t="shared" si="0"/>
        <v>——</v>
      </c>
    </row>
    <row r="55" spans="1:35" ht="24" customHeight="1">
      <c r="A55" s="3161" t="s">
        <v>2221</v>
      </c>
      <c r="B55" s="3143"/>
      <c r="C55" s="3143"/>
      <c r="D55" s="185">
        <f ca="1">IF(H55="个人住宅",0,ROUND(D45*I55,0))</f>
        <v>108</v>
      </c>
      <c r="E55" s="11" t="s">
        <v>2222</v>
      </c>
      <c r="F55" s="184">
        <f>IF(H55="正常",I55,"免征")</f>
        <v>5.0000000000000001E-4</v>
      </c>
      <c r="G55" s="2484"/>
      <c r="H55" s="2481" t="s">
        <v>2223</v>
      </c>
      <c r="I55" s="186">
        <f>'数据-取费表'!B49</f>
        <v>5.0000000000000001E-4</v>
      </c>
      <c r="J55" s="1808" t="str">
        <f>IF(H59="非个人房产","",4)</f>
        <v/>
      </c>
      <c r="K55" s="3097" t="str">
        <f>IF(H59="非个人房产","——","个人所得税")</f>
        <v>——</v>
      </c>
      <c r="L55" s="3097"/>
      <c r="M55" s="1753" t="str">
        <f>D59</f>
        <v>——</v>
      </c>
      <c r="N55" s="1806" t="str">
        <f>E59</f>
        <v>——</v>
      </c>
      <c r="O55" s="1754" t="str">
        <f>F59</f>
        <v>——</v>
      </c>
    </row>
    <row r="56" spans="1:35" ht="25.2">
      <c r="A56" s="3161" t="s">
        <v>2224</v>
      </c>
      <c r="B56" s="3143"/>
      <c r="C56" s="3143"/>
      <c r="D56" s="185">
        <f ca="1">IF(H56="个人住宅",D57,D58)</f>
        <v>122462</v>
      </c>
      <c r="E56" s="11" t="s">
        <v>2225</v>
      </c>
      <c r="F56" s="184" t="str">
        <f>IF(H56="正常",F58,"免征")</f>
        <v>——</v>
      </c>
      <c r="G56" s="2486" t="s">
        <v>2226</v>
      </c>
      <c r="H56" s="2487" t="s">
        <v>2223</v>
      </c>
      <c r="I56" s="2488"/>
      <c r="J56" s="1808" t="str">
        <f>IF(项目基本情况!K6="上海银行",IF(J55="",4,J55+1),"")</f>
        <v/>
      </c>
      <c r="K56" s="3080" t="str">
        <f>IF(项目基本情况!K6="上海银行","其他处置费用","")</f>
        <v/>
      </c>
      <c r="L56" s="3081"/>
      <c r="M56" s="1750" t="str">
        <f>IF(项目基本情况!K6="上海银行",M69,"")</f>
        <v/>
      </c>
      <c r="N56" s="3083" t="str">
        <f>IF(项目基本情况!K6="上海银行","包含处置中涉及的律师、诉讼、拍卖、评估等费用","")</f>
        <v/>
      </c>
      <c r="O56" s="3084"/>
    </row>
    <row r="57" spans="1:35" ht="13.2">
      <c r="A57" s="183" t="s">
        <v>2199</v>
      </c>
      <c r="B57" s="3128" t="s">
        <v>2227</v>
      </c>
      <c r="C57" s="3129"/>
      <c r="D57" s="187">
        <v>0</v>
      </c>
      <c r="E57" s="23" t="s">
        <v>2201</v>
      </c>
      <c r="F57" s="155"/>
      <c r="G57" s="2484"/>
      <c r="H57" s="2488"/>
      <c r="I57" s="2488"/>
      <c r="J57" s="3097">
        <f>IF(AND(J55="",J56=""),4,IF(项目基本情况!K6="上海银行",结果表!J56+1,结果表!J55+1))</f>
        <v>4</v>
      </c>
      <c r="K57" s="3097" t="s">
        <v>2228</v>
      </c>
      <c r="L57" s="2489" t="s">
        <v>2229</v>
      </c>
      <c r="M57" s="1755"/>
      <c r="N57" s="1756">
        <f ca="1">SUMIF(M52:M56,"&lt;9e307")</f>
        <v>122570</v>
      </c>
      <c r="O57" s="2490"/>
      <c r="P57" s="1749" t="e">
        <f ca="1">N57/M49</f>
        <v>#VALUE!</v>
      </c>
    </row>
    <row r="58" spans="1:35" ht="25.2">
      <c r="A58" s="183" t="s">
        <v>2210</v>
      </c>
      <c r="B58" s="3128" t="s">
        <v>2230</v>
      </c>
      <c r="C58" s="3141"/>
      <c r="D58" s="185">
        <f ca="1">IF(H58="转让取得",C81,C97)</f>
        <v>122462</v>
      </c>
      <c r="E58" s="11" t="s">
        <v>2225</v>
      </c>
      <c r="F58" s="24" t="s">
        <v>34</v>
      </c>
      <c r="G58" s="2484"/>
      <c r="H58" s="2487" t="s">
        <v>2231</v>
      </c>
      <c r="I58" s="2488"/>
      <c r="J58" s="3097"/>
      <c r="K58" s="3097"/>
      <c r="L58" s="2489" t="s">
        <v>2232</v>
      </c>
      <c r="M58" s="1757"/>
      <c r="N58" s="2491" t="str">
        <f ca="1">NUMBERSTRING(INT(N57*10000),2)&amp;"元整"</f>
        <v>壹拾贰亿贰仟伍佰柒拾万元整</v>
      </c>
      <c r="O58" s="2492"/>
    </row>
    <row r="59" spans="1:35" ht="24.6" thickBot="1">
      <c r="A59" s="3101" t="s">
        <v>2233</v>
      </c>
      <c r="B59" s="3102"/>
      <c r="C59" s="3102"/>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099">
        <f>J57+1</f>
        <v>5</v>
      </c>
      <c r="K59" s="3097" t="s">
        <v>2235</v>
      </c>
      <c r="L59" s="1808" t="s">
        <v>2229</v>
      </c>
      <c r="M59" s="1758"/>
      <c r="N59" s="1759" t="e">
        <f ca="1">M49-N57</f>
        <v>#VALUE!</v>
      </c>
      <c r="O59" s="2494"/>
    </row>
    <row r="60" spans="1:35" ht="12" customHeight="1">
      <c r="A60" s="2495"/>
      <c r="B60" s="2417"/>
      <c r="C60" s="2417"/>
      <c r="D60" s="2417"/>
      <c r="E60" s="2165"/>
      <c r="F60" s="2488"/>
      <c r="G60" s="2488"/>
      <c r="H60" s="2496"/>
      <c r="I60" s="138"/>
      <c r="J60" s="3100"/>
      <c r="K60" s="3097"/>
      <c r="L60" s="2489" t="s">
        <v>2232</v>
      </c>
      <c r="M60" s="1757"/>
      <c r="N60" s="2491" t="e">
        <f ca="1">NUMBERSTRING(INT(N59*10000),2)&amp;"元整"</f>
        <v>#VALUE!</v>
      </c>
      <c r="O60" s="2492"/>
    </row>
    <row r="61" spans="1:35" ht="13.8" thickBot="1">
      <c r="A61" s="3160" t="s">
        <v>2236</v>
      </c>
      <c r="B61" s="3160"/>
      <c r="C61" s="3160"/>
      <c r="D61" s="3160"/>
      <c r="E61" s="3160"/>
      <c r="F61" s="2488"/>
      <c r="G61" s="2488"/>
      <c r="H61" s="2496"/>
      <c r="I61" s="138"/>
      <c r="J61" s="1808">
        <f>J59+1</f>
        <v>6</v>
      </c>
      <c r="K61" s="3097" t="s">
        <v>2237</v>
      </c>
      <c r="L61" s="3097"/>
      <c r="M61" s="1760"/>
      <c r="N61" s="1761" t="e">
        <f ca="1">ROUND(N59*10000/'数据-汇总表'!E3,0)</f>
        <v>#VALUE!</v>
      </c>
      <c r="O61" s="2497"/>
    </row>
    <row r="62" spans="1:35" ht="13.2">
      <c r="A62" s="3117" t="s">
        <v>2238</v>
      </c>
      <c r="B62" s="3118"/>
      <c r="C62" s="1800"/>
      <c r="D62" s="1800" t="s">
        <v>2239</v>
      </c>
      <c r="E62" s="192" t="s">
        <v>2240</v>
      </c>
      <c r="F62" s="2488"/>
      <c r="G62" s="2488"/>
      <c r="H62" s="2496"/>
      <c r="I62" s="138"/>
    </row>
    <row r="63" spans="1:35" ht="13.2">
      <c r="A63" s="203" t="s">
        <v>775</v>
      </c>
      <c r="B63" s="193" t="s">
        <v>2241</v>
      </c>
      <c r="C63" s="194">
        <f ca="1">ROUND((C64+C65)/(1+'数据-取费表'!C42),0)</f>
        <v>205733</v>
      </c>
      <c r="D63" s="195"/>
      <c r="E63" s="196"/>
      <c r="F63" s="2488"/>
      <c r="G63" s="2488"/>
      <c r="H63" s="2496"/>
      <c r="I63" s="138"/>
      <c r="J63" s="3082" t="s">
        <v>2242</v>
      </c>
      <c r="K63" s="2498" t="s">
        <v>2243</v>
      </c>
      <c r="L63" s="1748"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216020</v>
      </c>
      <c r="D64" s="200" t="s">
        <v>32</v>
      </c>
      <c r="E64" s="201"/>
      <c r="F64" s="2488"/>
      <c r="G64" s="2488"/>
      <c r="H64" s="2496"/>
      <c r="I64" s="138"/>
      <c r="J64" s="3082"/>
      <c r="K64" s="2498"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082"/>
      <c r="K65" s="2498" t="s">
        <v>2248</v>
      </c>
      <c r="L65" s="1748"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2" t="s">
        <v>1367</v>
      </c>
      <c r="F66" s="2488"/>
      <c r="G66" s="2488"/>
      <c r="H66" s="2496"/>
      <c r="I66" s="138"/>
      <c r="J66" s="3082"/>
      <c r="K66" s="2498" t="s">
        <v>2250</v>
      </c>
      <c r="L66" s="1748" t="e">
        <f>M49*0.5%</f>
        <v>#VALUE!</v>
      </c>
      <c r="M66" s="24" t="e">
        <f>IF(L66&gt;0.5,0.5,ROUND(L66,0))</f>
        <v>#VALUE!</v>
      </c>
      <c r="N66" s="138" t="s">
        <v>2251</v>
      </c>
      <c r="Z66" s="2422"/>
      <c r="AI66" s="2423"/>
    </row>
    <row r="67" spans="1:35" ht="14.25" customHeight="1">
      <c r="A67" s="203" t="s">
        <v>773</v>
      </c>
      <c r="B67" s="204" t="s">
        <v>2252</v>
      </c>
      <c r="C67" s="207">
        <f ca="1">C63-C66</f>
        <v>205733</v>
      </c>
      <c r="D67" s="200" t="s">
        <v>32</v>
      </c>
      <c r="E67" s="201"/>
      <c r="F67" s="2488"/>
      <c r="G67" s="2488"/>
      <c r="H67" s="2496"/>
      <c r="I67" s="138"/>
      <c r="J67" s="3082"/>
      <c r="K67" s="2498"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11315</v>
      </c>
      <c r="D68" s="211">
        <f>'数据-取费表'!B41</f>
        <v>5.5000000000000007E-2</v>
      </c>
      <c r="E68" s="212"/>
      <c r="F68" s="2488"/>
      <c r="G68" s="2488"/>
      <c r="H68" s="2496"/>
      <c r="I68" s="138"/>
      <c r="J68" s="3082"/>
      <c r="K68" s="2498" t="s">
        <v>2255</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82"/>
      <c r="K69" s="2498" t="s">
        <v>2256</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6" t="s">
        <v>2257</v>
      </c>
      <c r="B70" s="3127"/>
      <c r="C70" s="3127"/>
      <c r="D70" s="3127"/>
      <c r="E70" s="3127"/>
      <c r="F70" s="3127"/>
      <c r="G70" s="3127"/>
      <c r="H70" s="312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7" t="s">
        <v>2238</v>
      </c>
      <c r="B71" s="3118"/>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205733</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1029</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23" t="s">
        <v>2266</v>
      </c>
      <c r="F76" s="3122"/>
      <c r="G76" s="3122"/>
      <c r="H76" s="312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1029</v>
      </c>
      <c r="D78" s="226">
        <f>'数据-取费表'!B43</f>
        <v>5.000000000000001E-3</v>
      </c>
      <c r="E78" s="3114" t="s">
        <v>2271</v>
      </c>
      <c r="F78" s="3115"/>
      <c r="G78" s="3115"/>
      <c r="H78" s="311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204704</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198.9348882410107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122462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6" t="s">
        <v>2275</v>
      </c>
      <c r="B83" s="3127"/>
      <c r="C83" s="3127"/>
      <c r="D83" s="3127"/>
      <c r="E83" s="3127"/>
      <c r="F83" s="3127"/>
      <c r="G83" s="3127"/>
      <c r="H83" s="312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7" t="s">
        <v>2238</v>
      </c>
      <c r="B84" s="3118"/>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205733</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1029</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4" t="s">
        <v>2284</v>
      </c>
      <c r="F91" s="3115"/>
      <c r="G91" s="3115"/>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4" t="s">
        <v>2288</v>
      </c>
      <c r="F92" s="3115"/>
      <c r="G92" s="3115"/>
      <c r="H92" s="311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1029</v>
      </c>
      <c r="D93" s="226">
        <f>'数据-取费表'!B43</f>
        <v>5.000000000000001E-3</v>
      </c>
      <c r="E93" s="3114" t="s">
        <v>2271</v>
      </c>
      <c r="F93" s="3115"/>
      <c r="G93" s="3115"/>
      <c r="H93" s="311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2" t="s">
        <v>2292</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204704</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198.9348882410107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122462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66" t="s">
        <v>2294</v>
      </c>
      <c r="B100" s="3067"/>
      <c r="C100" s="3067"/>
      <c r="D100" s="3098"/>
      <c r="E100" s="3067" t="s">
        <v>2295</v>
      </c>
      <c r="F100" s="3067"/>
      <c r="G100" s="3067"/>
      <c r="H100" s="3098"/>
      <c r="I100" s="138"/>
    </row>
    <row r="101" spans="1:35" ht="18.75" customHeight="1">
      <c r="A101" s="3106" t="s">
        <v>2296</v>
      </c>
      <c r="B101" s="3107"/>
      <c r="C101" s="736" t="str">
        <f>C4</f>
        <v>成本法</v>
      </c>
      <c r="D101" s="737" t="str">
        <f>D4</f>
        <v>假设开发法</v>
      </c>
      <c r="E101" s="3078" t="s">
        <v>2297</v>
      </c>
      <c r="F101" s="3079"/>
      <c r="G101" s="2519" t="s">
        <v>2298</v>
      </c>
      <c r="H101" s="1045">
        <f ca="1">H118</f>
        <v>216020</v>
      </c>
      <c r="I101" s="138"/>
    </row>
    <row r="102" spans="1:35" ht="18.75" customHeight="1">
      <c r="A102" s="3108" t="s">
        <v>2299</v>
      </c>
      <c r="B102" s="2519" t="s">
        <v>2298</v>
      </c>
      <c r="C102" s="736">
        <f ca="1">C19</f>
        <v>226503</v>
      </c>
      <c r="D102" s="737">
        <f ca="1">D19</f>
        <v>205537</v>
      </c>
      <c r="E102" s="3078"/>
      <c r="F102" s="3079"/>
      <c r="G102" s="2519" t="s">
        <v>2300</v>
      </c>
      <c r="H102" s="371">
        <f ca="1">I118</f>
        <v>19326</v>
      </c>
      <c r="I102" s="138"/>
    </row>
    <row r="103" spans="1:35" ht="42.75" customHeight="1">
      <c r="A103" s="3108"/>
      <c r="B103" s="2519" t="s">
        <v>2300</v>
      </c>
      <c r="C103" s="738">
        <f ca="1">C20</f>
        <v>20264</v>
      </c>
      <c r="D103" s="739">
        <f ca="1">D20</f>
        <v>18388</v>
      </c>
      <c r="E103" s="3072" t="s">
        <v>2301</v>
      </c>
      <c r="F103" s="3073"/>
      <c r="G103" s="2520" t="s">
        <v>2302</v>
      </c>
      <c r="H103" s="1045">
        <f>IF(D36="正常操作",H104+H105+H106,H105+H106)</f>
        <v>0</v>
      </c>
      <c r="I103" s="138"/>
    </row>
    <row r="104" spans="1:35" ht="18.75" customHeight="1">
      <c r="A104" s="3108" t="s">
        <v>2303</v>
      </c>
      <c r="B104" s="2521" t="s">
        <v>2298</v>
      </c>
      <c r="C104" s="740">
        <f ca="1">H118</f>
        <v>216020</v>
      </c>
      <c r="D104" s="741"/>
      <c r="E104" s="2265" t="s">
        <v>2304</v>
      </c>
      <c r="F104" s="2257"/>
      <c r="G104" s="2520" t="s">
        <v>2302</v>
      </c>
      <c r="H104" s="1046">
        <f>IF(D36="同一抵押权人同一抵押物续贷",C36&amp;"（未扣减，详见特别提示）",C36)</f>
        <v>0</v>
      </c>
      <c r="I104" s="138"/>
    </row>
    <row r="105" spans="1:35" ht="18.75" customHeight="1" thickBot="1">
      <c r="A105" s="3120"/>
      <c r="B105" s="2522" t="s">
        <v>2300</v>
      </c>
      <c r="C105" s="742">
        <f ca="1">I118</f>
        <v>19326</v>
      </c>
      <c r="D105" s="743"/>
      <c r="E105" s="2265"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09" t="str">
        <f>IF(项目基本情况!E8="已注销","——","3.房地产抵押价值")</f>
        <v>3.房地产抵押价值</v>
      </c>
      <c r="F107" s="3079"/>
      <c r="G107" s="2519" t="s">
        <v>2298</v>
      </c>
      <c r="H107" s="1045">
        <f ca="1">IF(E107="——","——",H101-H103)</f>
        <v>216020</v>
      </c>
      <c r="I107" s="138"/>
    </row>
    <row r="108" spans="1:35" ht="18.75" customHeight="1">
      <c r="A108" s="138"/>
      <c r="B108" s="138"/>
      <c r="C108" s="138"/>
      <c r="D108" s="138"/>
      <c r="E108" s="3109"/>
      <c r="F108" s="3079"/>
      <c r="G108" s="2519" t="s">
        <v>2300</v>
      </c>
      <c r="H108" s="371">
        <f ca="1">ROUND(H107*10000/'数据-汇总表'!E3,0)</f>
        <v>19326</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19" t="s">
        <v>2298</v>
      </c>
      <c r="H109" s="348" t="str">
        <f>IF(E109="——","——",H101-H105-H106)</f>
        <v>——</v>
      </c>
      <c r="I109" s="138"/>
    </row>
    <row r="110" spans="1:35" ht="18.75" customHeight="1">
      <c r="A110" s="138"/>
      <c r="B110" s="138"/>
      <c r="C110" s="138"/>
      <c r="D110" s="138"/>
      <c r="E110" s="3109"/>
      <c r="F110" s="3079"/>
      <c r="G110" s="2519" t="s">
        <v>2300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19" t="s">
        <v>2298</v>
      </c>
      <c r="H111" s="1045" t="str">
        <f>IF(E111="——","——",N59)</f>
        <v>——</v>
      </c>
      <c r="I111" s="138"/>
    </row>
    <row r="112" spans="1:35" ht="18.75" customHeight="1" thickBot="1">
      <c r="A112" s="138"/>
      <c r="B112" s="138"/>
      <c r="C112" s="138"/>
      <c r="D112" s="138"/>
      <c r="E112" s="3112"/>
      <c r="F112" s="3113"/>
      <c r="G112" s="2524" t="s">
        <v>2300</v>
      </c>
      <c r="H112" s="790" t="str">
        <f>IF(E111="——","——",N61)</f>
        <v>——</v>
      </c>
      <c r="I112" s="138"/>
    </row>
    <row r="113" spans="1:11" ht="18.75" customHeight="1">
      <c r="A113" s="138"/>
      <c r="B113" s="138"/>
      <c r="C113" s="138"/>
      <c r="D113" s="138"/>
      <c r="E113" s="3121" t="s">
        <v>2306</v>
      </c>
      <c r="F113" s="3121"/>
      <c r="G113" s="3121"/>
      <c r="H113" s="3121"/>
      <c r="I113" s="138"/>
    </row>
    <row r="114" spans="1:11" ht="3.75" customHeight="1">
      <c r="A114" s="2417"/>
      <c r="B114" s="2417"/>
      <c r="C114" s="2417"/>
      <c r="D114" s="2417"/>
      <c r="E114" s="2495"/>
      <c r="F114" s="2495"/>
      <c r="G114" s="2495"/>
      <c r="H114" s="2495"/>
      <c r="I114" s="2417"/>
    </row>
    <row r="115" spans="1:11" ht="18.75" customHeight="1">
      <c r="A115" s="3134" t="s">
        <v>2308</v>
      </c>
      <c r="B115" s="3135"/>
      <c r="C115" s="3135"/>
      <c r="D115" s="3135"/>
      <c r="E115" s="3135"/>
      <c r="F115" s="3135"/>
      <c r="G115" s="3135"/>
      <c r="H115" s="3135"/>
      <c r="I115" s="3136"/>
    </row>
    <row r="116" spans="1:11" ht="27" customHeight="1">
      <c r="A116" s="3045" t="s">
        <v>2309</v>
      </c>
      <c r="B116" s="3088" t="s">
        <v>2310</v>
      </c>
      <c r="C116" s="3088" t="s">
        <v>2311</v>
      </c>
      <c r="D116" s="3094" t="s">
        <v>2312</v>
      </c>
      <c r="E116" s="3095"/>
      <c r="F116" s="3130" t="s">
        <v>2313</v>
      </c>
      <c r="G116" s="3130"/>
      <c r="H116" s="3045" t="s">
        <v>2314</v>
      </c>
      <c r="I116" s="3045"/>
    </row>
    <row r="117" spans="1:11" ht="18.75" customHeight="1">
      <c r="A117" s="3045"/>
      <c r="B117" s="3089"/>
      <c r="C117" s="3089"/>
      <c r="D117" s="1794" t="s">
        <v>2315</v>
      </c>
      <c r="E117" s="1794" t="s">
        <v>2316</v>
      </c>
      <c r="F117" s="1794" t="s">
        <v>2315</v>
      </c>
      <c r="G117" s="1794" t="s">
        <v>2317</v>
      </c>
      <c r="H117" s="1794" t="s">
        <v>2315</v>
      </c>
      <c r="I117" s="1794" t="s">
        <v>2317</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111776.38999999998</v>
      </c>
      <c r="C118" s="1794">
        <f>M19</f>
        <v>20087.55</v>
      </c>
      <c r="D118" s="1794">
        <f ca="1">ROUND(IF(D32="总价",C34,E118*B118/10000),0)</f>
        <v>176920</v>
      </c>
      <c r="E118" s="1794">
        <f ca="1">ROUND(IF(C33="自定义",IF(D32="楼面单价",C34,D118*10000/B118),I118-G118),0)</f>
        <v>15828</v>
      </c>
      <c r="F118" s="1794">
        <f ca="1">ROUND(IF(D32="总价",C35,G118*B118/10000),0)</f>
        <v>39100</v>
      </c>
      <c r="G118" s="1794">
        <f ca="1">ROUND(IF(D32="楼面单价",C35,F118*10000/B118),0)</f>
        <v>3498</v>
      </c>
      <c r="H118" s="1794">
        <f ca="1">ROUND(IF(D32="总价",C32,I118*B118/10000),0)</f>
        <v>216020</v>
      </c>
      <c r="I118" s="1794">
        <f ca="1">ROUND(IF(D32="楼面单价",C32,H118*10000/B118),0)</f>
        <v>19326</v>
      </c>
    </row>
    <row r="119" spans="1:11" ht="18.75" customHeight="1">
      <c r="A119" s="3045" t="s">
        <v>2318</v>
      </c>
      <c r="B119" s="3045"/>
      <c r="C119" s="3045"/>
      <c r="D119" s="3090" t="str">
        <f ca="1">NUMBERSTRING(INT(D118*10000),2)&amp;"元整"</f>
        <v>壹拾柒亿陆仟玖佰贰拾万元整</v>
      </c>
      <c r="E119" s="3091"/>
      <c r="F119" s="3090" t="str">
        <f ca="1">NUMBERSTRING(INT(F118*10000),2)&amp;"元整"</f>
        <v>叁亿玖仟壹佰万元整</v>
      </c>
      <c r="G119" s="3091"/>
      <c r="H119" s="3090" t="str">
        <f ca="1">NUMBERSTRING(INT(H118*10000),2)&amp;"元整"</f>
        <v>贰拾壹亿陆仟零贰拾万元整</v>
      </c>
      <c r="I119" s="3091"/>
    </row>
    <row r="120" spans="1:11" ht="18.75" customHeight="1">
      <c r="A120" s="3085" t="str">
        <f>IF(项目基本情况!B9="房地产市场价值","",MID(E103,3,LEN(E103)-2))</f>
        <v/>
      </c>
      <c r="B120" s="3086"/>
      <c r="C120" s="3087"/>
      <c r="D120" s="3085">
        <f>H103</f>
        <v>0</v>
      </c>
      <c r="E120" s="3086"/>
      <c r="F120" s="3086"/>
      <c r="G120" s="3086"/>
      <c r="H120" s="3086"/>
      <c r="I120" s="3087"/>
      <c r="K120" s="2422" t="str">
        <f>IF(D120=0,"故，本次评估不存在"&amp;A120,"故，本次评估"&amp;A120&amp;"为人民币"&amp;D120&amp;"万元整。")</f>
        <v>故，本次评估不存在</v>
      </c>
    </row>
    <row r="121" spans="1:11" ht="18.75" customHeight="1">
      <c r="A121" s="3131" t="s">
        <v>2318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
      </c>
      <c r="B122" s="3096"/>
      <c r="C122" s="3096"/>
      <c r="D122" s="3085">
        <f ca="1">H107</f>
        <v>216020</v>
      </c>
      <c r="E122" s="3086"/>
      <c r="F122" s="3086"/>
      <c r="G122" s="3086"/>
      <c r="H122" s="3086"/>
      <c r="I122" s="3087"/>
    </row>
    <row r="123" spans="1:11" ht="18.75" customHeight="1">
      <c r="A123" s="3045" t="s">
        <v>2318</v>
      </c>
      <c r="B123" s="3045"/>
      <c r="C123" s="3045"/>
      <c r="D123" s="3090" t="str">
        <f ca="1">NUMBERSTRING(INT(D122*10000),2)&amp;"元整"</f>
        <v>贰拾壹亿陆仟零贰拾万元整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2318</v>
      </c>
      <c r="B127" s="3045"/>
      <c r="C127" s="3045"/>
      <c r="D127" s="3090" t="e">
        <f>NUMBERSTRING(INT(D126*10000),2)&amp;"元整"</f>
        <v>#VALUE!</v>
      </c>
      <c r="E127" s="3092"/>
      <c r="F127" s="3092"/>
      <c r="G127" s="3092"/>
      <c r="H127" s="3092"/>
      <c r="I127" s="3091"/>
    </row>
    <row r="128" spans="1:11" ht="21.75" customHeight="1">
      <c r="A128" s="3093" t="s">
        <v>2319</v>
      </c>
      <c r="B128" s="3093"/>
      <c r="C128" s="3093"/>
      <c r="D128" s="3093"/>
      <c r="E128" s="3093"/>
      <c r="F128" s="3093"/>
      <c r="G128" s="3093"/>
      <c r="H128" s="3093"/>
      <c r="I128" s="309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9" t="str">
        <f>项目基本情况!B1</f>
        <v>北京市昌平区北七家镇（未来科技城南区）CP07-0600-0022、0039、0040地块F2公建混合住宅用地（配建人才公共租赁住房）项目出让国有建设用地使用权及在建建筑物房地产市场价值预评估</v>
      </c>
      <c r="C37" s="2979"/>
      <c r="D37" s="2979"/>
      <c r="E37" s="2979"/>
      <c r="F37" s="2979"/>
      <c r="G37" s="2979"/>
      <c r="H37" s="2979"/>
      <c r="I37" s="2979"/>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12</v>
      </c>
    </row>
    <row r="2" spans="1:9" s="244" customFormat="1" ht="18" customHeight="1">
      <c r="A2" s="245" t="s">
        <v>2328</v>
      </c>
      <c r="B2" s="246">
        <f ca="1">IF(D2="——",C52,C52-E2)</f>
        <v>226503</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20264</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137590</v>
      </c>
      <c r="D5" s="255" t="s">
        <v>2335</v>
      </c>
      <c r="E5" s="256" t="s">
        <v>2336</v>
      </c>
      <c r="F5" s="256" t="s">
        <v>2337</v>
      </c>
      <c r="G5" s="257"/>
    </row>
    <row r="6" spans="1:9" s="258" customFormat="1" ht="13.5" customHeight="1">
      <c r="A6" s="949" t="s">
        <v>2338</v>
      </c>
      <c r="B6" s="259" t="s">
        <v>2339</v>
      </c>
      <c r="C6" s="260">
        <f>'土地比较法-住宅、综合'!B2</f>
        <v>131407</v>
      </c>
      <c r="D6" s="261"/>
      <c r="E6" s="262"/>
      <c r="F6" s="262"/>
      <c r="G6" s="263"/>
    </row>
    <row r="7" spans="1:9" s="258" customFormat="1" ht="13.5" customHeight="1">
      <c r="A7" s="949" t="s">
        <v>2340</v>
      </c>
      <c r="B7" s="259" t="s">
        <v>2341</v>
      </c>
      <c r="C7" s="264">
        <f>ROUND(C6*F7,0)</f>
        <v>4008</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2175</v>
      </c>
      <c r="D8" s="266"/>
      <c r="E8" s="264"/>
      <c r="F8" s="265"/>
      <c r="G8" s="2551" t="s">
        <v>3652</v>
      </c>
    </row>
    <row r="9" spans="1:9" s="258" customFormat="1" ht="13.5" customHeight="1">
      <c r="A9" s="950" t="s">
        <v>800</v>
      </c>
      <c r="B9" s="268" t="s">
        <v>2344</v>
      </c>
      <c r="C9" s="269">
        <f ca="1">ROUND(D9*E9/10000,0)</f>
        <v>241</v>
      </c>
      <c r="D9" s="1032">
        <f ca="1">IF(B1="",'数据-汇总表'!E5,IF(INDIRECT("'数据-取费表'!c"&amp;$G$1)="住宅",INDIRECT("'数据-取费表'!k"&amp;$G$1),0))</f>
        <v>15079.37</v>
      </c>
      <c r="E9" s="269">
        <f>'数据-取费表'!B27</f>
        <v>160</v>
      </c>
      <c r="F9" s="265"/>
      <c r="G9" s="2552" t="s">
        <v>3653</v>
      </c>
      <c r="H9" s="1390"/>
      <c r="I9" s="2553" t="s">
        <v>2345</v>
      </c>
    </row>
    <row r="10" spans="1:9" s="258" customFormat="1" ht="13.5" customHeight="1">
      <c r="A10" s="950" t="s">
        <v>801</v>
      </c>
      <c r="B10" s="268" t="s">
        <v>2346</v>
      </c>
      <c r="C10" s="269">
        <f ca="1">ROUND(D10*E10/10000,0)</f>
        <v>1934</v>
      </c>
      <c r="D10" s="1032">
        <f ca="1">IF(B1="",'数据-汇总表'!E6,IF(INDIRECT("'数据-取费表'!c"&amp;$G$1)="住宅",INDIRECT("'数据-取费表'!s"&amp;$G$1),INDIRECT("'数据-取费表'!k"&amp;$G$1)+INDIRECT("'数据-取费表'!s"&amp;$G$1)))</f>
        <v>96697.01999999999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111776.38999999998</v>
      </c>
      <c r="E19" s="255">
        <f>'数据-取费表'!B31</f>
        <v>200</v>
      </c>
      <c r="F19" s="275"/>
      <c r="G19" s="2551" t="s">
        <v>3654</v>
      </c>
    </row>
    <row r="20" spans="1:7" s="258" customFormat="1" ht="13.5" customHeight="1">
      <c r="A20" s="299" t="s">
        <v>2359</v>
      </c>
      <c r="B20" s="254" t="s">
        <v>2360</v>
      </c>
      <c r="C20" s="276">
        <f ca="1">ROUND((C5+C19)*F20,0)</f>
        <v>2752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18544</v>
      </c>
      <c r="D22" s="279">
        <f ca="1">C26</f>
        <v>1.2999999999999999E-3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18366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178</v>
      </c>
      <c r="D25" s="282"/>
      <c r="E25" s="285"/>
      <c r="F25" s="283"/>
      <c r="G25" s="286" t="s">
        <v>2376</v>
      </c>
    </row>
    <row r="26" spans="1:7" s="258" customFormat="1">
      <c r="A26" s="951" t="s">
        <v>795</v>
      </c>
      <c r="B26" s="259" t="s">
        <v>2377</v>
      </c>
      <c r="C26" s="282">
        <f ca="1">ROUND(IF('数据-取费表'!B22&lt;=1,F21*F22*'数据-取费表'!B23/2,F21*(POWER((1+F22),'数据-取费表'!B23/2)-1)),4)</f>
        <v>1.2999999999999999E-3</v>
      </c>
      <c r="D26" s="282"/>
      <c r="E26" s="285"/>
      <c r="F26" s="283"/>
      <c r="G26" s="287"/>
    </row>
    <row r="27" spans="1:7" s="258" customFormat="1" ht="26.4">
      <c r="A27" s="299" t="s">
        <v>2378</v>
      </c>
      <c r="B27" s="288" t="s">
        <v>2379</v>
      </c>
      <c r="C27" s="289">
        <f ca="1">C28</f>
        <v>12631</v>
      </c>
      <c r="D27" s="279">
        <f ca="1">C29</f>
        <v>1.8E-3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12631</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185524</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31885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28459</v>
      </c>
      <c r="D34" s="261"/>
      <c r="E34" s="264"/>
      <c r="F34" s="301">
        <f ca="1">IF('数据-取费表'!B24=0,1,IF(B1="",'数据-取费表'!N16,INDIRECT("'数据-取费表'!n"&amp;$G$1)))</f>
        <v>0.9</v>
      </c>
      <c r="G34" s="263" t="s">
        <v>2392</v>
      </c>
    </row>
    <row r="35" spans="1:7" ht="13.5" customHeight="1">
      <c r="A35" s="951" t="s">
        <v>796</v>
      </c>
      <c r="B35" s="259" t="s">
        <v>2393</v>
      </c>
      <c r="C35" s="264">
        <f ca="1">ROUND(C34*F35,0)</f>
        <v>854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133</v>
      </c>
      <c r="D36" s="264"/>
      <c r="E36" s="264"/>
      <c r="F36" s="303">
        <f>'数据-取费表'!B34</f>
        <v>0.03</v>
      </c>
      <c r="G36" s="304" t="s">
        <v>2396</v>
      </c>
    </row>
    <row r="37" spans="1:7" s="302" customFormat="1" ht="13.5" customHeight="1">
      <c r="A37" s="951" t="s">
        <v>798</v>
      </c>
      <c r="B37" s="259" t="s">
        <v>2397</v>
      </c>
      <c r="C37" s="293">
        <f ca="1">ROUND(E37*D37*F34/10000,0)</f>
        <v>2012</v>
      </c>
      <c r="D37" s="261">
        <f ca="1">D19</f>
        <v>111776.38999999998</v>
      </c>
      <c r="E37" s="293">
        <f>'数据-取费表'!B35</f>
        <v>200</v>
      </c>
      <c r="F37" s="303"/>
      <c r="G37" s="305" t="s">
        <v>2398</v>
      </c>
    </row>
    <row r="38" spans="1:7" ht="13.5" customHeight="1">
      <c r="A38" s="951" t="s">
        <v>799</v>
      </c>
      <c r="B38" s="259" t="s">
        <v>2399</v>
      </c>
      <c r="C38" s="264">
        <f ca="1">ROUND(C34*F38,0)</f>
        <v>427</v>
      </c>
      <c r="D38" s="264"/>
      <c r="E38" s="264"/>
      <c r="F38" s="303">
        <f>'数据-取费表'!B36</f>
        <v>1.4999999999999999E-2</v>
      </c>
      <c r="G38" s="263" t="s">
        <v>2394</v>
      </c>
    </row>
    <row r="39" spans="1:7" s="258" customFormat="1" ht="13.5" customHeight="1">
      <c r="A39" s="299" t="s">
        <v>2400</v>
      </c>
      <c r="B39" s="254" t="s">
        <v>2401</v>
      </c>
      <c r="C39" s="276">
        <f ca="1">ROUND(C33*F20,0)</f>
        <v>638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2102</v>
      </c>
      <c r="D41" s="279">
        <f ca="1">C44</f>
        <v>1.2999999999999999E-3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2061</v>
      </c>
      <c r="D42" s="282"/>
      <c r="E42" s="282"/>
      <c r="F42" s="283"/>
      <c r="G42" s="3165" t="s">
        <v>2410</v>
      </c>
    </row>
    <row r="43" spans="1:7" ht="13.5" customHeight="1">
      <c r="A43" s="951" t="s">
        <v>792</v>
      </c>
      <c r="B43" s="259" t="s">
        <v>2411</v>
      </c>
      <c r="C43" s="282">
        <f ca="1">ROUND(IF('数据-取费表'!B22&lt;=1,C39*F22*'数据-取费表'!B21/2,C39*(POWER((1+F22),'数据-取费表'!B21/2)-1)),0)</f>
        <v>41</v>
      </c>
      <c r="D43" s="282"/>
      <c r="E43" s="282"/>
      <c r="F43" s="283"/>
      <c r="G43" s="3166"/>
    </row>
    <row r="44" spans="1:7" ht="13.5" customHeight="1">
      <c r="A44" s="951" t="s">
        <v>793</v>
      </c>
      <c r="B44" s="259" t="s">
        <v>2412</v>
      </c>
      <c r="C44" s="282">
        <f ca="1">ROUND(IF('数据-取费表'!B22&lt;=1,C40*F22*'数据-取费表'!B21/2,C40*(POWER((1+F22),'数据-取费表'!B21/2)-1)),4)</f>
        <v>1.2999999999999999E-3</v>
      </c>
      <c r="D44" s="282"/>
      <c r="E44" s="282"/>
      <c r="F44" s="283"/>
      <c r="G44" s="3167"/>
    </row>
    <row r="45" spans="1:7" s="258" customFormat="1" ht="13.5" customHeight="1">
      <c r="A45" s="299" t="s">
        <v>2413</v>
      </c>
      <c r="B45" s="288" t="s">
        <v>2379</v>
      </c>
      <c r="C45" s="289">
        <f ca="1">C46</f>
        <v>3252</v>
      </c>
      <c r="D45" s="279">
        <f ca="1">C47</f>
        <v>2E-3</v>
      </c>
      <c r="E45" s="280" t="s">
        <v>2405</v>
      </c>
      <c r="F45" s="290"/>
      <c r="G45" s="291" t="s">
        <v>2414</v>
      </c>
    </row>
    <row r="46" spans="1:7" s="258" customFormat="1" ht="13.5" customHeight="1">
      <c r="A46" s="951" t="s">
        <v>791</v>
      </c>
      <c r="B46" s="292" t="s">
        <v>2415</v>
      </c>
      <c r="C46" s="293">
        <f ca="1">ROUND((C33+C39)*F27,0)</f>
        <v>3252</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40979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40979</v>
      </c>
      <c r="D51" s="276"/>
      <c r="E51" s="276"/>
      <c r="F51" s="308"/>
      <c r="G51" s="278" t="s">
        <v>2426</v>
      </c>
    </row>
    <row r="52" spans="1:7" s="252" customFormat="1" ht="16.8" thickBot="1">
      <c r="A52" s="309" t="s">
        <v>2427</v>
      </c>
      <c r="B52" s="310"/>
      <c r="C52" s="311">
        <f ca="1">C31+C51</f>
        <v>226503</v>
      </c>
      <c r="D52" s="310"/>
      <c r="E52" s="310"/>
      <c r="F52" s="310"/>
      <c r="G52" s="312"/>
    </row>
    <row r="55" spans="1:7" ht="15">
      <c r="B55" s="314" t="s">
        <v>2428</v>
      </c>
      <c r="C55" s="315"/>
    </row>
    <row r="56" spans="1:7">
      <c r="B56" s="317" t="s">
        <v>1509</v>
      </c>
      <c r="C56" s="319">
        <f ca="1">1-C57</f>
        <v>0.81899999999999995</v>
      </c>
    </row>
    <row r="57" spans="1:7">
      <c r="B57" s="317" t="s">
        <v>1510</v>
      </c>
      <c r="C57" s="318">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12</v>
      </c>
      <c r="H1" s="1282" t="str">
        <f>IF(ISERROR(FIND("住宅",B1)),"非住宅","住宅")</f>
        <v>非住宅</v>
      </c>
    </row>
    <row r="2" spans="1:8" s="244" customFormat="1" ht="18" customHeight="1">
      <c r="A2" s="245" t="s">
        <v>2328</v>
      </c>
      <c r="B2" s="246">
        <f ca="1">ROUND(IF(D2="——",C52/10000,C52/10000-E2),0)</f>
        <v>51904</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4644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21752103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21752103</v>
      </c>
      <c r="D8" s="266"/>
      <c r="E8" s="264"/>
      <c r="F8" s="265"/>
      <c r="G8" s="2551"/>
    </row>
    <row r="9" spans="1:8" s="258" customFormat="1" ht="13.5" customHeight="1">
      <c r="A9" s="950" t="s">
        <v>800</v>
      </c>
      <c r="B9" s="268" t="s">
        <v>2344</v>
      </c>
      <c r="C9" s="269">
        <f ca="1">ROUND(D9*E9,0)</f>
        <v>2412699</v>
      </c>
      <c r="D9" s="1032">
        <f ca="1">IF(B1="",'数据-汇总表'!E5,IF(INDIRECT("'数据-取费表'!c"&amp;$G$1)="住宅",INDIRECT("'数据-取费表'!k"&amp;$G$1),0))</f>
        <v>15079.37</v>
      </c>
      <c r="E9" s="269">
        <f>'数据-取费表'!B27</f>
        <v>160</v>
      </c>
      <c r="F9" s="265"/>
      <c r="G9" s="270"/>
    </row>
    <row r="10" spans="1:8" s="258" customFormat="1" ht="13.5" customHeight="1">
      <c r="A10" s="950" t="s">
        <v>801</v>
      </c>
      <c r="B10" s="268" t="s">
        <v>2346</v>
      </c>
      <c r="C10" s="269">
        <f ca="1">ROUND(D10*E10,0)</f>
        <v>19339404</v>
      </c>
      <c r="D10" s="1032">
        <f ca="1">IF(B1="",'数据-汇总表'!E6,IF(INDIRECT("'数据-取费表'!c"&amp;$G$1)="住宅",INDIRECT("'数据-取费表'!s"&amp;$G$1),INDIRECT("'数据-取费表'!k"&amp;$G$1)+INDIRECT("'数据-取费表'!s"&amp;$G$1)))</f>
        <v>96697.01999999999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22355278</v>
      </c>
      <c r="D19" s="1036">
        <f ca="1">D9+D10</f>
        <v>111776.38999999998</v>
      </c>
      <c r="E19" s="255">
        <f>'数据-取费表'!B31</f>
        <v>200</v>
      </c>
      <c r="F19" s="275"/>
      <c r="G19" s="2551"/>
    </row>
    <row r="20" spans="1:7" s="258" customFormat="1" ht="13.5" customHeight="1">
      <c r="A20" s="299" t="s">
        <v>2440</v>
      </c>
      <c r="B20" s="254" t="s">
        <v>2441</v>
      </c>
      <c r="C20" s="276">
        <f ca="1">ROUND((C5+C19)*F20,0)</f>
        <v>882148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6652174</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3249240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3339340</v>
      </c>
      <c r="D24" s="282"/>
      <c r="E24" s="282"/>
      <c r="F24" s="283"/>
      <c r="G24" s="284" t="s">
        <v>2452</v>
      </c>
    </row>
    <row r="25" spans="1:7" s="258" customFormat="1" ht="24">
      <c r="A25" s="951" t="s">
        <v>2342</v>
      </c>
      <c r="B25" s="259" t="s">
        <v>2453</v>
      </c>
      <c r="C25" s="1381">
        <f ca="1">ROUND(IF('数据-取费表'!B22&lt;=1,C20*F22*'数据-取费表'!B22/2,C20*(POWER((1+F22),'数据-取费表'!B22/2)-1)),0)</f>
        <v>63594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4498953</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4498953</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60745137</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354281287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316222520</v>
      </c>
      <c r="D34" s="261"/>
      <c r="E34" s="264"/>
      <c r="F34" s="301"/>
      <c r="G34" s="263"/>
    </row>
    <row r="35" spans="1:7" ht="13.5" customHeight="1">
      <c r="A35" s="951" t="s">
        <v>796</v>
      </c>
      <c r="B35" s="259" t="s">
        <v>2393</v>
      </c>
      <c r="C35" s="264">
        <f ca="1">ROUND(C34*F35,0)</f>
        <v>9486676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1473475</v>
      </c>
      <c r="D36" s="264"/>
      <c r="E36" s="264"/>
      <c r="F36" s="303">
        <f>'数据-取费表'!B34</f>
        <v>0.03</v>
      </c>
      <c r="G36" s="304" t="s">
        <v>2396</v>
      </c>
    </row>
    <row r="37" spans="1:7" s="302" customFormat="1" ht="13.5" customHeight="1">
      <c r="A37" s="951" t="s">
        <v>798</v>
      </c>
      <c r="B37" s="259" t="s">
        <v>2397</v>
      </c>
      <c r="C37" s="293">
        <f ca="1">ROUND(E37*D37,0)</f>
        <v>22355278</v>
      </c>
      <c r="D37" s="261">
        <f ca="1">D19</f>
        <v>111776.38999999998</v>
      </c>
      <c r="E37" s="293">
        <f>'数据-取费表'!B35</f>
        <v>200</v>
      </c>
      <c r="F37" s="303"/>
      <c r="G37" s="305"/>
    </row>
    <row r="38" spans="1:7" ht="13.5" customHeight="1">
      <c r="A38" s="951" t="s">
        <v>799</v>
      </c>
      <c r="B38" s="259" t="s">
        <v>2399</v>
      </c>
      <c r="C38" s="264">
        <f ca="1">ROUND(C34*F38,0)</f>
        <v>4743338</v>
      </c>
      <c r="D38" s="264"/>
      <c r="E38" s="264"/>
      <c r="F38" s="303">
        <f>'数据-取费表'!B36</f>
        <v>1.4999999999999999E-2</v>
      </c>
      <c r="G38" s="263" t="s">
        <v>2394</v>
      </c>
    </row>
    <row r="39" spans="1:7" s="258" customFormat="1" ht="13.5" customHeight="1">
      <c r="A39" s="299" t="s">
        <v>2400</v>
      </c>
      <c r="B39" s="254" t="s">
        <v>2401</v>
      </c>
      <c r="C39" s="276">
        <f ca="1">ROUND(C33*F20,0)</f>
        <v>7085626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26050764</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25539965</v>
      </c>
      <c r="D42" s="282"/>
      <c r="E42" s="282"/>
      <c r="F42" s="283"/>
      <c r="G42" s="3165" t="s">
        <v>2457</v>
      </c>
    </row>
    <row r="43" spans="1:7" ht="13.5" customHeight="1">
      <c r="A43" s="951" t="s">
        <v>792</v>
      </c>
      <c r="B43" s="259" t="s">
        <v>2411</v>
      </c>
      <c r="C43" s="282">
        <f ca="1">ROUND(IF('数据-取费表'!B22&lt;=1,C39*F22*'数据-取费表'!B20/2,C39*(POWER((1+F22),'数据-取费表'!B20/2)-1)),0)</f>
        <v>510799</v>
      </c>
      <c r="D43" s="282"/>
      <c r="E43" s="282"/>
      <c r="F43" s="283"/>
      <c r="G43" s="3166"/>
    </row>
    <row r="44" spans="1:7" ht="13.5" customHeight="1">
      <c r="A44" s="951" t="s">
        <v>793</v>
      </c>
      <c r="B44" s="259" t="s">
        <v>2412</v>
      </c>
      <c r="C44" s="282">
        <f ca="1">ROUND(IF('数据-取费表'!B22&lt;=1,C40*F22*'数据-取费表'!B20/2,C40*(POWER((1+F22),'数据-取费表'!B20/2)-1)),4)</f>
        <v>1.4E-3</v>
      </c>
      <c r="D44" s="282"/>
      <c r="E44" s="282"/>
      <c r="F44" s="283"/>
      <c r="G44" s="3167"/>
    </row>
    <row r="45" spans="1:7" s="258" customFormat="1" ht="13.5" customHeight="1">
      <c r="A45" s="299" t="s">
        <v>2413</v>
      </c>
      <c r="B45" s="288" t="s">
        <v>2379</v>
      </c>
      <c r="C45" s="289">
        <f ca="1">C46</f>
        <v>36136691</v>
      </c>
      <c r="D45" s="279">
        <f ca="1">C47</f>
        <v>2E-3</v>
      </c>
      <c r="E45" s="280" t="s">
        <v>2405</v>
      </c>
      <c r="F45" s="290"/>
      <c r="G45" s="291" t="s">
        <v>2414</v>
      </c>
    </row>
    <row r="46" spans="1:7" s="258" customFormat="1" ht="13.5" customHeight="1">
      <c r="A46" s="951" t="s">
        <v>791</v>
      </c>
      <c r="B46" s="292" t="s">
        <v>2415</v>
      </c>
      <c r="C46" s="293">
        <f ca="1">ROUND((C33+C39)*F27,0)</f>
        <v>36136691</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458292976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458292976</v>
      </c>
      <c r="D51" s="276"/>
      <c r="E51" s="276"/>
      <c r="F51" s="308"/>
      <c r="G51" s="278" t="s">
        <v>2426</v>
      </c>
    </row>
    <row r="52" spans="1:7" s="252" customFormat="1" ht="16.8" thickBot="1">
      <c r="A52" s="309" t="s">
        <v>2427</v>
      </c>
      <c r="B52" s="310"/>
      <c r="C52" s="311">
        <f ca="1">C31+C51</f>
        <v>519038113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1" sqref="L31"/>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12</v>
      </c>
    </row>
    <row r="2" spans="1:33" ht="18" customHeight="1">
      <c r="A2" s="245" t="s">
        <v>2328</v>
      </c>
      <c r="B2" s="248">
        <f ca="1">C32</f>
        <v>205537</v>
      </c>
      <c r="C2" s="320" t="s">
        <v>2461</v>
      </c>
      <c r="D2" s="320"/>
      <c r="E2" s="320"/>
      <c r="F2" s="320"/>
      <c r="G2" s="320"/>
      <c r="H2" s="320"/>
      <c r="I2" s="320"/>
      <c r="J2" s="320"/>
      <c r="K2" s="320"/>
    </row>
    <row r="3" spans="1:33" ht="18" customHeight="1" thickBot="1">
      <c r="A3" s="247" t="s">
        <v>2330</v>
      </c>
      <c r="B3" s="248">
        <f ca="1">ROUND(B2*10000/IF(C1="",'数据-汇总表'!E3,INDIRECT("'数据-取费表'!K"&amp;$K$1)),0)</f>
        <v>18388</v>
      </c>
      <c r="C3" s="320" t="s">
        <v>2462</v>
      </c>
      <c r="D3" s="320"/>
      <c r="E3" s="320"/>
      <c r="F3" s="320"/>
      <c r="G3" s="320"/>
      <c r="H3" s="320"/>
      <c r="I3" s="320"/>
      <c r="J3" s="320"/>
      <c r="K3" s="320"/>
    </row>
    <row r="4" spans="1:33" s="956" customFormat="1" ht="16.5" customHeight="1">
      <c r="A4" s="953" t="s">
        <v>2463</v>
      </c>
      <c r="B4" s="954"/>
      <c r="C4" s="996">
        <f ca="1">SUM(C8:K8)</f>
        <v>233313</v>
      </c>
      <c r="D4" s="954"/>
      <c r="E4" s="954"/>
      <c r="F4" s="954"/>
      <c r="G4" s="954"/>
      <c r="H4" s="954"/>
      <c r="I4" s="954"/>
      <c r="J4" s="954"/>
      <c r="K4" s="955"/>
    </row>
    <row r="5" spans="1:33" s="960" customFormat="1" ht="14.4">
      <c r="A5" s="957" t="s">
        <v>2464</v>
      </c>
      <c r="B5" s="958" t="s">
        <v>2465</v>
      </c>
      <c r="C5" s="2555" t="s">
        <v>3113</v>
      </c>
      <c r="D5" s="2555" t="s">
        <v>3115</v>
      </c>
      <c r="E5" s="2555" t="s">
        <v>3566</v>
      </c>
      <c r="F5" s="2555" t="s">
        <v>1373</v>
      </c>
      <c r="G5" s="2555" t="s">
        <v>48</v>
      </c>
      <c r="H5" s="2555" t="s">
        <v>3567</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58949</v>
      </c>
      <c r="D6" s="962">
        <v>5000</v>
      </c>
      <c r="E6" s="962">
        <f ca="1">'收益法-办公自持'!B3</f>
        <v>22924</v>
      </c>
      <c r="F6" s="962">
        <f ca="1">'收益法-商业'!B3</f>
        <v>21559</v>
      </c>
      <c r="G6" s="962">
        <f ca="1">'收益法-地下车库'!B3</f>
        <v>4426</v>
      </c>
      <c r="H6" s="962">
        <f>'比较法-办公'!B3</f>
        <v>32115</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7323.91</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43174</v>
      </c>
      <c r="D8" s="997">
        <f>ROUND(D6*D7/10000,0)</f>
        <v>3878</v>
      </c>
      <c r="E8" s="997">
        <f ca="1">'收益法-办公自持'!B2</f>
        <v>72484</v>
      </c>
      <c r="F8" s="998">
        <f ca="1">'收益法-商业'!B2</f>
        <v>33985</v>
      </c>
      <c r="G8" s="998">
        <f ca="1">'收益法-地下车库'!B2</f>
        <v>7935</v>
      </c>
      <c r="H8" s="998">
        <f>'比较法-办公'!B2</f>
        <v>71857</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3162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2479</v>
      </c>
      <c r="C12" s="24">
        <f ca="1">ROUND(C11*F12,0)</f>
        <v>95</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15</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224</v>
      </c>
      <c r="D14" s="1033">
        <f ca="1">IF(C1="",'数据-汇总表'!E3,INDIRECT("'数据-取费表'!K"&amp;$K$1)+INDIRECT("'数据-取费表'!S"&amp;$K$1))</f>
        <v>111776.38999999998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47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3543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111776.38999999998</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6"/>
      <c r="I18" s="2558" t="s">
        <v>2491</v>
      </c>
      <c r="J18" s="979"/>
      <c r="K18" s="980"/>
    </row>
    <row r="19" spans="1:33" s="975" customFormat="1" ht="13.5" customHeight="1">
      <c r="A19" s="971" t="s">
        <v>805</v>
      </c>
      <c r="B19" s="972" t="s">
        <v>2492</v>
      </c>
      <c r="C19" s="24">
        <f ca="1">ROUND(D19*E19/10000,0)</f>
        <v>241</v>
      </c>
      <c r="D19" s="1033">
        <f ca="1">IF(C1="",'数据-汇总表'!E5,IF(INDIRECT("'数据-取费表'!c"&amp;$K$1)="住宅",INDIRECT("'数据-取费表'!k"&amp;$K$1),0))</f>
        <v>15079.37</v>
      </c>
      <c r="E19" s="24">
        <f>'数据-取费表'!B27</f>
        <v>160</v>
      </c>
      <c r="F19" s="976"/>
      <c r="G19" s="15"/>
      <c r="H19" s="1578"/>
      <c r="I19" s="981"/>
      <c r="J19" s="981"/>
      <c r="K19" s="982"/>
    </row>
    <row r="20" spans="1:33" s="975" customFormat="1" ht="13.5" customHeight="1">
      <c r="A20" s="971" t="s">
        <v>806</v>
      </c>
      <c r="B20" s="972" t="s">
        <v>2493</v>
      </c>
      <c r="C20" s="24">
        <f ca="1">ROUND(D20*E20/10000,0)</f>
        <v>1934</v>
      </c>
      <c r="D20" s="1033">
        <f ca="1">IF(C1="",'数据-汇总表'!E6,IF(INDIRECT("'数据-取费表'!c"&amp;$K$1)="住宅",INDIRECT("'数据-取费表'!s"&amp;$K$1),INDIRECT("'数据-取费表'!k"&amp;$K$1)+INDIRECT("'数据-取费表'!s"&amp;$K$1)))</f>
        <v>96697.01999999999</v>
      </c>
      <c r="E20" s="24">
        <f>'数据-取费表'!B28</f>
        <v>200</v>
      </c>
      <c r="F20" s="976"/>
      <c r="G20" s="15"/>
      <c r="H20" s="981"/>
      <c r="I20" s="981"/>
      <c r="J20" s="981"/>
      <c r="K20" s="982"/>
    </row>
    <row r="21" spans="1:33" s="975" customFormat="1" ht="13.5" customHeight="1">
      <c r="A21" s="961" t="s">
        <v>802</v>
      </c>
      <c r="B21" s="985" t="s">
        <v>2494</v>
      </c>
      <c r="C21" s="986">
        <f ca="1">C16+C17+C18</f>
        <v>3543</v>
      </c>
      <c r="D21" s="987"/>
      <c r="E21" s="325"/>
      <c r="F21" s="325"/>
      <c r="G21" s="140" t="s">
        <v>2495</v>
      </c>
      <c r="H21" s="979"/>
      <c r="I21" s="979"/>
      <c r="J21" s="979"/>
      <c r="K21" s="980"/>
    </row>
    <row r="22" spans="1:33" s="975" customFormat="1" ht="13.5" customHeight="1">
      <c r="A22" s="961" t="s">
        <v>2467</v>
      </c>
      <c r="B22" s="985" t="s">
        <v>2496</v>
      </c>
      <c r="C22" s="986">
        <f ca="1">ROUND(C21*F22,0)</f>
        <v>71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467</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1.44E-2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29</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408</v>
      </c>
      <c r="D28" s="324">
        <f ca="1">C29</f>
        <v>1.03E-2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1.03E-2</v>
      </c>
      <c r="D29" s="328"/>
      <c r="E29" s="329"/>
      <c r="F29" s="334"/>
      <c r="G29" s="140" t="s">
        <v>2510</v>
      </c>
      <c r="H29" s="979"/>
      <c r="I29" s="979"/>
      <c r="J29" s="979"/>
      <c r="K29" s="980"/>
    </row>
    <row r="30" spans="1:33" s="335" customFormat="1" ht="13.5" customHeight="1">
      <c r="A30" s="971" t="s">
        <v>804</v>
      </c>
      <c r="B30" s="994" t="s">
        <v>2511</v>
      </c>
      <c r="C30" s="336">
        <f ca="1">ROUND((C21+C22+C23)*F28,0)</f>
        <v>408</v>
      </c>
      <c r="D30" s="328"/>
      <c r="E30" s="329"/>
      <c r="F30" s="334"/>
      <c r="G30" s="140"/>
      <c r="H30" s="979"/>
      <c r="I30" s="979"/>
      <c r="J30" s="979"/>
      <c r="K30" s="980"/>
    </row>
    <row r="31" spans="1:33" s="975" customFormat="1" ht="13.5" customHeight="1" thickBot="1">
      <c r="A31" s="2561" t="s">
        <v>2512</v>
      </c>
      <c r="B31" s="1005" t="s">
        <v>2513</v>
      </c>
      <c r="C31" s="1006">
        <f ca="1">ROUND(C4*F31/(1+'数据-取费表'!C42),0)</f>
        <v>12221</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205537</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G43" sqref="G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3566</v>
      </c>
      <c r="D1" s="1819" t="s">
        <v>3561</v>
      </c>
      <c r="E1" s="1820" t="s">
        <v>1383</v>
      </c>
      <c r="F1" s="1283">
        <f ca="1">J53</f>
        <v>45.480000000000004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72484</v>
      </c>
      <c r="C2" s="1844" t="s">
        <v>1512</v>
      </c>
      <c r="D2" s="1844"/>
      <c r="E2" s="1845"/>
      <c r="F2" s="1846"/>
      <c r="G2" s="1847"/>
      <c r="H2" s="1839"/>
      <c r="I2" s="1839"/>
      <c r="J2" s="1839"/>
      <c r="K2" s="1840"/>
      <c r="L2" s="1839"/>
      <c r="M2" s="1839"/>
    </row>
    <row r="3" spans="1:37" ht="18" customHeight="1" thickBot="1">
      <c r="A3" s="1848" t="s">
        <v>1513</v>
      </c>
      <c r="B3" s="1849">
        <f ca="1">IF(ISERROR(B2*10000/F43),0,ROUND(B2*10000/F43,0))</f>
        <v>22924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3640</v>
      </c>
      <c r="D5" s="1821" t="s">
        <v>1398</v>
      </c>
      <c r="E5" s="1293"/>
      <c r="F5" s="1294"/>
      <c r="G5" s="1850"/>
      <c r="H5" s="344">
        <v>1</v>
      </c>
      <c r="I5" s="345" t="s">
        <v>1397</v>
      </c>
      <c r="J5" s="1292">
        <f ca="1">J6+J10+J12</f>
        <v>0</v>
      </c>
      <c r="K5" s="1821" t="s">
        <v>1398</v>
      </c>
      <c r="L5" s="1293"/>
      <c r="M5" s="1294"/>
    </row>
    <row r="6" spans="1:37" ht="18" customHeight="1">
      <c r="A6" s="1291" t="s">
        <v>1032</v>
      </c>
      <c r="B6" s="3168" t="s">
        <v>1399</v>
      </c>
      <c r="C6" s="1296">
        <f ca="1">ROUND(F6*F8*F7*(1-F9)/10000,0)</f>
        <v>3635</v>
      </c>
      <c r="D6" s="164" t="s">
        <v>3031</v>
      </c>
      <c r="E6" s="347" t="s">
        <v>1401</v>
      </c>
      <c r="F6" s="348">
        <f ca="1">INDIRECT("'数据-取费表'!u"&amp;$G$1)</f>
        <v>3.5</v>
      </c>
      <c r="G6" s="1850"/>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4" t="s">
        <v>1402</v>
      </c>
      <c r="F7" s="348">
        <f ca="1">IF(INDIRECT("'数据-取费表'!ah"&amp;$G$1)="",INDIRECT("'数据-取费表'!k"&amp;$G$1),INDIRECT("'数据-取费表'!ah"&amp;$G$1))</f>
        <v>31619.72</v>
      </c>
      <c r="G7" s="1850"/>
      <c r="H7" s="349"/>
      <c r="I7" s="3169"/>
      <c r="J7" s="351"/>
      <c r="K7" s="352"/>
      <c r="L7" s="347" t="s">
        <v>1402</v>
      </c>
      <c r="M7" s="348">
        <f ca="1">F7</f>
        <v>31619.72</v>
      </c>
    </row>
    <row r="8" spans="1:37" ht="18" customHeight="1">
      <c r="A8" s="349"/>
      <c r="B8" s="3169"/>
      <c r="C8" s="351"/>
      <c r="D8" s="352"/>
      <c r="E8" s="347" t="s">
        <v>1403</v>
      </c>
      <c r="F8" s="348">
        <f ca="1">INDIRECT("'数据-取费表'!ai"&amp;$G$1)</f>
        <v>365</v>
      </c>
      <c r="G8" s="1850"/>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0"/>
      <c r="H9" s="349"/>
      <c r="I9" s="3170"/>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3039</v>
      </c>
      <c r="E10" s="358" t="s">
        <v>1406</v>
      </c>
      <c r="F10" s="1366" t="s">
        <v>3568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9611</v>
      </c>
      <c r="D14" s="2967" t="s">
        <v>1414</v>
      </c>
      <c r="E14" s="2966"/>
      <c r="F14" s="364"/>
      <c r="G14" s="1850"/>
      <c r="H14" s="1201" t="s">
        <v>1032</v>
      </c>
      <c r="I14" s="347" t="s">
        <v>1415</v>
      </c>
      <c r="J14" s="24">
        <f ca="1">C29</f>
        <v>13821</v>
      </c>
      <c r="K14" s="2963"/>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9"/>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7"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8"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10684</v>
      </c>
      <c r="D19" s="140" t="s">
        <v>1432</v>
      </c>
      <c r="E19" s="2962"/>
      <c r="F19" s="26"/>
      <c r="G19" s="1850"/>
      <c r="H19" s="1201" t="s">
        <v>1033</v>
      </c>
      <c r="I19" s="347" t="s">
        <v>1433</v>
      </c>
      <c r="J19" s="24">
        <f ca="1">IF(K19="按租金收入计税",ROUND(J5*M19,2),ROUND(C29*M19*0.7,2))</f>
        <v>116.1</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5757.07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2"/>
      <c r="F22" s="26"/>
      <c r="G22" s="1850"/>
      <c r="H22" s="1201" t="s">
        <v>1036</v>
      </c>
      <c r="I22" s="347" t="s">
        <v>1445</v>
      </c>
      <c r="J22" s="24">
        <f ca="1">ROUND(J14*M22,1)</f>
        <v>207.3</v>
      </c>
      <c r="K22" s="2968"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8"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2"/>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13821</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911</v>
      </c>
      <c r="D30" s="1337" t="s">
        <v>1421</v>
      </c>
      <c r="E30" s="2969"/>
      <c r="F30" s="1294"/>
      <c r="G30" s="1850"/>
      <c r="H30" s="745"/>
      <c r="I30" s="746"/>
      <c r="J30" s="747"/>
      <c r="K30" s="748"/>
      <c r="L30" s="749"/>
      <c r="M30" s="750"/>
    </row>
    <row r="31" spans="1:37" ht="18" customHeight="1">
      <c r="A31" s="1201" t="s">
        <v>1032</v>
      </c>
      <c r="B31" s="347" t="s">
        <v>1425</v>
      </c>
      <c r="C31" s="24">
        <f ca="1">ROUND(IF(项目基本情况!B11="自然人",C5*F31,C32+C33+C34),1)</f>
        <v>628.29999999999995</v>
      </c>
      <c r="D31" s="2967"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190.67</v>
      </c>
      <c r="D32" s="2968"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436.8</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0.86</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5757.07</v>
      </c>
      <c r="G35" s="1850"/>
      <c r="H35" s="745"/>
      <c r="I35" s="1859"/>
      <c r="J35" s="1860"/>
      <c r="K35" s="1861"/>
      <c r="L35" s="1858"/>
      <c r="M35" s="1858"/>
    </row>
    <row r="36" spans="1:18" ht="18" customHeight="1">
      <c r="A36" s="1352" t="s">
        <v>1036</v>
      </c>
      <c r="B36" s="347" t="s">
        <v>1445</v>
      </c>
      <c r="C36" s="24">
        <f ca="1">ROUND(C29*F36,1)</f>
        <v>207.3</v>
      </c>
      <c r="D36" s="2968"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8"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54.6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2729</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72484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22924</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-95543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50</v>
      </c>
      <c r="M47" s="1837" t="str">
        <f>IF(ISNUMBER(FIND("住宅",C1)),"住宅","非住宅")</f>
        <v>非住宅</v>
      </c>
      <c r="O47" s="1883" t="s">
        <v>1037</v>
      </c>
      <c r="P47" s="1884" t="s">
        <v>1524</v>
      </c>
      <c r="Q47" s="1885">
        <f ca="1">C40+J29</f>
        <v>72484</v>
      </c>
      <c r="R47" s="1885" t="s">
        <v>1525</v>
      </c>
    </row>
    <row r="48" spans="1:18" s="1841" customFormat="1" ht="40.200000000000003" thickBot="1">
      <c r="A48" s="1360" t="s">
        <v>1132</v>
      </c>
      <c r="B48" s="345" t="s">
        <v>1397</v>
      </c>
      <c r="C48" s="2961">
        <f ca="1">C49+C53+C55</f>
        <v>0</v>
      </c>
      <c r="D48" s="1362"/>
      <c r="E48" s="1363"/>
      <c r="F48" s="1181"/>
      <c r="G48" s="792"/>
      <c r="H48" s="793"/>
      <c r="I48" s="1886" t="s">
        <v>1526</v>
      </c>
      <c r="J48" s="1887" t="s">
        <v>3565</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13821</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27754</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71" t="s">
        <v>1544</v>
      </c>
      <c r="L53" s="3172"/>
      <c r="O53" s="1883" t="s">
        <v>1043</v>
      </c>
      <c r="P53" s="1884" t="s">
        <v>1545</v>
      </c>
      <c r="Q53" s="1885">
        <f ca="1">Q47+Q48</f>
        <v>72484</v>
      </c>
      <c r="R53" s="1885" t="s">
        <v>1044</v>
      </c>
    </row>
    <row r="54" spans="1:18" s="1841" customFormat="1" ht="24.6" thickBot="1">
      <c r="A54" s="1406"/>
      <c r="B54" s="1824" t="s">
        <v>1384</v>
      </c>
      <c r="C54" s="1178"/>
      <c r="D54" s="1823"/>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13821</v>
      </c>
      <c r="D56" s="1913"/>
      <c r="E56" s="1914"/>
      <c r="F56" s="1906"/>
      <c r="I56" s="1915" t="s">
        <v>1550</v>
      </c>
      <c r="J56" s="1916" t="s">
        <v>3107</v>
      </c>
      <c r="K56" s="1886" t="s">
        <v>1551</v>
      </c>
      <c r="L56" s="1889" t="str">
        <f ca="1">IF(L48&lt;J51,"——",L48-J53)</f>
        <v>——</v>
      </c>
      <c r="O56" s="1883" t="s">
        <v>1037</v>
      </c>
      <c r="P56" s="1884" t="s">
        <v>1524</v>
      </c>
      <c r="Q56" s="1885">
        <f ca="1">C40+J29</f>
        <v>72484</v>
      </c>
      <c r="R56" s="1885" t="s">
        <v>1525</v>
      </c>
    </row>
    <row r="57" spans="1:18" s="1841" customFormat="1" ht="24.6" thickBot="1">
      <c r="A57" s="1917"/>
      <c r="B57" s="1169" t="s">
        <v>1474</v>
      </c>
      <c r="C57" s="282">
        <f ca="1">C29</f>
        <v>13821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1161.8</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1160.96</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72484</v>
      </c>
      <c r="R62" s="1885" t="s">
        <v>1044</v>
      </c>
    </row>
    <row r="63" spans="1:18" s="1841" customFormat="1" ht="13.8" thickBot="1">
      <c r="A63" s="372"/>
      <c r="B63" s="1175"/>
      <c r="C63" s="29"/>
      <c r="D63" s="1185"/>
      <c r="E63" s="1169" t="s">
        <v>1443</v>
      </c>
      <c r="F63" s="348">
        <f t="shared" ca="1" si="0"/>
        <v>5757.07</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72484</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27754</v>
      </c>
      <c r="R67" s="1885" t="s">
        <v>1578</v>
      </c>
    </row>
    <row r="68" spans="1:18" s="1841" customFormat="1" ht="16.2" thickBot="1">
      <c r="A68" s="1166" t="s">
        <v>1029</v>
      </c>
      <c r="B68" s="1167" t="s">
        <v>1481</v>
      </c>
      <c r="C68" s="346">
        <f ca="1">ROUND(C67*(1-((1+F70)/(1+F68))^F69)/(F68-F70),0)</f>
        <v>-23059</v>
      </c>
      <c r="D68" s="1184" t="s">
        <v>1465</v>
      </c>
      <c r="E68" s="1169" t="s">
        <v>1466</v>
      </c>
      <c r="F68" s="357">
        <f ca="1">F40</f>
        <v>5.5E-2</v>
      </c>
      <c r="O68" s="1893" t="s">
        <v>1040</v>
      </c>
      <c r="P68" s="1933" t="s">
        <v>1579</v>
      </c>
      <c r="Q68" s="1885">
        <f ca="1">ROUND(Q69-Q70*Q71,0)</f>
        <v>1554</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2729</v>
      </c>
      <c r="R69" s="1885" t="s">
        <v>1525</v>
      </c>
    </row>
    <row r="70" spans="1:18" s="1841" customFormat="1" ht="13.8" thickBot="1">
      <c r="A70" s="1173"/>
      <c r="B70" s="1174"/>
      <c r="C70" s="355"/>
      <c r="D70" s="1185"/>
      <c r="E70" s="1169" t="s">
        <v>1473</v>
      </c>
      <c r="F70" s="1275"/>
      <c r="O70" s="1893" t="s">
        <v>1046</v>
      </c>
      <c r="P70" s="1933" t="s">
        <v>1581</v>
      </c>
      <c r="Q70" s="1885">
        <f ca="1">C13</f>
        <v>13821</v>
      </c>
      <c r="R70" s="1885" t="s">
        <v>1525</v>
      </c>
    </row>
    <row r="71" spans="1:18" s="1841" customFormat="1" ht="13.8" thickBot="1">
      <c r="A71" s="1190" t="s">
        <v>1030</v>
      </c>
      <c r="B71" s="1191" t="s">
        <v>1483</v>
      </c>
      <c r="C71" s="382">
        <f ca="1">ROUND(C68*10000/F71,0)</f>
        <v>-7293</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72484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0.56899999999999995</v>
      </c>
    </row>
    <row r="80" spans="1:18">
      <c r="B80" s="386" t="s">
        <v>1507</v>
      </c>
      <c r="C80" s="318">
        <f ca="1">ROUND(C75/C39,3)</f>
        <v>0.43099999999999999</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3561</v>
      </c>
      <c r="E1" s="1820" t="s">
        <v>1383</v>
      </c>
      <c r="F1" s="1283">
        <f ca="1">J53</f>
        <v>45.480000000000004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7935</v>
      </c>
      <c r="C2" s="1844" t="s">
        <v>1512</v>
      </c>
      <c r="D2" s="1844"/>
      <c r="E2" s="1845"/>
      <c r="F2" s="1846"/>
      <c r="G2" s="1847"/>
      <c r="H2" s="1839"/>
      <c r="I2" s="1839"/>
      <c r="J2" s="1839"/>
      <c r="K2" s="1840"/>
      <c r="L2" s="1839"/>
      <c r="M2" s="1839"/>
    </row>
    <row r="3" spans="1:37" ht="18" customHeight="1" thickBot="1">
      <c r="A3" s="1848" t="s">
        <v>1513</v>
      </c>
      <c r="B3" s="1849">
        <f ca="1">IF(ISERROR(B2*10000/F43),0,ROUND(B2*10000/F43,0))</f>
        <v>4426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553</v>
      </c>
      <c r="D5" s="1821" t="s">
        <v>1398</v>
      </c>
      <c r="E5" s="1293"/>
      <c r="F5" s="1294"/>
      <c r="G5" s="1850"/>
      <c r="H5" s="344">
        <v>1</v>
      </c>
      <c r="I5" s="345" t="s">
        <v>1397</v>
      </c>
      <c r="J5" s="1292">
        <f ca="1">J6+J10+J12</f>
        <v>0</v>
      </c>
      <c r="K5" s="1821" t="s">
        <v>1398</v>
      </c>
      <c r="L5" s="1293"/>
      <c r="M5" s="1294"/>
    </row>
    <row r="6" spans="1:37" ht="18" customHeight="1">
      <c r="A6" s="1291" t="s">
        <v>1032</v>
      </c>
      <c r="B6" s="3168" t="s">
        <v>1399</v>
      </c>
      <c r="C6" s="1296">
        <f ca="1">ROUND(F6*F8*F7*(1-F9)/10000,0)</f>
        <v>553</v>
      </c>
      <c r="D6" s="164" t="s">
        <v>3031</v>
      </c>
      <c r="E6" s="347" t="s">
        <v>1401</v>
      </c>
      <c r="F6" s="348">
        <f ca="1">INDIRECT("'数据-取费表'!u"&amp;$G$1)</f>
        <v>1000</v>
      </c>
      <c r="G6" s="1850"/>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4" t="s">
        <v>1402</v>
      </c>
      <c r="F7" s="348">
        <f ca="1">IF(INDIRECT("'数据-取费表'!ah"&amp;$G$1)="",INDIRECT("'数据-取费表'!k"&amp;$G$1),INDIRECT("'数据-取费表'!ah"&amp;$G$1))</f>
        <v>512</v>
      </c>
      <c r="G7" s="1850"/>
      <c r="H7" s="349"/>
      <c r="I7" s="3169"/>
      <c r="J7" s="351"/>
      <c r="K7" s="352"/>
      <c r="L7" s="347" t="s">
        <v>1402</v>
      </c>
      <c r="M7" s="348">
        <f ca="1">F7</f>
        <v>512</v>
      </c>
    </row>
    <row r="8" spans="1:37" ht="18" customHeight="1">
      <c r="A8" s="349"/>
      <c r="B8" s="3169"/>
      <c r="C8" s="351"/>
      <c r="D8" s="352"/>
      <c r="E8" s="347" t="s">
        <v>1403</v>
      </c>
      <c r="F8" s="348">
        <f ca="1">INDIRECT("'数据-取费表'!ai"&amp;$G$1)</f>
        <v>12</v>
      </c>
      <c r="G8" s="1850"/>
      <c r="H8" s="349"/>
      <c r="I8" s="3169"/>
      <c r="J8" s="351"/>
      <c r="K8" s="352"/>
      <c r="L8" s="347" t="s">
        <v>1403</v>
      </c>
      <c r="M8" s="348">
        <f ca="1">INDIRECT("'数据-取费表'!ai"&amp;$G$1)</f>
        <v>12</v>
      </c>
    </row>
    <row r="9" spans="1:37" ht="18" customHeight="1">
      <c r="A9" s="349"/>
      <c r="B9" s="3170"/>
      <c r="C9" s="351"/>
      <c r="D9" s="352"/>
      <c r="E9" s="347" t="s">
        <v>1404</v>
      </c>
      <c r="F9" s="357">
        <f ca="1">INDIRECT("'数据-取费表'!w"&amp;$G$1)</f>
        <v>0.1</v>
      </c>
      <c r="G9" s="1850"/>
      <c r="H9" s="349"/>
      <c r="I9" s="317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t="s">
        <v>3562</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5449</v>
      </c>
      <c r="D14" s="2967" t="s">
        <v>1414</v>
      </c>
      <c r="E14" s="2966"/>
      <c r="F14" s="364"/>
      <c r="G14" s="1850"/>
      <c r="H14" s="1201" t="s">
        <v>1032</v>
      </c>
      <c r="I14" s="347" t="s">
        <v>1415</v>
      </c>
      <c r="J14" s="24">
        <f ca="1">C29</f>
        <v>7494</v>
      </c>
      <c r="K14" s="2963"/>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9"/>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7"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8"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6057</v>
      </c>
      <c r="D19" s="140" t="s">
        <v>1432</v>
      </c>
      <c r="E19" s="2962"/>
      <c r="F19" s="26"/>
      <c r="G19" s="1850"/>
      <c r="H19" s="1201" t="s">
        <v>1033</v>
      </c>
      <c r="I19" s="347" t="s">
        <v>1433</v>
      </c>
      <c r="J19" s="24">
        <f ca="1">IF(K19="按租金收入计税",ROUND(J5*M19,2),ROUND(C29*M19*0.7,2))</f>
        <v>62.95</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2"/>
      <c r="F22" s="26"/>
      <c r="G22" s="1850"/>
      <c r="H22" s="1201" t="s">
        <v>1036</v>
      </c>
      <c r="I22" s="347" t="s">
        <v>1445</v>
      </c>
      <c r="J22" s="24">
        <f ca="1">ROUND(J14*M22,1)</f>
        <v>112.4</v>
      </c>
      <c r="K22" s="2968"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8"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2"/>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7494</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228</v>
      </c>
      <c r="D30" s="1337" t="s">
        <v>1421</v>
      </c>
      <c r="E30" s="2969"/>
      <c r="F30" s="1294"/>
      <c r="G30" s="1850"/>
      <c r="H30" s="745"/>
      <c r="I30" s="746"/>
      <c r="J30" s="747"/>
      <c r="K30" s="748"/>
      <c r="L30" s="749"/>
      <c r="M30" s="750"/>
    </row>
    <row r="31" spans="1:37" ht="18" customHeight="1">
      <c r="A31" s="1201" t="s">
        <v>1032</v>
      </c>
      <c r="B31" s="347" t="s">
        <v>1425</v>
      </c>
      <c r="C31" s="24">
        <f ca="1">ROUND(IF(项目基本情况!B11="自然人",C5*F31,C32+C33+C34),1)</f>
        <v>95.8</v>
      </c>
      <c r="D31" s="2967"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28.97</v>
      </c>
      <c r="D32" s="2968"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66.36</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0.49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3264.12</v>
      </c>
      <c r="G35" s="1850"/>
      <c r="H35" s="745"/>
      <c r="I35" s="1859"/>
      <c r="J35" s="1860"/>
      <c r="K35" s="1861"/>
      <c r="L35" s="1858"/>
      <c r="M35" s="1858"/>
    </row>
    <row r="36" spans="1:18" ht="18" customHeight="1">
      <c r="A36" s="1352" t="s">
        <v>1036</v>
      </c>
      <c r="B36" s="347" t="s">
        <v>1445</v>
      </c>
      <c r="C36" s="24">
        <f ca="1">ROUND(C29*F36,1)</f>
        <v>112.4</v>
      </c>
      <c r="D36" s="2968"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8"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8.3000000000000007</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325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7935</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4426</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15.498046875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-21375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50</v>
      </c>
      <c r="M47" s="1837" t="str">
        <f>IF(ISNUMBER(FIND("住宅",C1)),"住宅","非住宅")</f>
        <v>非住宅</v>
      </c>
      <c r="O47" s="1883" t="s">
        <v>1037</v>
      </c>
      <c r="P47" s="1884" t="s">
        <v>1524</v>
      </c>
      <c r="Q47" s="1885">
        <f ca="1">C40+J29</f>
        <v>7935</v>
      </c>
      <c r="R47" s="1885" t="s">
        <v>1525</v>
      </c>
    </row>
    <row r="48" spans="1:18" s="1841" customFormat="1" ht="40.200000000000003" thickBot="1">
      <c r="A48" s="1360" t="s">
        <v>1132</v>
      </c>
      <c r="B48" s="345" t="s">
        <v>1397</v>
      </c>
      <c r="C48" s="2961">
        <f ca="1">C49+C53+C55</f>
        <v>0</v>
      </c>
      <c r="D48" s="1362"/>
      <c r="E48" s="1363"/>
      <c r="F48" s="1181"/>
      <c r="G48" s="792"/>
      <c r="H48" s="793"/>
      <c r="I48" s="1886" t="s">
        <v>1526</v>
      </c>
      <c r="J48" s="1887" t="s">
        <v>3565</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7494</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-6009</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71" t="s">
        <v>1544</v>
      </c>
      <c r="L53" s="3172"/>
      <c r="O53" s="1883" t="s">
        <v>1043</v>
      </c>
      <c r="P53" s="1884" t="s">
        <v>1545</v>
      </c>
      <c r="Q53" s="1885">
        <f ca="1">Q47+Q48</f>
        <v>7935</v>
      </c>
      <c r="R53" s="1885" t="s">
        <v>1044</v>
      </c>
    </row>
    <row r="54" spans="1:18" s="1841" customFormat="1" ht="24.6" thickBot="1">
      <c r="A54" s="1406"/>
      <c r="B54" s="1824" t="s">
        <v>1384</v>
      </c>
      <c r="C54" s="1178"/>
      <c r="D54" s="1823"/>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7494</v>
      </c>
      <c r="D56" s="1913"/>
      <c r="E56" s="1914"/>
      <c r="F56" s="1906"/>
      <c r="I56" s="1915" t="s">
        <v>1550</v>
      </c>
      <c r="J56" s="1916" t="s">
        <v>3107</v>
      </c>
      <c r="K56" s="1886" t="s">
        <v>1551</v>
      </c>
      <c r="L56" s="1889" t="str">
        <f ca="1">IF(L48&lt;J51,"——",L48-J53)</f>
        <v>——</v>
      </c>
      <c r="O56" s="1883" t="s">
        <v>1037</v>
      </c>
      <c r="P56" s="1884" t="s">
        <v>1524</v>
      </c>
      <c r="Q56" s="1885">
        <f ca="1">C40+J29</f>
        <v>7935</v>
      </c>
      <c r="R56" s="1885" t="s">
        <v>1525</v>
      </c>
    </row>
    <row r="57" spans="1:18" s="1841" customFormat="1" ht="24.6" thickBot="1">
      <c r="A57" s="1917"/>
      <c r="B57" s="1169" t="s">
        <v>1474</v>
      </c>
      <c r="C57" s="282">
        <f ca="1">C29</f>
        <v>7494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630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629.5</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7935</v>
      </c>
      <c r="R62" s="1885" t="s">
        <v>1044</v>
      </c>
    </row>
    <row r="63" spans="1:18" s="1841" customFormat="1" ht="13.8" thickBot="1">
      <c r="A63" s="372"/>
      <c r="B63" s="1175"/>
      <c r="C63" s="29"/>
      <c r="D63" s="1185"/>
      <c r="E63" s="1169" t="s">
        <v>1443</v>
      </c>
      <c r="F63" s="348">
        <f t="shared" ca="1" si="0"/>
        <v>3264.12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7935</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-754</v>
      </c>
      <c r="D67" s="1182" t="s">
        <v>1460</v>
      </c>
      <c r="E67" s="1187"/>
      <c r="F67" s="1188"/>
      <c r="O67" s="1893" t="s">
        <v>1039</v>
      </c>
      <c r="P67" s="1884" t="s">
        <v>1558</v>
      </c>
      <c r="Q67" s="1932">
        <f ca="1">L51</f>
        <v>-6009</v>
      </c>
      <c r="R67" s="1885" t="s">
        <v>1578</v>
      </c>
    </row>
    <row r="68" spans="1:18" s="1841" customFormat="1" ht="16.2" thickBot="1">
      <c r="A68" s="1166" t="s">
        <v>1029</v>
      </c>
      <c r="B68" s="1167" t="s">
        <v>1481</v>
      </c>
      <c r="C68" s="346">
        <f ca="1">ROUND(C67*(1-((1+F70)/(1+F68))^F69)/(F68-F70),0)</f>
        <v>-13440</v>
      </c>
      <c r="D68" s="1184" t="s">
        <v>1465</v>
      </c>
      <c r="E68" s="1169" t="s">
        <v>1466</v>
      </c>
      <c r="F68" s="357">
        <f ca="1">F40</f>
        <v>0.05</v>
      </c>
      <c r="O68" s="1893" t="s">
        <v>1040</v>
      </c>
      <c r="P68" s="1933" t="s">
        <v>1579</v>
      </c>
      <c r="Q68" s="1885">
        <f ca="1">ROUND(Q69-Q70*Q71,0)</f>
        <v>-312</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325</v>
      </c>
      <c r="R69" s="1885" t="s">
        <v>1525</v>
      </c>
    </row>
    <row r="70" spans="1:18" s="1841" customFormat="1" ht="13.8" thickBot="1">
      <c r="A70" s="1173"/>
      <c r="B70" s="1174"/>
      <c r="C70" s="355"/>
      <c r="D70" s="1185"/>
      <c r="E70" s="1169" t="s">
        <v>1473</v>
      </c>
      <c r="F70" s="1275"/>
      <c r="O70" s="1893" t="s">
        <v>1046</v>
      </c>
      <c r="P70" s="1933" t="s">
        <v>1581</v>
      </c>
      <c r="Q70" s="1885">
        <f ca="1">C13</f>
        <v>7494</v>
      </c>
      <c r="R70" s="1885" t="s">
        <v>1525</v>
      </c>
    </row>
    <row r="71" spans="1:18" s="1841" customFormat="1" ht="13.8" thickBot="1">
      <c r="A71" s="1190" t="s">
        <v>1030</v>
      </c>
      <c r="B71" s="1191" t="s">
        <v>1483</v>
      </c>
      <c r="C71" s="382">
        <f ca="1">ROUND(C68*10000/F71,0)</f>
        <v>-7497</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7935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-0.96</v>
      </c>
    </row>
    <row r="80" spans="1:18">
      <c r="B80" s="386" t="s">
        <v>1507</v>
      </c>
      <c r="C80" s="318">
        <f ca="1">ROUND(C75/C39,3)</f>
        <v>1.96</v>
      </c>
    </row>
    <row r="81" spans="2:3">
      <c r="B81" s="314" t="s">
        <v>1508</v>
      </c>
      <c r="C81" s="282"/>
    </row>
    <row r="82" spans="2:3">
      <c r="B82" s="317" t="s">
        <v>1509</v>
      </c>
      <c r="C82" s="319">
        <f ca="1">1-C83</f>
        <v>5.600000000000005E-2</v>
      </c>
    </row>
    <row r="83" spans="2:3">
      <c r="B83" s="317" t="s">
        <v>1510</v>
      </c>
      <c r="C83" s="318">
        <f ca="1">ROUND(C13/C40,3)</f>
        <v>0.94399999999999995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3561</v>
      </c>
      <c r="E1" s="1820" t="s">
        <v>1383</v>
      </c>
      <c r="F1" s="1283">
        <f ca="1">J53</f>
        <v>35.470000000000006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33985</v>
      </c>
      <c r="C2" s="1844" t="s">
        <v>1512</v>
      </c>
      <c r="D2" s="1844"/>
      <c r="E2" s="1845"/>
      <c r="F2" s="1846"/>
      <c r="G2" s="1847"/>
      <c r="H2" s="1839"/>
      <c r="I2" s="1839"/>
      <c r="J2" s="1839"/>
      <c r="K2" s="1840"/>
      <c r="L2" s="1839"/>
      <c r="M2" s="1839"/>
    </row>
    <row r="3" spans="1:37" ht="18" customHeight="1" thickBot="1">
      <c r="A3" s="1848" t="s">
        <v>1513</v>
      </c>
      <c r="B3" s="1849">
        <f ca="1">IF(ISERROR(B2*10000/F43),0,ROUND(B2*10000/F43,0))</f>
        <v>21559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2105</v>
      </c>
      <c r="D5" s="1821" t="s">
        <v>1398</v>
      </c>
      <c r="E5" s="1293"/>
      <c r="F5" s="1294"/>
      <c r="G5" s="1850"/>
      <c r="H5" s="344">
        <v>1</v>
      </c>
      <c r="I5" s="345" t="s">
        <v>1397</v>
      </c>
      <c r="J5" s="1292">
        <f ca="1">J6+J10+J12</f>
        <v>0</v>
      </c>
      <c r="K5" s="1821" t="s">
        <v>1398</v>
      </c>
      <c r="L5" s="1293"/>
      <c r="M5" s="1294"/>
    </row>
    <row r="6" spans="1:37" ht="18" customHeight="1">
      <c r="A6" s="1291" t="s">
        <v>1032</v>
      </c>
      <c r="B6" s="3168" t="s">
        <v>1399</v>
      </c>
      <c r="C6" s="1296">
        <f ca="1">ROUND(F6*F8*F7*(1-F9)/10000,0)</f>
        <v>2102</v>
      </c>
      <c r="D6" s="164" t="s">
        <v>3031</v>
      </c>
      <c r="E6" s="347" t="s">
        <v>1401</v>
      </c>
      <c r="F6" s="348">
        <f ca="1">INDIRECT("'数据-取费表'!u"&amp;$G$1)</f>
        <v>4.0599999999999996</v>
      </c>
      <c r="G6" s="1850"/>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1298" t="s">
        <v>1402</v>
      </c>
      <c r="F7" s="348">
        <f ca="1">IF(INDIRECT("'数据-取费表'!ah"&amp;$G$1)="",INDIRECT("'数据-取费表'!k"&amp;$G$1),INDIRECT("'数据-取费表'!ah"&amp;$G$1))</f>
        <v>15763.72</v>
      </c>
      <c r="G7" s="1850"/>
      <c r="H7" s="349"/>
      <c r="I7" s="3169"/>
      <c r="J7" s="351"/>
      <c r="K7" s="352"/>
      <c r="L7" s="347" t="s">
        <v>1402</v>
      </c>
      <c r="M7" s="348">
        <f ca="1">F7</f>
        <v>15763.72</v>
      </c>
    </row>
    <row r="8" spans="1:37" ht="18" customHeight="1">
      <c r="A8" s="349"/>
      <c r="B8" s="3169"/>
      <c r="C8" s="351"/>
      <c r="D8" s="352"/>
      <c r="E8" s="347" t="s">
        <v>1403</v>
      </c>
      <c r="F8" s="348">
        <f ca="1">INDIRECT("'数据-取费表'!ai"&amp;$G$1)</f>
        <v>365</v>
      </c>
      <c r="G8" s="1850"/>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0"/>
      <c r="H9" s="349"/>
      <c r="I9" s="3170"/>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3040</v>
      </c>
      <c r="E10" s="358" t="s">
        <v>1406</v>
      </c>
      <c r="F10" s="1366" t="s">
        <v>3568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2870.1299999999997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509</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363.3</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110.26</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252.6</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0.43</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2870.1299999999997</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31.6</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1596</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33985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35.470000000000006</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21559</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-44073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40</v>
      </c>
      <c r="M47" s="1837" t="str">
        <f>IF(ISNUMBER(FIND("住宅",C1)),"住宅","非住宅")</f>
        <v>非住宅</v>
      </c>
      <c r="O47" s="1883" t="s">
        <v>1037</v>
      </c>
      <c r="P47" s="1884" t="s">
        <v>1524</v>
      </c>
      <c r="Q47" s="1885">
        <f ca="1">C40+J29</f>
        <v>33985</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3565</v>
      </c>
      <c r="K48" s="1888" t="s">
        <v>1527</v>
      </c>
      <c r="L48" s="1889">
        <f ca="1">INDIRECT("'数据-取费表'!f"&amp;$G$1)</f>
        <v>35.770000000000003</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3032</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15664</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35.470000000000006</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35.470000000000006</v>
      </c>
      <c r="K53" s="3171" t="s">
        <v>1544</v>
      </c>
      <c r="L53" s="3172"/>
      <c r="O53" s="1883" t="s">
        <v>1043</v>
      </c>
      <c r="P53" s="1884" t="s">
        <v>1545</v>
      </c>
      <c r="Q53" s="1885">
        <f ca="1">Q47+Q48</f>
        <v>33985</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3107</v>
      </c>
      <c r="K56" s="1886" t="s">
        <v>1551</v>
      </c>
      <c r="L56" s="1889" t="str">
        <f ca="1">IF(L48&lt;J51,"——",L48-J53)</f>
        <v>——</v>
      </c>
      <c r="O56" s="1883" t="s">
        <v>1037</v>
      </c>
      <c r="P56" s="1884" t="s">
        <v>1524</v>
      </c>
      <c r="Q56" s="1885">
        <f ca="1">C40+J29</f>
        <v>33985</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33985</v>
      </c>
      <c r="R62" s="1885" t="s">
        <v>1044</v>
      </c>
    </row>
    <row r="63" spans="1:18" s="1841" customFormat="1" ht="13.8" thickBot="1">
      <c r="A63" s="372"/>
      <c r="B63" s="1175"/>
      <c r="C63" s="29"/>
      <c r="D63" s="1185"/>
      <c r="E63" s="1169" t="s">
        <v>1495</v>
      </c>
      <c r="F63" s="348">
        <f t="shared" ca="1" si="0"/>
        <v>2870.1299999999997</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33985</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15664</v>
      </c>
      <c r="R67" s="1885" t="s">
        <v>1578</v>
      </c>
    </row>
    <row r="68" spans="1:18" s="1841" customFormat="1" ht="16.2" thickBot="1">
      <c r="A68" s="1166" t="s">
        <v>1029</v>
      </c>
      <c r="B68" s="1167" t="s">
        <v>1481</v>
      </c>
      <c r="C68" s="346">
        <f ca="1">ROUND(C67*(1-((1+F70)/(1+F68))^F69)/(F68-F70),0)</f>
        <v>-10088</v>
      </c>
      <c r="D68" s="1184" t="s">
        <v>1465</v>
      </c>
      <c r="E68" s="1169" t="s">
        <v>1466</v>
      </c>
      <c r="F68" s="357">
        <f ca="1">F40</f>
        <v>0.06</v>
      </c>
      <c r="O68" s="1893" t="s">
        <v>1040</v>
      </c>
      <c r="P68" s="1933" t="s">
        <v>1579</v>
      </c>
      <c r="Q68" s="1885">
        <f ca="1">ROUND(Q69-Q70*Q71,0)</f>
        <v>1010</v>
      </c>
      <c r="R68" s="1885" t="s">
        <v>1048</v>
      </c>
    </row>
    <row r="69" spans="1:18" s="1841" customFormat="1" ht="13.8" thickBot="1">
      <c r="A69" s="1170"/>
      <c r="B69" s="1171"/>
      <c r="C69" s="351"/>
      <c r="D69" s="1189" t="s">
        <v>1469</v>
      </c>
      <c r="E69" s="1169" t="s">
        <v>1470</v>
      </c>
      <c r="F69" s="379">
        <f ca="1">F41</f>
        <v>35.470000000000006</v>
      </c>
      <c r="O69" s="1893" t="s">
        <v>1045</v>
      </c>
      <c r="P69" s="1933" t="s">
        <v>1580</v>
      </c>
      <c r="Q69" s="1885">
        <f ca="1">C39</f>
        <v>1596</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-6400</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33985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0.63300000000000001</v>
      </c>
    </row>
    <row r="80" spans="1:18">
      <c r="B80" s="386" t="s">
        <v>1507</v>
      </c>
      <c r="C80" s="318">
        <f ca="1">ROUND(C75/C39,3)</f>
        <v>0.36699999999999999</v>
      </c>
    </row>
    <row r="81" spans="2:3">
      <c r="B81" s="314" t="s">
        <v>1508</v>
      </c>
      <c r="C81" s="282"/>
    </row>
    <row r="82" spans="2:3">
      <c r="B82" s="317" t="s">
        <v>1509</v>
      </c>
      <c r="C82" s="319">
        <f ca="1">1-C83</f>
        <v>0.79699999999999993</v>
      </c>
    </row>
    <row r="83" spans="2:3">
      <c r="B83" s="317" t="s">
        <v>1510</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68" t="s">
        <v>1399</v>
      </c>
      <c r="C6" s="1296">
        <f ca="1">ROUND(F6*F8*F7*(1-F9),0)</f>
        <v>0</v>
      </c>
      <c r="D6" s="164" t="s">
        <v>3028</v>
      </c>
      <c r="E6" s="347" t="s">
        <v>1401</v>
      </c>
      <c r="F6" s="348">
        <f ca="1">INDIRECT("'数据-取费表'!u"&amp;$G$1)</f>
        <v>0</v>
      </c>
      <c r="G6" s="1850"/>
      <c r="H6" s="1291" t="s">
        <v>1032</v>
      </c>
      <c r="I6" s="3168" t="s">
        <v>1399</v>
      </c>
      <c r="J6" s="346">
        <f ca="1">ROUND(M6*M8*M7*(1-M9),0)</f>
        <v>0</v>
      </c>
      <c r="K6" s="1833" t="s">
        <v>3029</v>
      </c>
      <c r="L6" s="347" t="s">
        <v>1401</v>
      </c>
      <c r="M6" s="348">
        <f ca="1">INDIRECT("'数据-取费表'!z"&amp;$G$1)</f>
        <v>0</v>
      </c>
    </row>
    <row r="7" spans="1:37" ht="18" customHeight="1">
      <c r="A7" s="1295"/>
      <c r="B7" s="3169"/>
      <c r="C7" s="1297"/>
      <c r="D7" s="352"/>
      <c r="E7" s="1298" t="s">
        <v>1402</v>
      </c>
      <c r="F7" s="348">
        <f ca="1">IF(INDIRECT("'数据-取费表'!ah"&amp;$G$1)="",INDIRECT("'数据-取费表'!k"&amp;$G$1),INDIRECT("'数据-取费表'!ah"&amp;$G$1))</f>
        <v>0</v>
      </c>
      <c r="G7" s="1850"/>
      <c r="H7" s="349"/>
      <c r="I7" s="3169"/>
      <c r="J7" s="351"/>
      <c r="K7" s="352"/>
      <c r="L7" s="347" t="s">
        <v>1402</v>
      </c>
      <c r="M7" s="348">
        <f ca="1">F7</f>
        <v>0</v>
      </c>
    </row>
    <row r="8" spans="1:37" ht="18" customHeight="1">
      <c r="A8" s="349"/>
      <c r="B8" s="3169"/>
      <c r="C8" s="351"/>
      <c r="D8" s="352"/>
      <c r="E8" s="347" t="s">
        <v>1403</v>
      </c>
      <c r="F8" s="348">
        <f ca="1">INDIRECT("'数据-取费表'!ai"&amp;$G$1)</f>
        <v>0</v>
      </c>
      <c r="G8" s="1850"/>
      <c r="H8" s="349"/>
      <c r="I8" s="3169"/>
      <c r="J8" s="351"/>
      <c r="K8" s="352"/>
      <c r="L8" s="347" t="s">
        <v>1403</v>
      </c>
      <c r="M8" s="348">
        <f ca="1">INDIRECT("'数据-取费表'!ai"&amp;$G$1)</f>
        <v>0</v>
      </c>
    </row>
    <row r="9" spans="1:37" ht="18" customHeight="1">
      <c r="A9" s="349"/>
      <c r="B9" s="3170"/>
      <c r="C9" s="351"/>
      <c r="D9" s="352"/>
      <c r="E9" s="347" t="s">
        <v>1404</v>
      </c>
      <c r="F9" s="357">
        <f ca="1">INDIRECT("'数据-取费表'!w"&amp;$G$1)</f>
        <v>0</v>
      </c>
      <c r="G9" s="1850"/>
      <c r="H9" s="349"/>
      <c r="I9" s="317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c r="G10" s="1850"/>
      <c r="H10" s="1291" t="s">
        <v>1036</v>
      </c>
      <c r="I10" s="1822" t="s">
        <v>1405</v>
      </c>
      <c r="J10" s="346">
        <f ca="1">ROUND(IF(M10="押一",J6/12*M11,IF(M10="押二",J6/12*2*M11,IF(M10="押三",J6/12*3*M11,J11*M11))),0)</f>
        <v>0</v>
      </c>
      <c r="K10" s="1834" t="s">
        <v>3041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3042</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71" t="s">
        <v>1544</v>
      </c>
      <c r="L53" s="3172"/>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114404</v>
      </c>
      <c r="C2" s="2567" t="s">
        <v>2517</v>
      </c>
      <c r="D2" s="2568" t="s">
        <v>2518</v>
      </c>
      <c r="E2" s="2569">
        <f>SUM(E6:E13)</f>
        <v>66168.81</v>
      </c>
    </row>
    <row r="3" spans="1:6" ht="15.6">
      <c r="A3" s="2565" t="s">
        <v>1391</v>
      </c>
      <c r="B3" s="2566">
        <f ca="1">ROUND(B2*10000/E2,0)</f>
        <v>17290</v>
      </c>
      <c r="C3" s="2567" t="s">
        <v>2525</v>
      </c>
      <c r="D3" s="2570"/>
      <c r="E3" s="2571"/>
    </row>
    <row r="4" spans="1:6" ht="15.6">
      <c r="A4" s="2572"/>
      <c r="B4" s="2570"/>
      <c r="C4" s="2570"/>
      <c r="D4" s="2570"/>
      <c r="E4" s="2571"/>
    </row>
    <row r="5" spans="1:6" ht="14.4">
      <c r="A5" s="2573" t="s">
        <v>2519</v>
      </c>
      <c r="B5" s="3173" t="s">
        <v>2520</v>
      </c>
      <c r="C5" s="3173"/>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t="str">
        <f>'数据-取费表'!AN8</f>
        <v>收益法-办公自持</v>
      </c>
      <c r="B8" s="2576">
        <f ca="1">IF(F8="是",'数据-取费表'!AO8,0)</f>
        <v>72484</v>
      </c>
      <c r="C8" s="2567" t="s">
        <v>2517</v>
      </c>
      <c r="D8" s="2570"/>
      <c r="E8" s="2578">
        <f>IF(OR(A8=0,F8="否"),0,'数据-取费表'!K8+'数据-取费表'!S8)</f>
        <v>32034.98</v>
      </c>
      <c r="F8" s="2579" t="s">
        <v>2523</v>
      </c>
    </row>
    <row r="9" spans="1:6" ht="14.4">
      <c r="A9" s="2577" t="str">
        <f>'数据-取费表'!AN9</f>
        <v>收益法-商业</v>
      </c>
      <c r="B9" s="2576">
        <f ca="1">IF(F9="是",'数据-取费表'!AO9,0)</f>
        <v>33985</v>
      </c>
      <c r="C9" s="2567" t="s">
        <v>2517</v>
      </c>
      <c r="D9" s="2570"/>
      <c r="E9" s="2578">
        <f>IF(OR(A9=0,F9="否"),0,'数据-取费表'!K9+'数据-取费表'!S9)</f>
        <v>15970.74</v>
      </c>
      <c r="F9" s="2579" t="s">
        <v>2523</v>
      </c>
    </row>
    <row r="10" spans="1:6" ht="14.4">
      <c r="A10" s="2577" t="str">
        <f>'数据-取费表'!AN10</f>
        <v>收益法-地下车库</v>
      </c>
      <c r="B10" s="2576">
        <f ca="1">IF(F10="是",'数据-取费表'!AO10,0)</f>
        <v>7935</v>
      </c>
      <c r="C10" s="2567" t="s">
        <v>2517</v>
      </c>
      <c r="D10" s="2570"/>
      <c r="E10" s="2578">
        <f>IF(OR(A10=0,F10="否"),0,'数据-取费表'!K10+'数据-取费表'!S10)</f>
        <v>18163.09</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4" t="s">
        <v>1073</v>
      </c>
      <c r="B1" s="3175"/>
      <c r="C1" s="3176"/>
      <c r="D1" s="3177">
        <f>SUM(I10,I15,I20,I21,I23)</f>
        <v>0</v>
      </c>
      <c r="E1" s="3177"/>
      <c r="F1" s="3177"/>
      <c r="G1" s="3177"/>
      <c r="H1" s="3177"/>
      <c r="I1" s="3178"/>
    </row>
    <row r="2" spans="1:9">
      <c r="A2" s="3179" t="s">
        <v>1074</v>
      </c>
      <c r="B2" s="3180" t="s">
        <v>1075</v>
      </c>
      <c r="C2" s="3180"/>
      <c r="D2" s="1301" t="s">
        <v>1076</v>
      </c>
      <c r="E2" s="1301" t="s">
        <v>1077</v>
      </c>
      <c r="F2" s="1301" t="s">
        <v>1078</v>
      </c>
      <c r="G2" s="1301" t="s">
        <v>1079</v>
      </c>
      <c r="H2" s="1301" t="s">
        <v>1080</v>
      </c>
      <c r="I2" s="1302" t="s">
        <v>1081</v>
      </c>
    </row>
    <row r="3" spans="1:9">
      <c r="A3" s="3179"/>
      <c r="B3" s="3180" t="s">
        <v>1082</v>
      </c>
      <c r="C3" s="3180"/>
      <c r="D3" s="1303"/>
      <c r="E3" s="1301"/>
      <c r="F3" s="1304"/>
      <c r="G3" s="1304"/>
      <c r="H3" s="1305"/>
      <c r="I3" s="1306">
        <f>ROUND(D3*E3*F3*G3*H3/10000,0)</f>
        <v>0</v>
      </c>
    </row>
    <row r="4" spans="1:9">
      <c r="A4" s="3179"/>
      <c r="B4" s="3180" t="s">
        <v>1083</v>
      </c>
      <c r="C4" s="3180"/>
      <c r="D4" s="1303"/>
      <c r="E4" s="1301"/>
      <c r="F4" s="1304"/>
      <c r="G4" s="1304"/>
      <c r="H4" s="1305"/>
      <c r="I4" s="1306">
        <f t="shared" ref="I4:I9" si="0">ROUND(D4*E4*F4*G4*H4/10000,0)</f>
        <v>0</v>
      </c>
    </row>
    <row r="5" spans="1:9">
      <c r="A5" s="3179"/>
      <c r="B5" s="3180" t="s">
        <v>1084</v>
      </c>
      <c r="C5" s="3180"/>
      <c r="D5" s="1303"/>
      <c r="E5" s="1301"/>
      <c r="F5" s="1304"/>
      <c r="G5" s="1304"/>
      <c r="H5" s="1305"/>
      <c r="I5" s="1306">
        <f t="shared" si="0"/>
        <v>0</v>
      </c>
    </row>
    <row r="6" spans="1:9">
      <c r="A6" s="3179"/>
      <c r="B6" s="3180" t="s">
        <v>1085</v>
      </c>
      <c r="C6" s="3180"/>
      <c r="D6" s="1303"/>
      <c r="E6" s="1301"/>
      <c r="F6" s="1304"/>
      <c r="G6" s="1304"/>
      <c r="H6" s="1305"/>
      <c r="I6" s="1306">
        <f t="shared" si="0"/>
        <v>0</v>
      </c>
    </row>
    <row r="7" spans="1:9">
      <c r="A7" s="3179"/>
      <c r="B7" s="3180" t="s">
        <v>1086</v>
      </c>
      <c r="C7" s="3180"/>
      <c r="D7" s="1303"/>
      <c r="E7" s="1301"/>
      <c r="F7" s="1304"/>
      <c r="G7" s="1304"/>
      <c r="H7" s="1305"/>
      <c r="I7" s="1306">
        <f t="shared" si="0"/>
        <v>0</v>
      </c>
    </row>
    <row r="8" spans="1:9">
      <c r="A8" s="3179"/>
      <c r="B8" s="3180" t="s">
        <v>1087</v>
      </c>
      <c r="C8" s="3180"/>
      <c r="D8" s="1303"/>
      <c r="E8" s="1301"/>
      <c r="F8" s="1304"/>
      <c r="G8" s="1304"/>
      <c r="H8" s="1305"/>
      <c r="I8" s="1306">
        <f t="shared" si="0"/>
        <v>0</v>
      </c>
    </row>
    <row r="9" spans="1:9">
      <c r="A9" s="3179"/>
      <c r="B9" s="3180" t="s">
        <v>1088</v>
      </c>
      <c r="C9" s="3180"/>
      <c r="D9" s="1303"/>
      <c r="E9" s="1301"/>
      <c r="F9" s="1304"/>
      <c r="G9" s="1304"/>
      <c r="H9" s="1305"/>
      <c r="I9" s="1306">
        <f t="shared" si="0"/>
        <v>0</v>
      </c>
    </row>
    <row r="10" spans="1:9">
      <c r="A10" s="3179"/>
      <c r="B10" s="3181" t="s">
        <v>1089</v>
      </c>
      <c r="C10" s="3181"/>
      <c r="D10" s="1307"/>
      <c r="E10" s="1307" t="e">
        <f>ROUND(D1*10000/D10/H9,0)</f>
        <v>#DIV/0!</v>
      </c>
      <c r="F10" s="1308"/>
      <c r="G10" s="1308"/>
      <c r="H10" s="1309"/>
      <c r="I10" s="1310">
        <f>SUM(I3:I9)</f>
        <v>0</v>
      </c>
    </row>
    <row r="11" spans="1:9" ht="15.6">
      <c r="A11" s="3179" t="s">
        <v>1090</v>
      </c>
      <c r="B11" s="3180" t="s">
        <v>1091</v>
      </c>
      <c r="C11" s="3180"/>
      <c r="D11" s="1303" t="s">
        <v>1092</v>
      </c>
      <c r="E11" s="1303" t="s">
        <v>1093</v>
      </c>
      <c r="F11" s="1304" t="s">
        <v>1094</v>
      </c>
      <c r="G11" s="1304" t="s">
        <v>1080</v>
      </c>
      <c r="H11" s="1311" t="s">
        <v>1095</v>
      </c>
      <c r="I11" s="1302" t="s">
        <v>1081</v>
      </c>
    </row>
    <row r="12" spans="1:9">
      <c r="A12" s="3179"/>
      <c r="B12" s="3180" t="s">
        <v>1096</v>
      </c>
      <c r="C12" s="3180"/>
      <c r="D12" s="1303"/>
      <c r="E12" s="1303"/>
      <c r="F12" s="1304"/>
      <c r="G12" s="1305"/>
      <c r="H12" s="1312"/>
      <c r="I12" s="1302">
        <f>ROUND(D12*E12*F12*G12/10000,0)</f>
        <v>0</v>
      </c>
    </row>
    <row r="13" spans="1:9">
      <c r="A13" s="3179"/>
      <c r="B13" s="3180" t="s">
        <v>1097</v>
      </c>
      <c r="C13" s="3180"/>
      <c r="D13" s="1303"/>
      <c r="E13" s="1303"/>
      <c r="F13" s="1304"/>
      <c r="G13" s="1305"/>
      <c r="H13" s="1312"/>
      <c r="I13" s="1302">
        <f>ROUND(D13*E13*F13*G13/10000,0)</f>
        <v>0</v>
      </c>
    </row>
    <row r="14" spans="1:9">
      <c r="A14" s="3179"/>
      <c r="B14" s="3180" t="s">
        <v>1098</v>
      </c>
      <c r="C14" s="3180"/>
      <c r="D14" s="1303"/>
      <c r="E14" s="1303"/>
      <c r="F14" s="1304"/>
      <c r="G14" s="1305"/>
      <c r="H14" s="1312"/>
      <c r="I14" s="1302">
        <f>ROUND(D14*E14*F14*G14/10000,0)</f>
        <v>0</v>
      </c>
    </row>
    <row r="15" spans="1:9">
      <c r="A15" s="3179"/>
      <c r="B15" s="3181" t="s">
        <v>1089</v>
      </c>
      <c r="C15" s="3181"/>
      <c r="D15" s="1307"/>
      <c r="E15" s="1307">
        <f>SUM(E12:E14)</f>
        <v>0</v>
      </c>
      <c r="F15" s="1308"/>
      <c r="G15" s="1305"/>
      <c r="H15" s="1312"/>
      <c r="I15" s="1313">
        <f>SUM(I12:I14)</f>
        <v>0</v>
      </c>
    </row>
    <row r="16" spans="1:9" ht="24">
      <c r="A16" s="3179" t="s">
        <v>1099</v>
      </c>
      <c r="B16" s="3180" t="s">
        <v>1100</v>
      </c>
      <c r="C16" s="3180"/>
      <c r="D16" s="1303" t="s">
        <v>1076</v>
      </c>
      <c r="E16" s="1314" t="s">
        <v>1101</v>
      </c>
      <c r="F16" s="1304" t="s">
        <v>1102</v>
      </c>
      <c r="G16" s="1305" t="s">
        <v>1080</v>
      </c>
      <c r="H16" s="1311" t="s">
        <v>1095</v>
      </c>
      <c r="I16" s="1302" t="s">
        <v>1081</v>
      </c>
    </row>
    <row r="17" spans="1:9" ht="15.6">
      <c r="A17" s="3179"/>
      <c r="B17" s="3180" t="s">
        <v>1103</v>
      </c>
      <c r="C17" s="3180"/>
      <c r="D17" s="1303"/>
      <c r="E17" s="1303"/>
      <c r="F17" s="1304"/>
      <c r="G17" s="1305"/>
      <c r="H17" s="1315"/>
      <c r="I17" s="1316">
        <f>ROUND(D17*E17*F17*G17/10000,0)</f>
        <v>0</v>
      </c>
    </row>
    <row r="18" spans="1:9" ht="15.6">
      <c r="A18" s="3179"/>
      <c r="B18" s="3180" t="s">
        <v>1104</v>
      </c>
      <c r="C18" s="3180"/>
      <c r="D18" s="1303"/>
      <c r="E18" s="1303"/>
      <c r="F18" s="1304"/>
      <c r="G18" s="1305"/>
      <c r="H18" s="1315"/>
      <c r="I18" s="1316">
        <f>ROUND(D18*E18*F18*G18/10000,0)</f>
        <v>0</v>
      </c>
    </row>
    <row r="19" spans="1:9" ht="15.6">
      <c r="A19" s="3179"/>
      <c r="B19" s="3180" t="s">
        <v>1105</v>
      </c>
      <c r="C19" s="3180"/>
      <c r="D19" s="1303"/>
      <c r="E19" s="1303"/>
      <c r="F19" s="1304"/>
      <c r="G19" s="1305"/>
      <c r="H19" s="1315"/>
      <c r="I19" s="1316">
        <f>ROUND(D19*E19*F19*G19/10000,0)</f>
        <v>0</v>
      </c>
    </row>
    <row r="20" spans="1:9">
      <c r="A20" s="3179"/>
      <c r="B20" s="3181" t="s">
        <v>1089</v>
      </c>
      <c r="C20" s="3181"/>
      <c r="D20" s="1307">
        <f>SUM(D17:D19)</f>
        <v>0</v>
      </c>
      <c r="E20" s="1307"/>
      <c r="F20" s="1308"/>
      <c r="G20" s="1305"/>
      <c r="H20" s="1312"/>
      <c r="I20" s="1313">
        <f>SUM(I17:I19)</f>
        <v>0</v>
      </c>
    </row>
    <row r="21" spans="1:9">
      <c r="A21" s="3179" t="s">
        <v>1106</v>
      </c>
      <c r="B21" s="3183"/>
      <c r="C21" s="3183"/>
      <c r="D21" s="3183"/>
      <c r="E21" s="3183"/>
      <c r="F21" s="3183"/>
      <c r="G21" s="3183"/>
      <c r="H21" s="1764">
        <v>0.1</v>
      </c>
      <c r="I21" s="1310">
        <f>ROUND(I10*H21,0)</f>
        <v>0</v>
      </c>
    </row>
    <row r="22" spans="1:9" ht="15.6">
      <c r="A22" s="3184" t="s">
        <v>1107</v>
      </c>
      <c r="B22" s="3185"/>
      <c r="C22" s="3186"/>
      <c r="D22" s="1317" t="s">
        <v>1108</v>
      </c>
      <c r="E22" s="1317" t="s">
        <v>1109</v>
      </c>
      <c r="F22" s="1318" t="s">
        <v>1110</v>
      </c>
      <c r="G22" s="1318" t="s">
        <v>1111</v>
      </c>
      <c r="H22" s="1311" t="s">
        <v>1112</v>
      </c>
      <c r="I22" s="1302" t="s">
        <v>1113</v>
      </c>
    </row>
    <row r="23" spans="1:9" ht="15" thickBot="1">
      <c r="A23" s="3187"/>
      <c r="B23" s="3188"/>
      <c r="C23" s="3189"/>
      <c r="D23" s="1319"/>
      <c r="E23" s="1319"/>
      <c r="F23" s="1319"/>
      <c r="G23" s="1320"/>
      <c r="H23" s="1321"/>
      <c r="I23" s="1322">
        <f>ROUND(E23*D23*F23*(1-G23)/10000,0)</f>
        <v>0</v>
      </c>
    </row>
    <row r="26" spans="1:9">
      <c r="A26" s="1323" t="s">
        <v>1114</v>
      </c>
      <c r="B26" s="1323"/>
      <c r="C26" s="1323"/>
      <c r="D26" s="1323"/>
      <c r="E26" s="3190">
        <f>C27-C30-C31-C32</f>
        <v>0</v>
      </c>
      <c r="F26" s="3190"/>
      <c r="G26" s="3190"/>
      <c r="H26" s="1736" t="s">
        <v>1336</v>
      </c>
    </row>
    <row r="27" spans="1:9">
      <c r="A27" s="1324">
        <v>1</v>
      </c>
      <c r="B27" s="1325" t="s">
        <v>1115</v>
      </c>
      <c r="C27" s="1325">
        <f>C28+C29</f>
        <v>0</v>
      </c>
      <c r="D27" s="1325"/>
      <c r="E27" s="3191"/>
      <c r="F27" s="3191"/>
      <c r="G27" s="3191"/>
    </row>
    <row r="28" spans="1:9">
      <c r="A28" s="1326" t="s">
        <v>1116</v>
      </c>
      <c r="B28" s="1325" t="s">
        <v>1117</v>
      </c>
      <c r="C28" s="1325"/>
      <c r="D28" s="1325"/>
      <c r="E28" s="3191"/>
      <c r="F28" s="3191"/>
      <c r="G28" s="319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2"/>
      <c r="F32" s="3182"/>
      <c r="G32" s="3182"/>
    </row>
    <row r="33" spans="1:7" hidden="1">
      <c r="A33" s="3192" t="s">
        <v>1126</v>
      </c>
      <c r="B33" s="3193"/>
      <c r="C33" s="3193"/>
      <c r="D33" s="3194"/>
      <c r="E33" s="3190"/>
      <c r="F33" s="3190"/>
      <c r="G33" s="3190"/>
    </row>
    <row r="34" spans="1:7" hidden="1">
      <c r="A34" s="1328">
        <v>1</v>
      </c>
      <c r="B34" s="1325" t="s">
        <v>1127</v>
      </c>
      <c r="C34" s="1325"/>
      <c r="D34" s="1325"/>
      <c r="E34" s="3191"/>
      <c r="F34" s="3191"/>
      <c r="G34" s="3191"/>
    </row>
    <row r="35" spans="1:7" hidden="1">
      <c r="A35" s="1328">
        <v>2</v>
      </c>
      <c r="B35" s="1325" t="s">
        <v>1128</v>
      </c>
      <c r="C35" s="1325"/>
      <c r="D35" s="1325"/>
      <c r="E35" s="3191"/>
      <c r="F35" s="3191"/>
      <c r="G35" s="3191"/>
    </row>
    <row r="36" spans="1:7" hidden="1">
      <c r="A36" s="1328">
        <v>3</v>
      </c>
      <c r="B36" s="1325" t="s">
        <v>1129</v>
      </c>
      <c r="C36" s="1325"/>
      <c r="D36" s="1325"/>
      <c r="E36" s="3191"/>
      <c r="F36" s="3191"/>
      <c r="G36" s="3191"/>
    </row>
    <row r="37" spans="1:7" hidden="1">
      <c r="A37" s="1328">
        <v>4</v>
      </c>
      <c r="B37" s="1325" t="s">
        <v>1130</v>
      </c>
      <c r="C37" s="1325"/>
      <c r="D37" s="1325"/>
      <c r="E37" s="3191"/>
      <c r="F37" s="3191"/>
      <c r="G37" s="3191"/>
    </row>
    <row r="38" spans="1:7" hidden="1">
      <c r="A38" s="3192" t="s">
        <v>1131</v>
      </c>
      <c r="B38" s="3193"/>
      <c r="C38" s="3193"/>
      <c r="D38" s="3194"/>
      <c r="E38" s="3190"/>
      <c r="F38" s="3190"/>
      <c r="G38" s="31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70" zoomScaleNormal="70" workbookViewId="0">
      <selection activeCell="L35" sqref="L35"/>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3113</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43174</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2532</v>
      </c>
      <c r="D3" s="399">
        <f>IF(D1="",'数据-汇总表'!E3,SUMIF('数据-汇总表'!$C19:$C33,D1,'数据-汇总表'!$E19:$E33))</f>
        <v>7323.91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214" t="s">
        <v>2534</v>
      </c>
      <c r="D4" s="3215"/>
      <c r="E4" s="3216" t="s">
        <v>2535</v>
      </c>
      <c r="F4" s="3217"/>
      <c r="G4" s="3214" t="s">
        <v>2536</v>
      </c>
      <c r="H4" s="3215"/>
      <c r="I4" s="3214" t="s">
        <v>2537</v>
      </c>
      <c r="J4" s="3215"/>
      <c r="K4" s="2597" t="s">
        <v>2538</v>
      </c>
      <c r="L4" s="1130"/>
      <c r="M4" s="1131"/>
      <c r="N4" s="1131"/>
      <c r="O4" s="1131"/>
      <c r="P4" s="3218" t="s">
        <v>2539</v>
      </c>
      <c r="Q4" s="3219"/>
      <c r="R4" s="3200" t="s">
        <v>2535</v>
      </c>
      <c r="S4" s="3201"/>
      <c r="T4" s="3200" t="s">
        <v>2536</v>
      </c>
      <c r="U4" s="3201"/>
      <c r="V4" s="3226" t="s">
        <v>2537</v>
      </c>
      <c r="W4" s="3226"/>
      <c r="X4" s="1812"/>
      <c r="Y4" s="3200" t="s">
        <v>2539</v>
      </c>
      <c r="Z4" s="3201"/>
      <c r="AA4" s="3195" t="s">
        <v>2535</v>
      </c>
      <c r="AB4" s="3195" t="s">
        <v>2536</v>
      </c>
      <c r="AC4" s="3195" t="s">
        <v>2537</v>
      </c>
    </row>
    <row r="5" spans="1:29" ht="13.8" customHeight="1">
      <c r="A5" s="404"/>
      <c r="B5" s="405"/>
      <c r="C5" s="3206" t="s">
        <v>3546</v>
      </c>
      <c r="D5" s="3207"/>
      <c r="E5" s="3204" t="s">
        <v>3598</v>
      </c>
      <c r="F5" s="3205"/>
      <c r="G5" s="3206" t="s">
        <v>3587</v>
      </c>
      <c r="H5" s="3207"/>
      <c r="I5" s="3206" t="s">
        <v>3588</v>
      </c>
      <c r="J5" s="3207"/>
      <c r="K5" s="2598"/>
      <c r="L5" s="1130"/>
      <c r="M5" s="1131"/>
      <c r="N5" s="1131"/>
      <c r="O5" s="1131"/>
      <c r="P5" s="3220"/>
      <c r="Q5" s="3221"/>
      <c r="R5" s="3202"/>
      <c r="S5" s="3203"/>
      <c r="T5" s="3202"/>
      <c r="U5" s="3203"/>
      <c r="V5" s="3226"/>
      <c r="W5" s="3226"/>
      <c r="X5" s="1812"/>
      <c r="Y5" s="3202"/>
      <c r="Z5" s="3203"/>
      <c r="AA5" s="3196"/>
      <c r="AB5" s="3196"/>
      <c r="AC5" s="3196"/>
    </row>
    <row r="6" spans="1:29" ht="15" thickBot="1">
      <c r="A6" s="406"/>
      <c r="B6" s="407"/>
      <c r="C6" s="3208" t="s">
        <v>2544</v>
      </c>
      <c r="D6" s="3209"/>
      <c r="E6" s="3210" t="s">
        <v>2544</v>
      </c>
      <c r="F6" s="3211"/>
      <c r="G6" s="3212" t="s">
        <v>3589</v>
      </c>
      <c r="H6" s="3209"/>
      <c r="I6" s="3212" t="s">
        <v>3590</v>
      </c>
      <c r="J6" s="3209"/>
      <c r="K6" s="2598" t="s">
        <v>2545</v>
      </c>
      <c r="L6" s="1130"/>
      <c r="M6" s="1131"/>
      <c r="N6" s="1131"/>
      <c r="O6" s="1131"/>
      <c r="P6" s="3222"/>
      <c r="Q6" s="3223"/>
      <c r="R6" s="3202"/>
      <c r="S6" s="3203"/>
      <c r="T6" s="3224"/>
      <c r="U6" s="3225"/>
      <c r="V6" s="3226"/>
      <c r="W6" s="3226"/>
      <c r="X6" s="1812"/>
      <c r="Y6" s="3224"/>
      <c r="Z6" s="3225"/>
      <c r="AA6" s="3197"/>
      <c r="AB6" s="3197"/>
      <c r="AC6" s="3197"/>
    </row>
    <row r="7" spans="1:29" s="117" customFormat="1" ht="15" thickBot="1">
      <c r="A7" s="408" t="s">
        <v>2546</v>
      </c>
      <c r="B7" s="409"/>
      <c r="C7" s="410">
        <f>'数据-取费表'!B2</f>
        <v>43627</v>
      </c>
      <c r="D7" s="411">
        <v>100</v>
      </c>
      <c r="E7" s="412">
        <v>43627</v>
      </c>
      <c r="F7" s="413">
        <f>SUMIF(58:58,YEAR(E7)&amp;"-"&amp;MONTH(E7),59:59)</f>
        <v>100</v>
      </c>
      <c r="G7" s="412">
        <v>43627</v>
      </c>
      <c r="H7" s="411">
        <f>SUMIF(58:58,YEAR(G7)&amp;"-"&amp;MONTH(G7),59:59)</f>
        <v>100</v>
      </c>
      <c r="I7" s="412">
        <v>43627</v>
      </c>
      <c r="J7" s="411">
        <f>SUMIF(58:58,YEAR(I7)&amp;"-"&amp;MONTH(I7),59:59)</f>
        <v>100</v>
      </c>
      <c r="K7" s="2599"/>
      <c r="L7" s="1132"/>
      <c r="M7" s="1133"/>
      <c r="N7" s="1133"/>
      <c r="O7" s="1133"/>
      <c r="P7" s="3198" t="s">
        <v>2547</v>
      </c>
      <c r="Q7" s="3227"/>
      <c r="R7" s="770" t="s">
        <v>23</v>
      </c>
      <c r="S7" s="771">
        <f t="shared" ref="S7:S15" si="0">F7</f>
        <v>100</v>
      </c>
      <c r="T7" s="770" t="s">
        <v>23</v>
      </c>
      <c r="U7" s="771">
        <f t="shared" ref="U7:U15" si="1">H7</f>
        <v>100</v>
      </c>
      <c r="V7" s="770" t="s">
        <v>23</v>
      </c>
      <c r="W7" s="771">
        <f t="shared" ref="W7:W15" si="2">J7</f>
        <v>100</v>
      </c>
      <c r="X7" s="772"/>
      <c r="Y7" s="3198" t="s">
        <v>2547</v>
      </c>
      <c r="Z7" s="3199"/>
      <c r="AA7" s="773">
        <f>D7/F7</f>
        <v>1</v>
      </c>
      <c r="AB7" s="773">
        <f>D7/H7</f>
        <v>1</v>
      </c>
      <c r="AC7" s="773">
        <f>D7/J7</f>
        <v>1</v>
      </c>
    </row>
    <row r="8" spans="1:29" s="117" customFormat="1" ht="1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198" t="s">
        <v>2550</v>
      </c>
      <c r="Q8" s="3199"/>
      <c r="R8" s="770" t="s">
        <v>23</v>
      </c>
      <c r="S8" s="771">
        <f t="shared" si="0"/>
        <v>100</v>
      </c>
      <c r="T8" s="770" t="s">
        <v>23</v>
      </c>
      <c r="U8" s="771">
        <f t="shared" si="1"/>
        <v>100</v>
      </c>
      <c r="V8" s="770" t="s">
        <v>23</v>
      </c>
      <c r="W8" s="771">
        <f t="shared" si="2"/>
        <v>100</v>
      </c>
      <c r="X8" s="772"/>
      <c r="Y8" s="3198" t="s">
        <v>2550</v>
      </c>
      <c r="Z8" s="3199"/>
      <c r="AA8" s="773">
        <f t="shared" ref="AA8:AA19" si="3">D8/F8</f>
        <v>1</v>
      </c>
      <c r="AB8" s="773">
        <f t="shared" ref="AB8:AB19" si="4">D8/H8</f>
        <v>1</v>
      </c>
      <c r="AC8" s="773">
        <f t="shared" ref="AC8:AC19" si="5">D8/J8</f>
        <v>1</v>
      </c>
    </row>
    <row r="9" spans="1:29" s="117" customFormat="1" ht="14.4">
      <c r="A9" s="415" t="s">
        <v>2551</v>
      </c>
      <c r="B9" s="71" t="s">
        <v>2552</v>
      </c>
      <c r="C9" s="2976" t="s">
        <v>3591</v>
      </c>
      <c r="D9" s="135">
        <v>100</v>
      </c>
      <c r="E9" s="417" t="s">
        <v>3057</v>
      </c>
      <c r="F9" s="418">
        <f>SUMIF(63:63,E9,64:64)-SUMIF(63:63,C9,64:64)+100</f>
        <v>100</v>
      </c>
      <c r="G9" s="417" t="s">
        <v>3057</v>
      </c>
      <c r="H9" s="135">
        <f>SUMIF(63:63,G9,64:64)-SUMIF(63:63,C9,64:64)+100</f>
        <v>100</v>
      </c>
      <c r="I9" s="417" t="s">
        <v>3057</v>
      </c>
      <c r="J9" s="135">
        <f>SUMIF(63:63,I9,64:64)-SUMIF(63:63,C9,64:64)+100</f>
        <v>100</v>
      </c>
      <c r="K9" s="2599"/>
      <c r="L9" s="1132"/>
      <c r="M9" s="1133"/>
      <c r="N9" s="1133"/>
      <c r="O9" s="1133"/>
      <c r="P9" s="3213"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t="s">
        <v>3592</v>
      </c>
      <c r="D10" s="136">
        <v>100</v>
      </c>
      <c r="E10" s="423" t="s">
        <v>3592</v>
      </c>
      <c r="F10" s="425">
        <f>SUMIF(65:65,E10,66:66)-SUMIF(65:65,C10,66:66)+100</f>
        <v>100</v>
      </c>
      <c r="G10" s="423" t="s">
        <v>3592</v>
      </c>
      <c r="H10" s="136">
        <f>SUMIF(65:65,G10,66:66)-SUMIF(65:65,C10,66:66)+100</f>
        <v>100</v>
      </c>
      <c r="I10" s="423" t="s">
        <v>3592</v>
      </c>
      <c r="J10" s="136">
        <f>SUMIF(65:65,I10,66:66)-SUMIF(65:65,C10,66:66)+100</f>
        <v>100</v>
      </c>
      <c r="K10" s="426">
        <v>1</v>
      </c>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f>'土地比较法-住宅、综合'!C11</f>
        <v>3.79</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13"/>
      <c r="Q11" s="1794" t="str">
        <f t="shared" si="6"/>
        <v>容积率</v>
      </c>
      <c r="R11" s="770" t="s">
        <v>21</v>
      </c>
      <c r="S11" s="771">
        <f t="shared" si="0"/>
        <v>98</v>
      </c>
      <c r="T11" s="770" t="s">
        <v>21</v>
      </c>
      <c r="U11" s="771">
        <f t="shared" si="1"/>
        <v>100</v>
      </c>
      <c r="V11" s="770" t="s">
        <v>21</v>
      </c>
      <c r="W11" s="771">
        <f t="shared" si="2"/>
        <v>100</v>
      </c>
      <c r="X11" s="772"/>
      <c r="Y11" s="3045"/>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3"/>
      <c r="Q12" s="1794">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3"/>
      <c r="Q13" s="1794">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3"/>
      <c r="Q14" s="1794">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82.8">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0" t="s">
        <v>2558</v>
      </c>
      <c r="Q15" s="1809" t="str">
        <f t="shared" si="6"/>
        <v>居住社区成熟度</v>
      </c>
      <c r="R15" s="774" t="s">
        <v>21</v>
      </c>
      <c r="S15" s="775">
        <f t="shared" si="0"/>
        <v>100</v>
      </c>
      <c r="T15" s="774" t="s">
        <v>21</v>
      </c>
      <c r="U15" s="775">
        <f t="shared" si="1"/>
        <v>100</v>
      </c>
      <c r="V15" s="774" t="s">
        <v>21</v>
      </c>
      <c r="W15" s="775">
        <f t="shared" si="2"/>
        <v>100</v>
      </c>
      <c r="X15" s="1812"/>
      <c r="Y15" s="3233" t="s">
        <v>2558</v>
      </c>
      <c r="Z15" s="1813" t="str">
        <f t="shared" si="7"/>
        <v>居住社区成熟度</v>
      </c>
      <c r="AA15" s="1810">
        <f t="shared" si="3"/>
        <v>1</v>
      </c>
      <c r="AB15" s="1810">
        <f t="shared" si="4"/>
        <v>1</v>
      </c>
      <c r="AC15" s="1810">
        <f t="shared" si="5"/>
        <v>1</v>
      </c>
    </row>
    <row r="16" spans="1:29" ht="15">
      <c r="A16" s="428"/>
      <c r="B16" s="446"/>
      <c r="C16" s="447" t="s">
        <v>3574</v>
      </c>
      <c r="D16" s="448"/>
      <c r="E16" s="447" t="s">
        <v>3574</v>
      </c>
      <c r="F16" s="448"/>
      <c r="G16" s="447" t="s">
        <v>3574</v>
      </c>
      <c r="H16" s="450"/>
      <c r="I16" s="447" t="s">
        <v>3574</v>
      </c>
      <c r="J16" s="448"/>
      <c r="K16" s="2606"/>
      <c r="L16" s="1140"/>
      <c r="M16" s="1131"/>
      <c r="N16" s="1131"/>
      <c r="O16" s="1131"/>
      <c r="P16" s="3241"/>
      <c r="Q16" s="1809"/>
      <c r="R16" s="774"/>
      <c r="S16" s="775"/>
      <c r="T16" s="774"/>
      <c r="U16" s="775"/>
      <c r="V16" s="774"/>
      <c r="W16" s="775"/>
      <c r="X16" s="1812"/>
      <c r="Y16" s="3234"/>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1"/>
      <c r="Q17" s="1809" t="str">
        <f>B17</f>
        <v>交通便捷度</v>
      </c>
      <c r="R17" s="774" t="s">
        <v>21</v>
      </c>
      <c r="S17" s="775">
        <f>F17</f>
        <v>100</v>
      </c>
      <c r="T17" s="774" t="s">
        <v>21</v>
      </c>
      <c r="U17" s="775">
        <f>H17</f>
        <v>100</v>
      </c>
      <c r="V17" s="774" t="s">
        <v>21</v>
      </c>
      <c r="W17" s="775">
        <f>J17</f>
        <v>100</v>
      </c>
      <c r="X17" s="1812"/>
      <c r="Y17" s="3234"/>
      <c r="Z17" s="1813" t="str">
        <f>Q17</f>
        <v>交通便捷度</v>
      </c>
      <c r="AA17" s="1810">
        <f t="shared" si="3"/>
        <v>1</v>
      </c>
      <c r="AB17" s="1810">
        <f t="shared" si="4"/>
        <v>1</v>
      </c>
      <c r="AC17" s="1810">
        <f t="shared" si="5"/>
        <v>1</v>
      </c>
    </row>
    <row r="18" spans="1:29" ht="15">
      <c r="A18" s="428"/>
      <c r="B18" s="456"/>
      <c r="C18" s="2608" t="s">
        <v>3575</v>
      </c>
      <c r="D18" s="450"/>
      <c r="E18" s="2608" t="s">
        <v>3575</v>
      </c>
      <c r="F18" s="450"/>
      <c r="G18" s="2608" t="s">
        <v>3575</v>
      </c>
      <c r="H18" s="448"/>
      <c r="I18" s="2608" t="s">
        <v>3575</v>
      </c>
      <c r="J18" s="448"/>
      <c r="K18" s="2606"/>
      <c r="L18" s="1140"/>
      <c r="M18" s="1131"/>
      <c r="N18" s="1131"/>
      <c r="O18" s="1131"/>
      <c r="P18" s="3241"/>
      <c r="Q18" s="1809"/>
      <c r="R18" s="774"/>
      <c r="S18" s="775"/>
      <c r="T18" s="774"/>
      <c r="U18" s="775"/>
      <c r="V18" s="774"/>
      <c r="W18" s="775"/>
      <c r="X18" s="1812"/>
      <c r="Y18" s="3234"/>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1"/>
      <c r="Q19" s="1809" t="str">
        <f>B19</f>
        <v>公共配套设施</v>
      </c>
      <c r="R19" s="774" t="s">
        <v>21</v>
      </c>
      <c r="S19" s="775">
        <f>F19</f>
        <v>100</v>
      </c>
      <c r="T19" s="774" t="s">
        <v>21</v>
      </c>
      <c r="U19" s="775">
        <f>H19</f>
        <v>100</v>
      </c>
      <c r="V19" s="774" t="s">
        <v>21</v>
      </c>
      <c r="W19" s="775">
        <f>J19</f>
        <v>100</v>
      </c>
      <c r="X19" s="1812"/>
      <c r="Y19" s="3234"/>
      <c r="Z19" s="1813" t="str">
        <f>Q19</f>
        <v>公共配套设施</v>
      </c>
      <c r="AA19" s="1810">
        <f t="shared" si="3"/>
        <v>1</v>
      </c>
      <c r="AB19" s="1810">
        <f t="shared" si="4"/>
        <v>1</v>
      </c>
      <c r="AC19" s="1810">
        <f t="shared" si="5"/>
        <v>1</v>
      </c>
    </row>
    <row r="20" spans="1:29" ht="15">
      <c r="A20" s="428"/>
      <c r="B20" s="456"/>
      <c r="C20" s="447" t="s">
        <v>3575</v>
      </c>
      <c r="D20" s="448"/>
      <c r="E20" s="447" t="s">
        <v>3575</v>
      </c>
      <c r="F20" s="448"/>
      <c r="G20" s="447" t="s">
        <v>3575</v>
      </c>
      <c r="H20" s="448"/>
      <c r="I20" s="447" t="s">
        <v>3575</v>
      </c>
      <c r="J20" s="448"/>
      <c r="K20" s="2606"/>
      <c r="L20" s="1140"/>
      <c r="M20" s="1131"/>
      <c r="N20" s="1131"/>
      <c r="O20" s="1131"/>
      <c r="P20" s="3241"/>
      <c r="Q20" s="1809"/>
      <c r="R20" s="774"/>
      <c r="S20" s="775"/>
      <c r="T20" s="774"/>
      <c r="U20" s="775"/>
      <c r="V20" s="774"/>
      <c r="W20" s="775"/>
      <c r="X20" s="1812"/>
      <c r="Y20" s="3234"/>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8" t="s">
        <v>3593</v>
      </c>
      <c r="D22" s="448"/>
      <c r="E22" s="2608" t="s">
        <v>3593</v>
      </c>
      <c r="F22" s="448"/>
      <c r="G22" s="2608" t="s">
        <v>3593</v>
      </c>
      <c r="H22" s="448"/>
      <c r="I22" s="2608" t="s">
        <v>3593</v>
      </c>
      <c r="J22" s="448"/>
      <c r="K22" s="2612"/>
      <c r="L22" s="1140"/>
      <c r="M22" s="1131"/>
      <c r="N22" s="1131"/>
      <c r="O22" s="1131"/>
      <c r="P22" s="3241"/>
      <c r="Q22" s="1809"/>
      <c r="R22" s="774"/>
      <c r="S22" s="775"/>
      <c r="T22" s="774"/>
      <c r="U22" s="775"/>
      <c r="V22" s="774"/>
      <c r="W22" s="775"/>
      <c r="X22" s="1812"/>
      <c r="Y22" s="3234"/>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41"/>
      <c r="Q23" s="1809" t="str">
        <f>B23</f>
        <v>自然及人文环境</v>
      </c>
      <c r="R23" s="774" t="s">
        <v>21</v>
      </c>
      <c r="S23" s="775">
        <f>F23</f>
        <v>100</v>
      </c>
      <c r="T23" s="774" t="s">
        <v>21</v>
      </c>
      <c r="U23" s="775">
        <f>H23</f>
        <v>100</v>
      </c>
      <c r="V23" s="774" t="s">
        <v>21</v>
      </c>
      <c r="W23" s="775">
        <f>J23</f>
        <v>100</v>
      </c>
      <c r="X23" s="1812"/>
      <c r="Y23" s="3234"/>
      <c r="Z23" s="1813" t="str">
        <f>Q23</f>
        <v>自然及人文环境</v>
      </c>
      <c r="AA23" s="1810">
        <f>D23/F23</f>
        <v>1</v>
      </c>
      <c r="AB23" s="1810">
        <f>D23/H23</f>
        <v>1</v>
      </c>
      <c r="AC23" s="1810">
        <f>D23/J23</f>
        <v>1</v>
      </c>
    </row>
    <row r="24" spans="1:29" ht="15.6" thickBot="1">
      <c r="A24" s="428"/>
      <c r="B24" s="456"/>
      <c r="C24" s="447" t="s">
        <v>3575</v>
      </c>
      <c r="D24" s="448"/>
      <c r="E24" s="447" t="s">
        <v>3575</v>
      </c>
      <c r="F24" s="448"/>
      <c r="G24" s="447" t="s">
        <v>3575</v>
      </c>
      <c r="H24" s="448"/>
      <c r="I24" s="447" t="s">
        <v>3575</v>
      </c>
      <c r="J24" s="448"/>
      <c r="K24" s="2606"/>
      <c r="L24" s="1140"/>
      <c r="M24" s="1131"/>
      <c r="N24" s="1131"/>
      <c r="O24" s="1131"/>
      <c r="P24" s="3241"/>
      <c r="Q24" s="1809"/>
      <c r="R24" s="774"/>
      <c r="S24" s="775"/>
      <c r="T24" s="774"/>
      <c r="U24" s="775"/>
      <c r="V24" s="774"/>
      <c r="W24" s="775"/>
      <c r="X24" s="1812"/>
      <c r="Y24" s="3234"/>
      <c r="Z24" s="1813"/>
      <c r="AA24" s="1810">
        <v>1</v>
      </c>
      <c r="AB24" s="1810">
        <v>1</v>
      </c>
      <c r="AC24" s="1810">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4"/>
      <c r="Z25" s="1813" t="str">
        <f>Q25</f>
        <v>楼层-1</v>
      </c>
      <c r="AA25" s="1810">
        <f t="shared" ref="AA25:AA46" si="15">D25/F25</f>
        <v>1</v>
      </c>
      <c r="AB25" s="1810">
        <f t="shared" ref="AB25:AB46" si="16">D25/H25</f>
        <v>1</v>
      </c>
      <c r="AC25" s="1810">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1"/>
      <c r="Q26" s="1809" t="str">
        <f t="shared" si="11"/>
        <v>朝向</v>
      </c>
      <c r="R26" s="774" t="s">
        <v>21</v>
      </c>
      <c r="S26" s="775">
        <f t="shared" si="12"/>
        <v>100</v>
      </c>
      <c r="T26" s="774" t="s">
        <v>21</v>
      </c>
      <c r="U26" s="775">
        <f t="shared" si="13"/>
        <v>100</v>
      </c>
      <c r="V26" s="774" t="s">
        <v>21</v>
      </c>
      <c r="W26" s="775">
        <f t="shared" si="14"/>
        <v>100</v>
      </c>
      <c r="X26" s="1812"/>
      <c r="Y26" s="3234"/>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1"/>
      <c r="Q27" s="1794">
        <f t="shared" si="11"/>
        <v>111</v>
      </c>
      <c r="R27" s="770" t="s">
        <v>21</v>
      </c>
      <c r="S27" s="771">
        <f t="shared" si="12"/>
        <v>100</v>
      </c>
      <c r="T27" s="770" t="s">
        <v>21</v>
      </c>
      <c r="U27" s="771">
        <f t="shared" si="13"/>
        <v>100</v>
      </c>
      <c r="V27" s="770" t="s">
        <v>21</v>
      </c>
      <c r="W27" s="771">
        <f t="shared" si="14"/>
        <v>100</v>
      </c>
      <c r="X27" s="772"/>
      <c r="Y27" s="3234"/>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1"/>
      <c r="Q28" s="1809">
        <f t="shared" si="11"/>
        <v>111</v>
      </c>
      <c r="R28" s="774" t="s">
        <v>21</v>
      </c>
      <c r="S28" s="775">
        <f t="shared" si="12"/>
        <v>100</v>
      </c>
      <c r="T28" s="774" t="s">
        <v>21</v>
      </c>
      <c r="U28" s="775">
        <f t="shared" si="13"/>
        <v>100</v>
      </c>
      <c r="V28" s="774" t="s">
        <v>21</v>
      </c>
      <c r="W28" s="775">
        <f t="shared" si="14"/>
        <v>100</v>
      </c>
      <c r="X28" s="1812"/>
      <c r="Y28" s="3234"/>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1"/>
      <c r="Q29" s="1809">
        <f t="shared" si="11"/>
        <v>111</v>
      </c>
      <c r="R29" s="774" t="s">
        <v>21</v>
      </c>
      <c r="S29" s="775">
        <f t="shared" si="12"/>
        <v>100</v>
      </c>
      <c r="T29" s="774" t="s">
        <v>21</v>
      </c>
      <c r="U29" s="775">
        <f t="shared" si="13"/>
        <v>100</v>
      </c>
      <c r="V29" s="774" t="s">
        <v>21</v>
      </c>
      <c r="W29" s="775">
        <f t="shared" si="14"/>
        <v>100</v>
      </c>
      <c r="X29" s="1812"/>
      <c r="Y29" s="3234"/>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1"/>
      <c r="Q30" s="1809">
        <f t="shared" si="11"/>
        <v>111</v>
      </c>
      <c r="R30" s="774" t="s">
        <v>21</v>
      </c>
      <c r="S30" s="775">
        <f t="shared" si="12"/>
        <v>100</v>
      </c>
      <c r="T30" s="774" t="s">
        <v>21</v>
      </c>
      <c r="U30" s="775">
        <f t="shared" si="13"/>
        <v>100</v>
      </c>
      <c r="V30" s="774" t="s">
        <v>21</v>
      </c>
      <c r="W30" s="775">
        <f t="shared" si="14"/>
        <v>100</v>
      </c>
      <c r="X30" s="1812"/>
      <c r="Y30" s="3234"/>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1"/>
      <c r="Q31" s="1809">
        <f t="shared" si="11"/>
        <v>111</v>
      </c>
      <c r="R31" s="774" t="s">
        <v>21</v>
      </c>
      <c r="S31" s="775">
        <f t="shared" si="12"/>
        <v>100</v>
      </c>
      <c r="T31" s="774" t="s">
        <v>21</v>
      </c>
      <c r="U31" s="775">
        <f t="shared" si="13"/>
        <v>100</v>
      </c>
      <c r="V31" s="774" t="s">
        <v>21</v>
      </c>
      <c r="W31" s="775">
        <f t="shared" si="14"/>
        <v>100</v>
      </c>
      <c r="X31" s="1812"/>
      <c r="Y31" s="3234"/>
      <c r="Z31" s="1813">
        <f t="shared" si="18"/>
        <v>111</v>
      </c>
      <c r="AA31" s="1810">
        <f t="shared" si="15"/>
        <v>1</v>
      </c>
      <c r="AB31" s="1810">
        <f t="shared" si="16"/>
        <v>1</v>
      </c>
      <c r="AC31" s="1810">
        <f t="shared" si="17"/>
        <v>1</v>
      </c>
    </row>
    <row r="32" spans="1:29" ht="15">
      <c r="A32" s="440" t="s">
        <v>2561</v>
      </c>
      <c r="B32" s="71" t="s">
        <v>2562</v>
      </c>
      <c r="C32" s="2617" t="s">
        <v>3594</v>
      </c>
      <c r="D32" s="467">
        <v>100</v>
      </c>
      <c r="E32" s="2617" t="s">
        <v>3594</v>
      </c>
      <c r="F32" s="461">
        <f>SUMIF(100:100,E32,101:101)-SUMIF(100:100,C32,101:101)+100</f>
        <v>100</v>
      </c>
      <c r="G32" s="2617" t="s">
        <v>3594</v>
      </c>
      <c r="H32" s="467">
        <f>SUMIF(100:100,G32,101:101)-SUMIF(100:100,C32,101:101)+100</f>
        <v>100</v>
      </c>
      <c r="I32" s="2617" t="s">
        <v>3594</v>
      </c>
      <c r="J32" s="435">
        <f>SUMIF(100:100,I32,101:101)-SUMIF(100:100,C32,101:101)+100</f>
        <v>100</v>
      </c>
      <c r="K32" s="426">
        <v>2</v>
      </c>
      <c r="L32" s="1140"/>
      <c r="M32" s="1131"/>
      <c r="N32" s="1131"/>
      <c r="O32" s="1131"/>
      <c r="P32" s="3235" t="s">
        <v>2563</v>
      </c>
      <c r="Q32" s="1809" t="str">
        <f t="shared" si="11"/>
        <v>建筑类型</v>
      </c>
      <c r="R32" s="774" t="s">
        <v>21</v>
      </c>
      <c r="S32" s="775">
        <f t="shared" si="12"/>
        <v>100</v>
      </c>
      <c r="T32" s="774" t="s">
        <v>21</v>
      </c>
      <c r="U32" s="775">
        <f t="shared" si="13"/>
        <v>100</v>
      </c>
      <c r="V32" s="774" t="s">
        <v>21</v>
      </c>
      <c r="W32" s="775">
        <f t="shared" si="14"/>
        <v>100</v>
      </c>
      <c r="X32" s="1812"/>
      <c r="Y32" s="3238" t="s">
        <v>2563</v>
      </c>
      <c r="Z32" s="1813" t="str">
        <f t="shared" si="18"/>
        <v>建筑类型</v>
      </c>
      <c r="AA32" s="1810">
        <f t="shared" si="15"/>
        <v>1</v>
      </c>
      <c r="AB32" s="1810">
        <f t="shared" si="16"/>
        <v>1</v>
      </c>
      <c r="AC32" s="1810">
        <f t="shared" si="17"/>
        <v>1</v>
      </c>
    </row>
    <row r="33" spans="1:29" s="471" customFormat="1" ht="15">
      <c r="A33" s="468"/>
      <c r="B33" s="422" t="s">
        <v>2564</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36"/>
      <c r="Q33" s="776" t="str">
        <f t="shared" si="11"/>
        <v>项目建筑规模</v>
      </c>
      <c r="R33" s="777" t="s">
        <v>21</v>
      </c>
      <c r="S33" s="778">
        <f t="shared" si="12"/>
        <v>101</v>
      </c>
      <c r="T33" s="777" t="s">
        <v>21</v>
      </c>
      <c r="U33" s="778">
        <f t="shared" si="13"/>
        <v>100</v>
      </c>
      <c r="V33" s="777" t="s">
        <v>21</v>
      </c>
      <c r="W33" s="778">
        <f t="shared" si="14"/>
        <v>103</v>
      </c>
      <c r="X33" s="779"/>
      <c r="Y33" s="3238"/>
      <c r="Z33" s="780" t="str">
        <f t="shared" si="18"/>
        <v>项目建筑规模</v>
      </c>
      <c r="AA33" s="1810">
        <f t="shared" si="15"/>
        <v>0.99009900990099009</v>
      </c>
      <c r="AB33" s="1810">
        <f t="shared" si="16"/>
        <v>1</v>
      </c>
      <c r="AC33" s="1810">
        <f t="shared" si="17"/>
        <v>0.970873786407767</v>
      </c>
    </row>
    <row r="34" spans="1:29" ht="15">
      <c r="A34" s="472"/>
      <c r="B34" s="422" t="s">
        <v>2565</v>
      </c>
      <c r="C34" s="2618" t="s">
        <v>3564</v>
      </c>
      <c r="D34" s="435">
        <v>100</v>
      </c>
      <c r="E34" s="2618" t="s">
        <v>3564</v>
      </c>
      <c r="F34" s="461">
        <f>SUMIF(105:105,E34,106:106)-SUMIF(105:105,C34,106:106)+100</f>
        <v>100</v>
      </c>
      <c r="G34" s="2618" t="s">
        <v>3564</v>
      </c>
      <c r="H34" s="435">
        <f>SUMIF(105:105,G34,106:106)-SUMIF(105:105,C34,106:106)+100</f>
        <v>100</v>
      </c>
      <c r="I34" s="2618" t="s">
        <v>3564</v>
      </c>
      <c r="J34" s="435">
        <f>SUMIF(105:105,I34,106:106)-SUMIF(105:105,C34,106:106)+100</f>
        <v>100</v>
      </c>
      <c r="K34" s="426">
        <v>2</v>
      </c>
      <c r="L34" s="1140"/>
      <c r="M34" s="1131"/>
      <c r="N34" s="1131"/>
      <c r="O34" s="1131"/>
      <c r="P34" s="3236"/>
      <c r="Q34" s="1809" t="str">
        <f t="shared" si="11"/>
        <v>建筑结构</v>
      </c>
      <c r="R34" s="774" t="s">
        <v>21</v>
      </c>
      <c r="S34" s="775">
        <f t="shared" si="12"/>
        <v>100</v>
      </c>
      <c r="T34" s="774" t="s">
        <v>21</v>
      </c>
      <c r="U34" s="775">
        <f t="shared" si="13"/>
        <v>100</v>
      </c>
      <c r="V34" s="774" t="s">
        <v>21</v>
      </c>
      <c r="W34" s="775">
        <f t="shared" si="14"/>
        <v>100</v>
      </c>
      <c r="X34" s="1812"/>
      <c r="Y34" s="3238"/>
      <c r="Z34" s="1813" t="str">
        <f t="shared" si="18"/>
        <v>建筑结构</v>
      </c>
      <c r="AA34" s="1810">
        <f t="shared" si="15"/>
        <v>1</v>
      </c>
      <c r="AB34" s="1810">
        <f t="shared" si="16"/>
        <v>1</v>
      </c>
      <c r="AC34" s="1810">
        <f t="shared" si="17"/>
        <v>1</v>
      </c>
    </row>
    <row r="35" spans="1:29" ht="15">
      <c r="A35" s="472"/>
      <c r="B35" s="422" t="s">
        <v>2566</v>
      </c>
      <c r="C35" s="2613" t="s">
        <v>3574</v>
      </c>
      <c r="D35" s="435">
        <v>100</v>
      </c>
      <c r="E35" s="2613" t="s">
        <v>3574</v>
      </c>
      <c r="F35" s="461">
        <f>SUMIF(107:107,E35,108:108)-SUMIF(107:107,C35,108:108)+100</f>
        <v>100</v>
      </c>
      <c r="G35" s="2613" t="s">
        <v>3574</v>
      </c>
      <c r="H35" s="435">
        <f>SUMIF(107:107,G35,108:108)-SUMIF(107:107,C35,108:108)+100</f>
        <v>100</v>
      </c>
      <c r="I35" s="2613" t="s">
        <v>3574</v>
      </c>
      <c r="J35" s="435">
        <f>SUMIF(107:107,I35,108:108)-SUMIF(107:107,C35,108:108)+100</f>
        <v>100</v>
      </c>
      <c r="K35" s="426">
        <v>2</v>
      </c>
      <c r="L35" s="1140"/>
      <c r="M35" s="1131"/>
      <c r="N35" s="1131"/>
      <c r="O35" s="1131"/>
      <c r="P35" s="3236"/>
      <c r="Q35" s="1809" t="str">
        <f t="shared" si="11"/>
        <v>建筑品质</v>
      </c>
      <c r="R35" s="774" t="s">
        <v>21</v>
      </c>
      <c r="S35" s="775">
        <f t="shared" si="12"/>
        <v>100</v>
      </c>
      <c r="T35" s="774" t="s">
        <v>21</v>
      </c>
      <c r="U35" s="775">
        <f t="shared" si="13"/>
        <v>100</v>
      </c>
      <c r="V35" s="774" t="s">
        <v>21</v>
      </c>
      <c r="W35" s="775">
        <f t="shared" si="14"/>
        <v>100</v>
      </c>
      <c r="X35" s="1812"/>
      <c r="Y35" s="3238"/>
      <c r="Z35" s="1813" t="str">
        <f t="shared" si="18"/>
        <v>建筑品质</v>
      </c>
      <c r="AA35" s="1810">
        <f t="shared" si="15"/>
        <v>1</v>
      </c>
      <c r="AB35" s="1810">
        <f t="shared" si="16"/>
        <v>1</v>
      </c>
      <c r="AC35" s="1810">
        <f t="shared" si="17"/>
        <v>1</v>
      </c>
    </row>
    <row r="36" spans="1:29" ht="15">
      <c r="A36" s="472"/>
      <c r="B36" s="422" t="s">
        <v>2567</v>
      </c>
      <c r="C36" s="2613" t="s">
        <v>3595</v>
      </c>
      <c r="D36" s="435">
        <v>100</v>
      </c>
      <c r="E36" s="2613" t="s">
        <v>3595</v>
      </c>
      <c r="F36" s="461">
        <f>SUMIF(109:109,E36,110:110)-SUMIF(109:109,C36,110:110)+100</f>
        <v>100</v>
      </c>
      <c r="G36" s="2613" t="s">
        <v>3595</v>
      </c>
      <c r="H36" s="435">
        <f>SUMIF(109:109,G36,110:110)-SUMIF(109:109,C36,110:110)+100</f>
        <v>100</v>
      </c>
      <c r="I36" s="2613" t="s">
        <v>3595</v>
      </c>
      <c r="J36" s="435">
        <f>SUMIF(109:109,I36,110:110)-SUMIF(109:109,C36,110:110)+100</f>
        <v>100</v>
      </c>
      <c r="K36" s="426">
        <v>1.5</v>
      </c>
      <c r="L36" s="1140"/>
      <c r="M36" s="1131"/>
      <c r="N36" s="1131"/>
      <c r="O36" s="1131"/>
      <c r="P36" s="3236"/>
      <c r="Q36" s="1809" t="str">
        <f t="shared" si="11"/>
        <v>公共部分装修</v>
      </c>
      <c r="R36" s="774" t="s">
        <v>21</v>
      </c>
      <c r="S36" s="775">
        <f t="shared" si="12"/>
        <v>100</v>
      </c>
      <c r="T36" s="774" t="s">
        <v>21</v>
      </c>
      <c r="U36" s="775">
        <f t="shared" si="13"/>
        <v>100</v>
      </c>
      <c r="V36" s="774" t="s">
        <v>21</v>
      </c>
      <c r="W36" s="775">
        <f t="shared" si="14"/>
        <v>100</v>
      </c>
      <c r="X36" s="1812"/>
      <c r="Y36" s="3238"/>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6"/>
      <c r="Q37" s="1794" t="str">
        <f t="shared" si="11"/>
        <v>成新度</v>
      </c>
      <c r="R37" s="770" t="s">
        <v>21</v>
      </c>
      <c r="S37" s="771">
        <f t="shared" si="12"/>
        <v>100</v>
      </c>
      <c r="T37" s="770" t="s">
        <v>21</v>
      </c>
      <c r="U37" s="771">
        <f t="shared" si="13"/>
        <v>100</v>
      </c>
      <c r="V37" s="770" t="s">
        <v>21</v>
      </c>
      <c r="W37" s="771">
        <f t="shared" si="14"/>
        <v>100</v>
      </c>
      <c r="X37" s="772"/>
      <c r="Y37" s="3238"/>
      <c r="Z37" s="55" t="str">
        <f t="shared" si="18"/>
        <v>成新度</v>
      </c>
      <c r="AA37" s="773">
        <f t="shared" si="15"/>
        <v>1</v>
      </c>
      <c r="AB37" s="773">
        <f t="shared" si="16"/>
        <v>1</v>
      </c>
      <c r="AC37" s="773">
        <f t="shared" si="17"/>
        <v>1</v>
      </c>
    </row>
    <row r="38" spans="1:29" ht="15">
      <c r="A38" s="472"/>
      <c r="B38" s="422" t="s">
        <v>2569</v>
      </c>
      <c r="C38" s="2613" t="s">
        <v>3574</v>
      </c>
      <c r="D38" s="435">
        <v>100</v>
      </c>
      <c r="E38" s="2613" t="s">
        <v>3574</v>
      </c>
      <c r="F38" s="461">
        <f>SUMIF(114:114,E38,115:115)-SUMIF(114:114,C38,115:115)+100</f>
        <v>100</v>
      </c>
      <c r="G38" s="2613" t="s">
        <v>3574</v>
      </c>
      <c r="H38" s="435">
        <f>SUMIF(114:114,G38,115:115)-SUMIF(114:114,C38,115:115)+100</f>
        <v>100</v>
      </c>
      <c r="I38" s="2613" t="s">
        <v>3574</v>
      </c>
      <c r="J38" s="435">
        <f>SUMIF(114:114,I38,115:115)-SUMIF(114:114,C38,115:115)+100</f>
        <v>100</v>
      </c>
      <c r="K38" s="426">
        <v>1</v>
      </c>
      <c r="L38" s="1140"/>
      <c r="M38" s="1131"/>
      <c r="N38" s="1131"/>
      <c r="O38" s="1131"/>
      <c r="P38" s="3236" t="s">
        <v>2563</v>
      </c>
      <c r="Q38" s="1809" t="str">
        <f t="shared" si="11"/>
        <v>物业管理</v>
      </c>
      <c r="R38" s="774" t="s">
        <v>21</v>
      </c>
      <c r="S38" s="775">
        <f t="shared" si="12"/>
        <v>100</v>
      </c>
      <c r="T38" s="774" t="s">
        <v>21</v>
      </c>
      <c r="U38" s="775">
        <f t="shared" si="13"/>
        <v>100</v>
      </c>
      <c r="V38" s="774" t="s">
        <v>21</v>
      </c>
      <c r="W38" s="775">
        <f t="shared" si="14"/>
        <v>100</v>
      </c>
      <c r="X38" s="1812"/>
      <c r="Y38" s="3238" t="s">
        <v>2563</v>
      </c>
      <c r="Z38" s="1813" t="str">
        <f t="shared" si="18"/>
        <v>物业管理</v>
      </c>
      <c r="AA38" s="1810">
        <f t="shared" si="15"/>
        <v>1</v>
      </c>
      <c r="AB38" s="1810">
        <f t="shared" si="16"/>
        <v>1</v>
      </c>
      <c r="AC38" s="1810">
        <f t="shared" si="17"/>
        <v>1</v>
      </c>
    </row>
    <row r="39" spans="1:29" ht="15">
      <c r="A39" s="472"/>
      <c r="B39" s="422" t="s">
        <v>2570</v>
      </c>
      <c r="C39" s="2613" t="s">
        <v>3596</v>
      </c>
      <c r="D39" s="435">
        <v>100</v>
      </c>
      <c r="E39" s="2613" t="s">
        <v>3596</v>
      </c>
      <c r="F39" s="461">
        <f>SUMIF(116:116,E39,117:117)-SUMIF(116:116,C39,117:117)+100</f>
        <v>100</v>
      </c>
      <c r="G39" s="2613" t="s">
        <v>3596</v>
      </c>
      <c r="H39" s="435">
        <f>SUMIF(116:116,G39,117:117)-SUMIF(116:116,C39,117:117)+100</f>
        <v>100</v>
      </c>
      <c r="I39" s="2613" t="s">
        <v>3596</v>
      </c>
      <c r="J39" s="435">
        <f>SUMIF(116:116,I39,117:117)-SUMIF(116:116,C39,117:117)+100</f>
        <v>100</v>
      </c>
      <c r="K39" s="426">
        <v>1</v>
      </c>
      <c r="L39" s="1140"/>
      <c r="M39" s="1131"/>
      <c r="N39" s="1131"/>
      <c r="O39" s="1131"/>
      <c r="P39" s="3236"/>
      <c r="Q39" s="1809" t="str">
        <f t="shared" si="11"/>
        <v>市政基础设施</v>
      </c>
      <c r="R39" s="774" t="s">
        <v>21</v>
      </c>
      <c r="S39" s="775">
        <f t="shared" si="12"/>
        <v>100</v>
      </c>
      <c r="T39" s="774" t="s">
        <v>21</v>
      </c>
      <c r="U39" s="775">
        <f t="shared" si="13"/>
        <v>100</v>
      </c>
      <c r="V39" s="774" t="s">
        <v>21</v>
      </c>
      <c r="W39" s="775">
        <f t="shared" si="14"/>
        <v>100</v>
      </c>
      <c r="X39" s="1812"/>
      <c r="Y39" s="3238"/>
      <c r="Z39" s="1813" t="str">
        <f t="shared" si="18"/>
        <v>市政基础设施</v>
      </c>
      <c r="AA39" s="1810">
        <f t="shared" si="15"/>
        <v>1</v>
      </c>
      <c r="AB39" s="1810">
        <f t="shared" si="16"/>
        <v>1</v>
      </c>
      <c r="AC39" s="1810">
        <f t="shared" si="17"/>
        <v>1</v>
      </c>
    </row>
    <row r="40" spans="1:29" ht="15" hidden="1">
      <c r="A40" s="472"/>
      <c r="B40" s="422" t="s">
        <v>2571</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36"/>
      <c r="Q40" s="1809" t="str">
        <f t="shared" si="11"/>
        <v>房型</v>
      </c>
      <c r="R40" s="774" t="s">
        <v>21</v>
      </c>
      <c r="S40" s="775">
        <f t="shared" si="12"/>
        <v>100</v>
      </c>
      <c r="T40" s="774" t="s">
        <v>21</v>
      </c>
      <c r="U40" s="775">
        <f t="shared" si="13"/>
        <v>100</v>
      </c>
      <c r="V40" s="774" t="s">
        <v>21</v>
      </c>
      <c r="W40" s="775">
        <f t="shared" si="14"/>
        <v>100</v>
      </c>
      <c r="X40" s="1812"/>
      <c r="Y40" s="3238"/>
      <c r="Z40" s="1813" t="str">
        <f t="shared" si="18"/>
        <v>房型</v>
      </c>
      <c r="AA40" s="1810">
        <f t="shared" si="15"/>
        <v>1</v>
      </c>
      <c r="AB40" s="1810">
        <f t="shared" si="16"/>
        <v>1</v>
      </c>
      <c r="AC40" s="1810">
        <f t="shared" si="17"/>
        <v>1</v>
      </c>
    </row>
    <row r="41" spans="1:29" s="471" customFormat="1" ht="28.8" hidden="1">
      <c r="A41" s="468"/>
      <c r="B41" s="422" t="s">
        <v>2572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0">
        <f t="shared" si="15"/>
        <v>1</v>
      </c>
      <c r="AB41" s="1810">
        <f t="shared" si="16"/>
        <v>1</v>
      </c>
      <c r="AC41" s="1810">
        <f t="shared" si="17"/>
        <v>1</v>
      </c>
    </row>
    <row r="42" spans="1:29" ht="15">
      <c r="A42" s="472"/>
      <c r="B42" s="422" t="s">
        <v>2573</v>
      </c>
      <c r="C42" s="2613" t="s">
        <v>3597</v>
      </c>
      <c r="D42" s="435">
        <v>100</v>
      </c>
      <c r="E42" s="2613" t="s">
        <v>3595</v>
      </c>
      <c r="F42" s="461">
        <f>SUMIF(122:122,E42,123:123)-SUMIF(122:122,C42,123:123)+100</f>
        <v>101.5</v>
      </c>
      <c r="G42" s="2613" t="s">
        <v>3597</v>
      </c>
      <c r="H42" s="435">
        <f>SUMIF(122:122,G42,123:123)-SUMIF(122:122,C42,123:123)+100</f>
        <v>100</v>
      </c>
      <c r="I42" s="2613" t="s">
        <v>3597</v>
      </c>
      <c r="J42" s="435">
        <f>SUMIF(122:122,I42,123:123)-SUMIF(122:122,C42,123:123)+100</f>
        <v>100</v>
      </c>
      <c r="K42" s="426">
        <v>0.5</v>
      </c>
      <c r="L42" s="1140"/>
      <c r="M42" s="1131"/>
      <c r="N42" s="1131"/>
      <c r="O42" s="1131"/>
      <c r="P42" s="3236"/>
      <c r="Q42" s="1809" t="str">
        <f t="shared" si="11"/>
        <v>内部装修</v>
      </c>
      <c r="R42" s="774" t="s">
        <v>21</v>
      </c>
      <c r="S42" s="775">
        <f t="shared" si="12"/>
        <v>101.5</v>
      </c>
      <c r="T42" s="774" t="s">
        <v>21</v>
      </c>
      <c r="U42" s="775">
        <f t="shared" si="13"/>
        <v>100</v>
      </c>
      <c r="V42" s="774" t="s">
        <v>21</v>
      </c>
      <c r="W42" s="775">
        <f t="shared" si="14"/>
        <v>100</v>
      </c>
      <c r="X42" s="1812"/>
      <c r="Y42" s="3238"/>
      <c r="Z42" s="1813" t="str">
        <f t="shared" si="18"/>
        <v>内部装修</v>
      </c>
      <c r="AA42" s="1810">
        <f t="shared" si="15"/>
        <v>0.98522167487684731</v>
      </c>
      <c r="AB42" s="1810">
        <f t="shared" si="16"/>
        <v>1</v>
      </c>
      <c r="AC42" s="1810">
        <f t="shared" si="17"/>
        <v>1</v>
      </c>
    </row>
    <row r="43" spans="1:29" ht="29.4" thickBot="1">
      <c r="A43" s="472"/>
      <c r="B43" s="422" t="s">
        <v>2574</v>
      </c>
      <c r="C43" s="2613" t="s">
        <v>3574</v>
      </c>
      <c r="D43" s="435">
        <v>100</v>
      </c>
      <c r="E43" s="2613" t="s">
        <v>3574</v>
      </c>
      <c r="F43" s="461">
        <f>SUMIF(124:124,E43,125:125)-SUMIF(124:124,C43,125:125)+100</f>
        <v>100</v>
      </c>
      <c r="G43" s="2613" t="s">
        <v>3574</v>
      </c>
      <c r="H43" s="435">
        <f>SUMIF(124:124,G43,125:125)-SUMIF(124:124,C43,125:125)+100</f>
        <v>100</v>
      </c>
      <c r="I43" s="2613" t="s">
        <v>3574</v>
      </c>
      <c r="J43" s="435">
        <f>SUMIF(124:124,I43,125:125)-SUMIF(124:124,C43,125:125)+100</f>
        <v>100</v>
      </c>
      <c r="K43" s="426">
        <v>2</v>
      </c>
      <c r="L43" s="1140"/>
      <c r="M43" s="1131"/>
      <c r="N43" s="1131"/>
      <c r="O43" s="1131"/>
      <c r="P43" s="3236"/>
      <c r="Q43" s="1809" t="str">
        <f t="shared" si="11"/>
        <v>内部装修维护情况</v>
      </c>
      <c r="R43" s="774" t="s">
        <v>21</v>
      </c>
      <c r="S43" s="775">
        <f t="shared" si="12"/>
        <v>100</v>
      </c>
      <c r="T43" s="774" t="s">
        <v>21</v>
      </c>
      <c r="U43" s="775">
        <f t="shared" si="13"/>
        <v>100</v>
      </c>
      <c r="V43" s="774" t="s">
        <v>21</v>
      </c>
      <c r="W43" s="775">
        <f t="shared" si="14"/>
        <v>100</v>
      </c>
      <c r="X43" s="1812"/>
      <c r="Y43" s="3238"/>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6"/>
      <c r="Q44" s="1794">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6"/>
      <c r="Q45" s="1809">
        <f t="shared" si="11"/>
        <v>111</v>
      </c>
      <c r="R45" s="774" t="s">
        <v>21</v>
      </c>
      <c r="S45" s="775">
        <f t="shared" si="12"/>
        <v>100</v>
      </c>
      <c r="T45" s="774" t="s">
        <v>21</v>
      </c>
      <c r="U45" s="775">
        <f t="shared" si="13"/>
        <v>100</v>
      </c>
      <c r="V45" s="774" t="s">
        <v>21</v>
      </c>
      <c r="W45" s="775">
        <f t="shared" si="14"/>
        <v>100</v>
      </c>
      <c r="X45" s="1812"/>
      <c r="Y45" s="3238"/>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7"/>
      <c r="Q46" s="1809">
        <f t="shared" si="11"/>
        <v>111</v>
      </c>
      <c r="R46" s="774" t="s">
        <v>20</v>
      </c>
      <c r="S46" s="775">
        <f t="shared" si="12"/>
        <v>100</v>
      </c>
      <c r="T46" s="774" t="s">
        <v>20</v>
      </c>
      <c r="U46" s="775">
        <f t="shared" si="13"/>
        <v>100</v>
      </c>
      <c r="V46" s="774" t="s">
        <v>20</v>
      </c>
      <c r="W46" s="775">
        <f t="shared" si="14"/>
        <v>100</v>
      </c>
      <c r="X46" s="1812"/>
      <c r="Y46" s="3239"/>
      <c r="Z46" s="1813">
        <f t="shared" si="18"/>
        <v>111</v>
      </c>
      <c r="AA46" s="1810">
        <f t="shared" si="15"/>
        <v>1</v>
      </c>
      <c r="AB46" s="1810">
        <f t="shared" si="16"/>
        <v>1</v>
      </c>
      <c r="AC46" s="1810">
        <f t="shared" si="17"/>
        <v>1</v>
      </c>
    </row>
    <row r="47" spans="1:29" ht="14.4">
      <c r="A47" s="479" t="s">
        <v>2575</v>
      </c>
      <c r="B47" s="480"/>
      <c r="C47" s="1407" t="s">
        <v>19</v>
      </c>
      <c r="D47" s="1408"/>
      <c r="E47" s="1409">
        <v>60800</v>
      </c>
      <c r="F47" s="1410"/>
      <c r="G47" s="1411">
        <v>59000</v>
      </c>
      <c r="H47" s="1412"/>
      <c r="I47" s="1409">
        <v>59048</v>
      </c>
      <c r="J47" s="1412"/>
      <c r="K47" s="2619"/>
      <c r="L47" s="1143"/>
      <c r="M47" s="1144"/>
      <c r="N47" s="1131"/>
      <c r="O47" s="1144"/>
      <c r="P47" s="3231" t="str">
        <f>A47</f>
        <v>成交单价（元/平方米）</v>
      </c>
      <c r="Q47" s="3231"/>
      <c r="R47" s="3232">
        <f>E47</f>
        <v>60800</v>
      </c>
      <c r="S47" s="3232"/>
      <c r="T47" s="3232">
        <f>G47</f>
        <v>59000</v>
      </c>
      <c r="U47" s="3232"/>
      <c r="V47" s="3232">
        <f>I47</f>
        <v>59048</v>
      </c>
      <c r="W47" s="3232"/>
      <c r="X47" s="759"/>
      <c r="Y47" s="781"/>
      <c r="Z47" s="759"/>
      <c r="AA47" s="759"/>
      <c r="AB47" s="759"/>
      <c r="AC47" s="759"/>
    </row>
    <row r="48" spans="1:29" ht="15" thickBot="1">
      <c r="A48" s="486" t="s">
        <v>2576</v>
      </c>
      <c r="B48" s="487"/>
      <c r="C48" s="1413">
        <f>R49</f>
        <v>58949</v>
      </c>
      <c r="D48" s="1414"/>
      <c r="E48" s="1415">
        <f>R48</f>
        <v>60519</v>
      </c>
      <c r="F48" s="1415"/>
      <c r="G48" s="1413">
        <f>T48</f>
        <v>59000</v>
      </c>
      <c r="H48" s="1414"/>
      <c r="I48" s="1415">
        <f>V48</f>
        <v>57328</v>
      </c>
      <c r="J48" s="1414"/>
      <c r="K48" s="2620"/>
      <c r="L48" s="1143"/>
      <c r="M48" s="1144"/>
      <c r="N48" s="1144"/>
      <c r="O48" s="1144"/>
      <c r="P48" s="3231" t="str">
        <f>A48</f>
        <v>比较价值（元/平方米）</v>
      </c>
      <c r="Q48" s="3231"/>
      <c r="R48" s="3232">
        <f>IF(F1="售价",ROUND(PRODUCT(R47,AA7:AA46),0),ROUND(PRODUCT(R47,AA7:AA46),1))</f>
        <v>60519</v>
      </c>
      <c r="S48" s="3232"/>
      <c r="T48" s="3232">
        <f>IF(F1="售价",ROUND(PRODUCT(T47,AB7:AB46),0),ROUND(PRODUCT(T47,AB7:AB46),1))</f>
        <v>59000</v>
      </c>
      <c r="U48" s="3232"/>
      <c r="V48" s="3232">
        <f>IF(F1="售价",ROUND(PRODUCT(V47,AC7:AC46),0),ROUND(PRODUCT(V47,AC7:AC46),1))</f>
        <v>57328</v>
      </c>
      <c r="W48" s="3232"/>
      <c r="X48" s="759"/>
      <c r="Y48" s="759"/>
      <c r="Z48" s="759"/>
      <c r="AA48" s="759"/>
      <c r="AB48" s="759"/>
      <c r="AC48" s="759"/>
    </row>
    <row r="49" spans="1:29" ht="15" thickBot="1">
      <c r="A49" s="492" t="s">
        <v>2577</v>
      </c>
      <c r="B49" s="493"/>
      <c r="C49" s="1416">
        <f>R49</f>
        <v>58949</v>
      </c>
      <c r="D49" s="1417"/>
      <c r="E49" s="1417"/>
      <c r="F49" s="1417"/>
      <c r="G49" s="1417"/>
      <c r="H49" s="1417"/>
      <c r="I49" s="1417"/>
      <c r="J49" s="1417"/>
      <c r="K49" s="2621"/>
      <c r="L49" s="1143"/>
      <c r="M49" s="1144"/>
      <c r="N49" s="1144"/>
      <c r="O49" s="1144"/>
      <c r="P49" s="3228" t="str">
        <f>A49</f>
        <v>估价对象XX用房的比较价值（楼面单价，元/平方米）</v>
      </c>
      <c r="Q49" s="3229"/>
      <c r="R49" s="3230">
        <f>IF(F1="售价",ROUND(AVERAGE(R48:V48),0),ROUND(AVERAGE(R48:V48),1))</f>
        <v>58949</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2579</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2973" t="s">
        <v>3569</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2611</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2612</v>
      </c>
      <c r="C105" s="2974" t="s">
        <v>3570</v>
      </c>
      <c r="D105" s="2974" t="s">
        <v>3571</v>
      </c>
      <c r="E105" s="2975" t="s">
        <v>3572</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2613</v>
      </c>
      <c r="C107" s="583" t="s">
        <v>3573</v>
      </c>
      <c r="D107" s="583" t="s">
        <v>3574</v>
      </c>
      <c r="E107" s="583" t="s">
        <v>3575</v>
      </c>
      <c r="F107" s="583" t="s">
        <v>3576</v>
      </c>
      <c r="G107" s="583" t="s">
        <v>3577</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2614</v>
      </c>
      <c r="C109" s="2974" t="s">
        <v>3578</v>
      </c>
      <c r="D109" s="2974" t="s">
        <v>3579</v>
      </c>
      <c r="E109" s="2974" t="s">
        <v>3580</v>
      </c>
      <c r="F109" s="2975" t="s">
        <v>3581</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583" t="s">
        <v>3573</v>
      </c>
      <c r="D114" s="583" t="s">
        <v>3574</v>
      </c>
      <c r="E114" s="583" t="s">
        <v>3575</v>
      </c>
      <c r="F114" s="583" t="s">
        <v>3576</v>
      </c>
      <c r="G114" s="583" t="s">
        <v>3577</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2616</v>
      </c>
      <c r="C116" s="2974" t="s">
        <v>3582</v>
      </c>
      <c r="D116" s="2974" t="s">
        <v>3583</v>
      </c>
      <c r="E116" s="2974" t="s">
        <v>3584</v>
      </c>
      <c r="F116" s="2974" t="s">
        <v>3585</v>
      </c>
      <c r="G116" s="2974" t="s">
        <v>3586</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74" t="s">
        <v>3578</v>
      </c>
      <c r="D122" s="2974" t="s">
        <v>3579</v>
      </c>
      <c r="E122" s="2974" t="s">
        <v>3580</v>
      </c>
      <c r="F122" s="2975" t="s">
        <v>3581</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5"/>
      <c r="F1" s="2585"/>
      <c r="G1" s="1630" t="s">
        <v>2641</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2330</v>
      </c>
      <c r="B3" s="609" t="e">
        <f ca="1">IF(C2="——",C49,ROUND(B2*10000/D3,0))</f>
        <v>#DIV/0!</v>
      </c>
      <c r="C3" s="400" t="s">
        <v>2642</v>
      </c>
      <c r="D3" s="399">
        <f>IF(D1="",'数据-汇总表'!E3,SUMIF('数据-汇总表'!$C19:$C33,D1,'数据-汇总表'!$E19:$E33))</f>
        <v>111776.38999999998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226" t="s">
        <v>2646</v>
      </c>
      <c r="AC4" s="3195" t="s">
        <v>2647</v>
      </c>
    </row>
    <row r="5" spans="1:29">
      <c r="A5" s="404"/>
      <c r="B5" s="405"/>
      <c r="C5" s="3243" t="s">
        <v>2540</v>
      </c>
      <c r="D5" s="3207"/>
      <c r="E5" s="3242" t="s">
        <v>2541</v>
      </c>
      <c r="F5" s="3205"/>
      <c r="G5" s="3243" t="s">
        <v>2542</v>
      </c>
      <c r="H5" s="3207"/>
      <c r="I5" s="3243" t="s">
        <v>2543</v>
      </c>
      <c r="J5" s="3207"/>
      <c r="K5" s="610"/>
      <c r="L5" s="1130"/>
      <c r="M5" s="1131"/>
      <c r="N5" s="1131"/>
      <c r="O5" s="1131"/>
      <c r="P5" s="3220"/>
      <c r="Q5" s="3221"/>
      <c r="R5" s="3202"/>
      <c r="S5" s="3203"/>
      <c r="T5" s="3202"/>
      <c r="U5" s="3203"/>
      <c r="V5" s="3226"/>
      <c r="W5" s="3226"/>
      <c r="X5" s="1812"/>
      <c r="Y5" s="3202"/>
      <c r="Z5" s="3203"/>
      <c r="AA5" s="3196"/>
      <c r="AB5" s="3226"/>
      <c r="AC5" s="3196"/>
    </row>
    <row r="6" spans="1:29" ht="15" thickBot="1">
      <c r="A6" s="406"/>
      <c r="B6" s="407"/>
      <c r="C6" s="3208" t="s">
        <v>2544</v>
      </c>
      <c r="D6" s="3209"/>
      <c r="E6" s="3210" t="s">
        <v>2544</v>
      </c>
      <c r="F6" s="3211"/>
      <c r="G6" s="3208" t="s">
        <v>2544</v>
      </c>
      <c r="H6" s="3209"/>
      <c r="I6" s="3208" t="s">
        <v>2544</v>
      </c>
      <c r="J6" s="3209"/>
      <c r="K6" s="610" t="s">
        <v>2545</v>
      </c>
      <c r="L6" s="1130"/>
      <c r="M6" s="1131"/>
      <c r="N6" s="1131"/>
      <c r="O6" s="1131"/>
      <c r="P6" s="3222"/>
      <c r="Q6" s="3223"/>
      <c r="R6" s="3202"/>
      <c r="S6" s="3203"/>
      <c r="T6" s="3224"/>
      <c r="U6" s="3225"/>
      <c r="V6" s="3226"/>
      <c r="W6" s="3226"/>
      <c r="X6" s="1812"/>
      <c r="Y6" s="3224"/>
      <c r="Z6" s="3225"/>
      <c r="AA6" s="3197"/>
      <c r="AB6" s="3226"/>
      <c r="AC6" s="3197"/>
    </row>
    <row r="7" spans="1:29" s="117" customFormat="1" ht="15" thickBot="1">
      <c r="A7" s="408" t="s">
        <v>2546</v>
      </c>
      <c r="B7" s="409"/>
      <c r="C7" s="410">
        <f>'数据-取费表'!B2</f>
        <v>43627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8" t="s">
        <v>2547</v>
      </c>
      <c r="Q7" s="3227"/>
      <c r="R7" s="770" t="s">
        <v>17</v>
      </c>
      <c r="S7" s="771">
        <f t="shared" ref="S7:S15" si="0">F7</f>
        <v>0</v>
      </c>
      <c r="T7" s="770" t="s">
        <v>17</v>
      </c>
      <c r="U7" s="771">
        <f t="shared" ref="U7:U15" si="1">H7</f>
        <v>0</v>
      </c>
      <c r="V7" s="770" t="s">
        <v>17</v>
      </c>
      <c r="W7" s="771">
        <f t="shared" ref="W7:W15" si="2">J7</f>
        <v>0</v>
      </c>
      <c r="X7" s="772"/>
      <c r="Y7" s="3198" t="s">
        <v>2547</v>
      </c>
      <c r="Z7" s="3199"/>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8" t="s">
        <v>2550</v>
      </c>
      <c r="Q8" s="3199"/>
      <c r="R8" s="770" t="s">
        <v>17</v>
      </c>
      <c r="S8" s="771">
        <f t="shared" si="0"/>
        <v>0</v>
      </c>
      <c r="T8" s="770" t="s">
        <v>17</v>
      </c>
      <c r="U8" s="771">
        <f t="shared" si="1"/>
        <v>0</v>
      </c>
      <c r="V8" s="770" t="s">
        <v>17</v>
      </c>
      <c r="W8" s="771">
        <f t="shared" si="2"/>
        <v>0</v>
      </c>
      <c r="X8" s="772"/>
      <c r="Y8" s="3198" t="s">
        <v>2550</v>
      </c>
      <c r="Z8" s="3199"/>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3"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3"/>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0" t="s">
        <v>2558</v>
      </c>
      <c r="Q15" s="1809" t="str">
        <f t="shared" si="6"/>
        <v>商业繁华度</v>
      </c>
      <c r="R15" s="774" t="s">
        <v>17</v>
      </c>
      <c r="S15" s="775">
        <f t="shared" si="0"/>
        <v>100</v>
      </c>
      <c r="T15" s="774" t="s">
        <v>17</v>
      </c>
      <c r="U15" s="775">
        <f t="shared" si="1"/>
        <v>100</v>
      </c>
      <c r="V15" s="774" t="s">
        <v>17</v>
      </c>
      <c r="W15" s="775">
        <f t="shared" si="2"/>
        <v>100</v>
      </c>
      <c r="X15" s="1812"/>
      <c r="Y15" s="3233"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1"/>
      <c r="Q16" s="1809"/>
      <c r="R16" s="774"/>
      <c r="S16" s="775"/>
      <c r="T16" s="774"/>
      <c r="U16" s="775"/>
      <c r="V16" s="774"/>
      <c r="W16" s="775"/>
      <c r="X16" s="1812"/>
      <c r="Y16" s="3234"/>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1"/>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1"/>
      <c r="Q18" s="1809"/>
      <c r="R18" s="774"/>
      <c r="S18" s="775"/>
      <c r="T18" s="774"/>
      <c r="U18" s="775"/>
      <c r="V18" s="774"/>
      <c r="W18" s="775"/>
      <c r="X18" s="1812"/>
      <c r="Y18" s="3234"/>
      <c r="Z18" s="1813"/>
      <c r="AA18" s="1810">
        <v>1</v>
      </c>
      <c r="AB18" s="1810">
        <v>1</v>
      </c>
      <c r="AC18" s="1810">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1"/>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1"/>
      <c r="Q20" s="1809"/>
      <c r="R20" s="774"/>
      <c r="S20" s="775"/>
      <c r="T20" s="774"/>
      <c r="U20" s="775"/>
      <c r="V20" s="774"/>
      <c r="W20" s="775"/>
      <c r="X20" s="1812"/>
      <c r="Y20" s="3234"/>
      <c r="Z20" s="1813"/>
      <c r="AA20" s="1810">
        <v>1</v>
      </c>
      <c r="AB20" s="1810">
        <v>1</v>
      </c>
      <c r="AC20" s="1810">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41"/>
      <c r="Q22" s="1809"/>
      <c r="R22" s="774"/>
      <c r="S22" s="775"/>
      <c r="T22" s="774"/>
      <c r="U22" s="775"/>
      <c r="V22" s="774"/>
      <c r="W22" s="775"/>
      <c r="X22" s="1812"/>
      <c r="Y22" s="3234"/>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1"/>
      <c r="Q23" s="1809" t="str">
        <f>B23</f>
        <v>自然及人文环境</v>
      </c>
      <c r="R23" s="774" t="s">
        <v>17</v>
      </c>
      <c r="S23" s="775">
        <f>F23</f>
        <v>100</v>
      </c>
      <c r="T23" s="774" t="s">
        <v>17</v>
      </c>
      <c r="U23" s="775">
        <f>H23</f>
        <v>100</v>
      </c>
      <c r="V23" s="774" t="s">
        <v>17</v>
      </c>
      <c r="W23" s="775">
        <f>J23</f>
        <v>100</v>
      </c>
      <c r="X23" s="1812"/>
      <c r="Y23" s="3234"/>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1"/>
      <c r="Q24" s="1809"/>
      <c r="R24" s="774"/>
      <c r="S24" s="775"/>
      <c r="T24" s="774"/>
      <c r="U24" s="775"/>
      <c r="V24" s="774"/>
      <c r="W24" s="775"/>
      <c r="X24" s="1812"/>
      <c r="Y24" s="3234"/>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1"/>
      <c r="Q25" s="1809" t="str">
        <f t="shared" ref="Q25:Q46" si="11">B25</f>
        <v>临街状况</v>
      </c>
      <c r="R25" s="774" t="s">
        <v>17</v>
      </c>
      <c r="S25" s="775">
        <f>F25</f>
        <v>100</v>
      </c>
      <c r="T25" s="774" t="s">
        <v>17</v>
      </c>
      <c r="U25" s="775">
        <f>H25</f>
        <v>100</v>
      </c>
      <c r="V25" s="774" t="s">
        <v>17</v>
      </c>
      <c r="W25" s="775">
        <f>J25</f>
        <v>100</v>
      </c>
      <c r="X25" s="1812"/>
      <c r="Y25" s="3234"/>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1"/>
      <c r="Q26" s="1809" t="str">
        <f t="shared" si="11"/>
        <v>平面位置/可视性</v>
      </c>
      <c r="R26" s="774" t="s">
        <v>17</v>
      </c>
      <c r="S26" s="775">
        <f>F26</f>
        <v>100</v>
      </c>
      <c r="T26" s="774" t="s">
        <v>17</v>
      </c>
      <c r="U26" s="775">
        <f>H26</f>
        <v>100</v>
      </c>
      <c r="V26" s="774" t="s">
        <v>17</v>
      </c>
      <c r="W26" s="775">
        <f>J26</f>
        <v>100</v>
      </c>
      <c r="X26" s="1812"/>
      <c r="Y26" s="3234"/>
      <c r="Z26" s="1813" t="str">
        <f>Q26</f>
        <v>平面位置/可视性</v>
      </c>
      <c r="AA26" s="1810">
        <f t="shared" si="3"/>
        <v>1</v>
      </c>
      <c r="AB26" s="1810">
        <f t="shared" si="4"/>
        <v>1</v>
      </c>
      <c r="AC26" s="1810">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1"/>
      <c r="Q27" s="1794" t="str">
        <f t="shared" si="11"/>
        <v>人流量</v>
      </c>
      <c r="R27" s="770" t="s">
        <v>17</v>
      </c>
      <c r="S27" s="771">
        <f>F27</f>
        <v>100</v>
      </c>
      <c r="T27" s="770" t="s">
        <v>17</v>
      </c>
      <c r="U27" s="771">
        <f>H27</f>
        <v>100</v>
      </c>
      <c r="V27" s="770" t="s">
        <v>17</v>
      </c>
      <c r="W27" s="771">
        <f>J27</f>
        <v>100</v>
      </c>
      <c r="X27" s="772"/>
      <c r="Y27" s="3234"/>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1"/>
      <c r="Q29" s="1809">
        <f t="shared" si="11"/>
        <v>111</v>
      </c>
      <c r="R29" s="774" t="s">
        <v>17</v>
      </c>
      <c r="S29" s="775">
        <f t="shared" si="12"/>
        <v>100</v>
      </c>
      <c r="T29" s="774" t="s">
        <v>17</v>
      </c>
      <c r="U29" s="775">
        <f t="shared" si="13"/>
        <v>100</v>
      </c>
      <c r="V29" s="774" t="s">
        <v>17</v>
      </c>
      <c r="W29" s="775">
        <f t="shared" si="14"/>
        <v>100</v>
      </c>
      <c r="X29" s="1812"/>
      <c r="Y29" s="323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5" t="s">
        <v>2563</v>
      </c>
      <c r="Q32" s="1809" t="str">
        <f t="shared" si="11"/>
        <v>商业类型</v>
      </c>
      <c r="R32" s="774" t="s">
        <v>17</v>
      </c>
      <c r="S32" s="775">
        <f t="shared" si="12"/>
        <v>100</v>
      </c>
      <c r="T32" s="774" t="s">
        <v>17</v>
      </c>
      <c r="U32" s="775">
        <f t="shared" si="13"/>
        <v>100</v>
      </c>
      <c r="V32" s="774" t="s">
        <v>17</v>
      </c>
      <c r="W32" s="775">
        <f t="shared" si="14"/>
        <v>100</v>
      </c>
      <c r="X32" s="1812"/>
      <c r="Y32" s="3238"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0" t="e">
        <f t="shared" si="3"/>
        <v>#N/A</v>
      </c>
      <c r="AB33" s="1810" t="e">
        <f t="shared" si="4"/>
        <v>#N/A</v>
      </c>
      <c r="AC33" s="1810"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6"/>
      <c r="Q34" s="1809" t="str">
        <f t="shared" si="11"/>
        <v>建筑结构</v>
      </c>
      <c r="R34" s="774" t="s">
        <v>17</v>
      </c>
      <c r="S34" s="775">
        <f t="shared" si="12"/>
        <v>100</v>
      </c>
      <c r="T34" s="774" t="s">
        <v>17</v>
      </c>
      <c r="U34" s="775">
        <f t="shared" si="13"/>
        <v>100</v>
      </c>
      <c r="V34" s="774" t="s">
        <v>17</v>
      </c>
      <c r="W34" s="775">
        <f t="shared" si="14"/>
        <v>100</v>
      </c>
      <c r="X34" s="1812"/>
      <c r="Y34" s="3238"/>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6"/>
      <c r="Q35" s="1809" t="str">
        <f t="shared" si="11"/>
        <v>公共部分装修</v>
      </c>
      <c r="R35" s="774" t="s">
        <v>17</v>
      </c>
      <c r="S35" s="775">
        <f t="shared" si="12"/>
        <v>100</v>
      </c>
      <c r="T35" s="774" t="s">
        <v>17</v>
      </c>
      <c r="U35" s="775">
        <f t="shared" si="13"/>
        <v>100</v>
      </c>
      <c r="V35" s="774" t="s">
        <v>17</v>
      </c>
      <c r="W35" s="775">
        <f t="shared" si="14"/>
        <v>100</v>
      </c>
      <c r="X35" s="1812"/>
      <c r="Y35" s="3238"/>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6"/>
      <c r="Q36" s="1809" t="str">
        <f t="shared" si="11"/>
        <v>成新度</v>
      </c>
      <c r="R36" s="774" t="s">
        <v>17</v>
      </c>
      <c r="S36" s="775" t="e">
        <f t="shared" si="12"/>
        <v>#N/A</v>
      </c>
      <c r="T36" s="774" t="s">
        <v>17</v>
      </c>
      <c r="U36" s="775" t="e">
        <f t="shared" si="13"/>
        <v>#N/A</v>
      </c>
      <c r="V36" s="774" t="s">
        <v>17</v>
      </c>
      <c r="W36" s="775" t="e">
        <f t="shared" si="14"/>
        <v>#N/A</v>
      </c>
      <c r="X36" s="1812"/>
      <c r="Y36" s="3238"/>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6"/>
      <c r="Q37" s="1794"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6" t="s">
        <v>2563</v>
      </c>
      <c r="Q38" s="1809" t="str">
        <f t="shared" si="11"/>
        <v>业态</v>
      </c>
      <c r="R38" s="774" t="s">
        <v>17</v>
      </c>
      <c r="S38" s="775">
        <f t="shared" si="12"/>
        <v>100</v>
      </c>
      <c r="T38" s="774" t="s">
        <v>17</v>
      </c>
      <c r="U38" s="775">
        <f t="shared" si="13"/>
        <v>100</v>
      </c>
      <c r="V38" s="774" t="s">
        <v>17</v>
      </c>
      <c r="W38" s="775">
        <f t="shared" si="14"/>
        <v>100</v>
      </c>
      <c r="X38" s="1812"/>
      <c r="Y38" s="3238"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6"/>
      <c r="Q39" s="1809" t="str">
        <f t="shared" si="11"/>
        <v>层高</v>
      </c>
      <c r="R39" s="774" t="s">
        <v>17</v>
      </c>
      <c r="S39" s="775">
        <f t="shared" si="12"/>
        <v>100</v>
      </c>
      <c r="T39" s="774" t="s">
        <v>17</v>
      </c>
      <c r="U39" s="775">
        <f t="shared" si="13"/>
        <v>100</v>
      </c>
      <c r="V39" s="774" t="s">
        <v>17</v>
      </c>
      <c r="W39" s="775">
        <f t="shared" si="14"/>
        <v>100</v>
      </c>
      <c r="X39" s="1812"/>
      <c r="Y39" s="3238"/>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6"/>
      <c r="Q40" s="1809" t="str">
        <f t="shared" si="11"/>
        <v>单套建筑面积</v>
      </c>
      <c r="R40" s="774" t="s">
        <v>17</v>
      </c>
      <c r="S40" s="775">
        <f t="shared" si="12"/>
        <v>100</v>
      </c>
      <c r="T40" s="774" t="s">
        <v>17</v>
      </c>
      <c r="U40" s="775">
        <f t="shared" si="13"/>
        <v>100</v>
      </c>
      <c r="V40" s="774" t="s">
        <v>17</v>
      </c>
      <c r="W40" s="775">
        <f t="shared" si="14"/>
        <v>100</v>
      </c>
      <c r="X40" s="1812"/>
      <c r="Y40" s="3238"/>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6"/>
      <c r="Q42" s="1809" t="str">
        <f t="shared" si="11"/>
        <v>内部装修</v>
      </c>
      <c r="R42" s="774" t="s">
        <v>17</v>
      </c>
      <c r="S42" s="775">
        <f t="shared" si="12"/>
        <v>100</v>
      </c>
      <c r="T42" s="774" t="s">
        <v>17</v>
      </c>
      <c r="U42" s="775">
        <f t="shared" si="13"/>
        <v>100</v>
      </c>
      <c r="V42" s="774" t="s">
        <v>17</v>
      </c>
      <c r="W42" s="775">
        <f t="shared" si="14"/>
        <v>100</v>
      </c>
      <c r="X42" s="1812"/>
      <c r="Y42" s="3238"/>
      <c r="Z42" s="1813" t="str">
        <f t="shared" si="15"/>
        <v>内部装修</v>
      </c>
      <c r="AA42" s="1810">
        <f t="shared" si="3"/>
        <v>1</v>
      </c>
      <c r="AB42" s="1810">
        <f t="shared" si="4"/>
        <v>1</v>
      </c>
      <c r="AC42" s="1810">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6"/>
      <c r="Q43" s="1809" t="str">
        <f t="shared" si="11"/>
        <v>内部装修维护情况</v>
      </c>
      <c r="R43" s="774" t="s">
        <v>17</v>
      </c>
      <c r="S43" s="775">
        <f t="shared" si="12"/>
        <v>100</v>
      </c>
      <c r="T43" s="774" t="s">
        <v>17</v>
      </c>
      <c r="U43" s="775">
        <f t="shared" si="13"/>
        <v>100</v>
      </c>
      <c r="V43" s="774" t="s">
        <v>17</v>
      </c>
      <c r="W43" s="775">
        <f t="shared" si="14"/>
        <v>100</v>
      </c>
      <c r="X43" s="1812"/>
      <c r="Y43" s="323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6"/>
      <c r="Q44" s="1794">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6"/>
      <c r="Q45" s="1809">
        <f t="shared" si="11"/>
        <v>111</v>
      </c>
      <c r="R45" s="774" t="s">
        <v>17</v>
      </c>
      <c r="S45" s="775">
        <f t="shared" si="12"/>
        <v>100</v>
      </c>
      <c r="T45" s="774" t="s">
        <v>17</v>
      </c>
      <c r="U45" s="775">
        <f t="shared" si="13"/>
        <v>100</v>
      </c>
      <c r="V45" s="774" t="s">
        <v>17</v>
      </c>
      <c r="W45" s="775">
        <f t="shared" si="14"/>
        <v>100</v>
      </c>
      <c r="X45" s="1812"/>
      <c r="Y45" s="3238"/>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7"/>
      <c r="Q46" s="1809">
        <f t="shared" si="11"/>
        <v>111</v>
      </c>
      <c r="R46" s="774" t="s">
        <v>17</v>
      </c>
      <c r="S46" s="775">
        <f t="shared" si="12"/>
        <v>100</v>
      </c>
      <c r="T46" s="774" t="s">
        <v>17</v>
      </c>
      <c r="U46" s="775">
        <f t="shared" si="13"/>
        <v>100</v>
      </c>
      <c r="V46" s="774" t="s">
        <v>17</v>
      </c>
      <c r="W46" s="775">
        <f t="shared" si="14"/>
        <v>100</v>
      </c>
      <c r="X46" s="1812"/>
      <c r="Y46" s="3239"/>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70" zoomScaleNormal="70" workbookViewId="0">
      <selection activeCell="C49" sqref="C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2684</v>
      </c>
      <c r="C1" s="1619" t="s">
        <v>2528</v>
      </c>
      <c r="D1" s="1620" t="s">
        <v>3567</v>
      </c>
      <c r="E1" s="1629"/>
      <c r="F1" s="2585" t="s">
        <v>3599</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f>IF(C2="——",ROUND(C50*D3/10000,0),ROUND(C50*D3/10000,0)-D2)</f>
        <v>71857</v>
      </c>
      <c r="C2" s="2587" t="s">
        <v>70</v>
      </c>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32115</v>
      </c>
      <c r="C3" s="400" t="s">
        <v>2642</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50" t="s">
        <v>2649</v>
      </c>
      <c r="Q4" s="3251"/>
      <c r="R4" s="3245" t="s">
        <v>2645</v>
      </c>
      <c r="S4" s="3246"/>
      <c r="T4" s="3245" t="s">
        <v>2646</v>
      </c>
      <c r="U4" s="3246"/>
      <c r="V4" s="3254" t="s">
        <v>2647</v>
      </c>
      <c r="W4" s="3254"/>
      <c r="X4" s="2668"/>
      <c r="Y4" s="3245" t="s">
        <v>2649</v>
      </c>
      <c r="Z4" s="3246"/>
      <c r="AA4" s="3244" t="s">
        <v>2645</v>
      </c>
      <c r="AB4" s="3244" t="s">
        <v>2646</v>
      </c>
      <c r="AC4" s="3247" t="s">
        <v>2647</v>
      </c>
    </row>
    <row r="5" spans="1:29">
      <c r="A5" s="404"/>
      <c r="B5" s="405"/>
      <c r="C5" s="3243" t="str">
        <f>'土地比较法-住宅、综合'!C5:D5</f>
        <v>东方蓝海中心</v>
      </c>
      <c r="D5" s="3207"/>
      <c r="E5" s="3204" t="s">
        <v>3629</v>
      </c>
      <c r="F5" s="3205"/>
      <c r="G5" s="3206" t="s">
        <v>3632</v>
      </c>
      <c r="H5" s="3207"/>
      <c r="I5" s="3206" t="s">
        <v>3634</v>
      </c>
      <c r="J5" s="3207"/>
      <c r="K5" s="610"/>
      <c r="L5" s="1130"/>
      <c r="M5" s="1131"/>
      <c r="N5" s="1131"/>
      <c r="O5" s="1131"/>
      <c r="P5" s="3252"/>
      <c r="Q5" s="3221"/>
      <c r="R5" s="3202"/>
      <c r="S5" s="3203"/>
      <c r="T5" s="3202"/>
      <c r="U5" s="3203"/>
      <c r="V5" s="3226"/>
      <c r="W5" s="3226"/>
      <c r="X5" s="1812"/>
      <c r="Y5" s="3202"/>
      <c r="Z5" s="3203"/>
      <c r="AA5" s="3196"/>
      <c r="AB5" s="3196"/>
      <c r="AC5" s="3248"/>
    </row>
    <row r="6" spans="1:29" ht="15" thickBot="1">
      <c r="A6" s="406"/>
      <c r="B6" s="407"/>
      <c r="C6" s="3212" t="s">
        <v>3603</v>
      </c>
      <c r="D6" s="3209"/>
      <c r="E6" s="3320" t="s">
        <v>3604</v>
      </c>
      <c r="F6" s="3211"/>
      <c r="G6" s="3212" t="s">
        <v>3633</v>
      </c>
      <c r="H6" s="3209"/>
      <c r="I6" s="3212" t="s">
        <v>3603</v>
      </c>
      <c r="J6" s="3209"/>
      <c r="K6" s="610" t="s">
        <v>2545</v>
      </c>
      <c r="L6" s="1130"/>
      <c r="M6" s="1131"/>
      <c r="N6" s="1131"/>
      <c r="O6" s="1131"/>
      <c r="P6" s="3253"/>
      <c r="Q6" s="3223"/>
      <c r="R6" s="3202"/>
      <c r="S6" s="3203"/>
      <c r="T6" s="3224"/>
      <c r="U6" s="3225"/>
      <c r="V6" s="3226"/>
      <c r="W6" s="3226"/>
      <c r="X6" s="1812"/>
      <c r="Y6" s="3224"/>
      <c r="Z6" s="3225"/>
      <c r="AA6" s="3197"/>
      <c r="AB6" s="3197"/>
      <c r="AC6" s="3249"/>
    </row>
    <row r="7" spans="1:29" s="117" customFormat="1" ht="15" thickBot="1">
      <c r="A7" s="408" t="s">
        <v>2546</v>
      </c>
      <c r="B7" s="409"/>
      <c r="C7" s="410">
        <f>'数据-取费表'!B2</f>
        <v>43627</v>
      </c>
      <c r="D7" s="411">
        <v>100</v>
      </c>
      <c r="E7" s="412">
        <v>43525</v>
      </c>
      <c r="F7" s="413">
        <f>SUMIF(59:59,YEAR(E7)&amp;"-"&amp;MONTH(E7),60:60)</f>
        <v>99</v>
      </c>
      <c r="G7" s="412">
        <v>43435</v>
      </c>
      <c r="H7" s="411">
        <f>SUMIF(59:59,YEAR(G7)&amp;"-"&amp;MONTH(G7),60:60)</f>
        <v>98</v>
      </c>
      <c r="I7" s="412">
        <v>43466</v>
      </c>
      <c r="J7" s="411">
        <f>SUMIF(59:59,YEAR(I7)&amp;"-"&amp;MONTH(I7),60:60)</f>
        <v>99</v>
      </c>
      <c r="K7" s="611"/>
      <c r="L7" s="1132"/>
      <c r="M7" s="1133"/>
      <c r="N7" s="1133"/>
      <c r="O7" s="1133"/>
      <c r="P7" s="3255" t="s">
        <v>2547</v>
      </c>
      <c r="Q7" s="3227"/>
      <c r="R7" s="770" t="s">
        <v>17</v>
      </c>
      <c r="S7" s="771">
        <f t="shared" ref="S7:S15" si="0">F7</f>
        <v>99</v>
      </c>
      <c r="T7" s="770" t="s">
        <v>17</v>
      </c>
      <c r="U7" s="771">
        <f t="shared" ref="U7:U15" si="1">H7</f>
        <v>98</v>
      </c>
      <c r="V7" s="770" t="s">
        <v>17</v>
      </c>
      <c r="W7" s="771">
        <f t="shared" ref="W7:W15" si="2">J7</f>
        <v>99</v>
      </c>
      <c r="X7" s="772"/>
      <c r="Y7" s="3198" t="s">
        <v>2547</v>
      </c>
      <c r="Z7" s="3199"/>
      <c r="AA7" s="773">
        <f>D7/F7</f>
        <v>1.0101010101010102</v>
      </c>
      <c r="AB7" s="773">
        <f>D7/H7</f>
        <v>1.0204081632653061</v>
      </c>
      <c r="AC7" s="2669">
        <f>D7/J7</f>
        <v>1.0101010101010102</v>
      </c>
    </row>
    <row r="8" spans="1:29" s="117" customFormat="1" ht="1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55" t="s">
        <v>2550</v>
      </c>
      <c r="Q8" s="3199"/>
      <c r="R8" s="770" t="s">
        <v>17</v>
      </c>
      <c r="S8" s="771">
        <f t="shared" si="0"/>
        <v>100</v>
      </c>
      <c r="T8" s="770" t="s">
        <v>17</v>
      </c>
      <c r="U8" s="771">
        <f t="shared" si="1"/>
        <v>100</v>
      </c>
      <c r="V8" s="770" t="s">
        <v>17</v>
      </c>
      <c r="W8" s="771">
        <f t="shared" si="2"/>
        <v>100</v>
      </c>
      <c r="X8" s="772"/>
      <c r="Y8" s="3198" t="s">
        <v>2550</v>
      </c>
      <c r="Z8" s="3199"/>
      <c r="AA8" s="773">
        <f t="shared" ref="AA8:AA47" si="3">D8/F8</f>
        <v>1</v>
      </c>
      <c r="AB8" s="773">
        <f t="shared" ref="AB8:AB47" si="4">D8/H8</f>
        <v>1</v>
      </c>
      <c r="AC8" s="2669">
        <f t="shared" ref="AC8:AC47" si="5">D8/J8</f>
        <v>1</v>
      </c>
    </row>
    <row r="9" spans="1:29" s="117" customFormat="1" ht="14.4">
      <c r="A9" s="415" t="s">
        <v>2551</v>
      </c>
      <c r="B9" s="71" t="s">
        <v>2552</v>
      </c>
      <c r="C9" s="2976" t="s">
        <v>3630</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3"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2669">
        <f t="shared" si="5"/>
        <v>1</v>
      </c>
    </row>
    <row r="10" spans="1:29" s="427" customFormat="1" ht="28.8">
      <c r="A10" s="421"/>
      <c r="B10" s="422" t="s">
        <v>2555</v>
      </c>
      <c r="C10" s="423" t="s">
        <v>3631</v>
      </c>
      <c r="D10" s="136">
        <v>100</v>
      </c>
      <c r="E10" s="423" t="s">
        <v>3631</v>
      </c>
      <c r="F10" s="136">
        <f>SUMIF(66:66,E10,67:67)-SUMIF(66:66,C10,67:67)+100</f>
        <v>100</v>
      </c>
      <c r="G10" s="423" t="s">
        <v>3631</v>
      </c>
      <c r="H10" s="136">
        <f>SUMIF(66:66,G10,67:67)-SUMIF(66:66,C10,67:67)+100</f>
        <v>100</v>
      </c>
      <c r="I10" s="423" t="s">
        <v>3631</v>
      </c>
      <c r="J10" s="136">
        <f>SUMIF(66:66,I10,67:67)-SUMIF(66:66,C10,67:67)+100</f>
        <v>100</v>
      </c>
      <c r="K10" s="612">
        <f>'比较法-住宅'!K10</f>
        <v>1</v>
      </c>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69">
        <f t="shared" si="5"/>
        <v>1</v>
      </c>
    </row>
    <row r="11" spans="1:29" ht="15.6" thickBot="1">
      <c r="A11" s="428"/>
      <c r="B11" s="422" t="s">
        <v>2556</v>
      </c>
      <c r="C11" s="429">
        <f>'比较法-住宅'!C11</f>
        <v>3.79</v>
      </c>
      <c r="D11" s="136">
        <v>100</v>
      </c>
      <c r="E11" s="429">
        <v>2.94</v>
      </c>
      <c r="F11" s="136">
        <f>LOOKUP(E11,69:69,70:70)-LOOKUP(C11,69:69,70:70)+100</f>
        <v>101</v>
      </c>
      <c r="G11" s="430">
        <v>1.3</v>
      </c>
      <c r="H11" s="136">
        <f>LOOKUP(G11,69:69,70:70)-LOOKUP(C11,69:69,70:70)+100</f>
        <v>102</v>
      </c>
      <c r="I11" s="429">
        <v>3</v>
      </c>
      <c r="J11" s="136">
        <f>LOOKUP(I11,69:69,70:70)-LOOKUP(C11,69:69,70:70)+100</f>
        <v>100</v>
      </c>
      <c r="K11" s="612">
        <f>'比较法-住宅'!K11</f>
        <v>1</v>
      </c>
      <c r="L11" s="1138"/>
      <c r="M11" s="1131"/>
      <c r="N11" s="1131"/>
      <c r="O11" s="1131"/>
      <c r="P11" s="3213"/>
      <c r="Q11" s="1794" t="str">
        <f t="shared" si="6"/>
        <v>容积率</v>
      </c>
      <c r="R11" s="770" t="s">
        <v>17</v>
      </c>
      <c r="S11" s="771">
        <f t="shared" si="0"/>
        <v>101</v>
      </c>
      <c r="T11" s="770" t="s">
        <v>17</v>
      </c>
      <c r="U11" s="771">
        <f t="shared" si="1"/>
        <v>102</v>
      </c>
      <c r="V11" s="770" t="s">
        <v>17</v>
      </c>
      <c r="W11" s="771">
        <f t="shared" si="2"/>
        <v>100</v>
      </c>
      <c r="X11" s="772"/>
      <c r="Y11" s="3045"/>
      <c r="Z11" s="55" t="str">
        <f t="shared" si="7"/>
        <v>容积率</v>
      </c>
      <c r="AA11" s="773">
        <f t="shared" si="3"/>
        <v>0.99009900990099009</v>
      </c>
      <c r="AB11" s="773">
        <f t="shared" si="4"/>
        <v>0.98039215686274506</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102</v>
      </c>
      <c r="K15" s="614">
        <v>2</v>
      </c>
      <c r="L15" s="1140"/>
      <c r="M15" s="1131"/>
      <c r="N15" s="1131"/>
      <c r="O15" s="1131"/>
      <c r="P15" s="3240" t="s">
        <v>2558</v>
      </c>
      <c r="Q15" s="1809" t="str">
        <f t="shared" si="6"/>
        <v>办公集聚程度</v>
      </c>
      <c r="R15" s="774" t="s">
        <v>17</v>
      </c>
      <c r="S15" s="775">
        <f t="shared" si="0"/>
        <v>102</v>
      </c>
      <c r="T15" s="774" t="s">
        <v>17</v>
      </c>
      <c r="U15" s="775">
        <f t="shared" si="1"/>
        <v>100</v>
      </c>
      <c r="V15" s="774" t="s">
        <v>17</v>
      </c>
      <c r="W15" s="775">
        <f t="shared" si="2"/>
        <v>102</v>
      </c>
      <c r="X15" s="1812"/>
      <c r="Y15" s="3233" t="s">
        <v>2558</v>
      </c>
      <c r="Z15" s="1813" t="str">
        <f t="shared" si="7"/>
        <v>办公集聚程度</v>
      </c>
      <c r="AA15" s="1810">
        <f t="shared" si="3"/>
        <v>0.98039215686274506</v>
      </c>
      <c r="AB15" s="1810">
        <f t="shared" si="4"/>
        <v>1</v>
      </c>
      <c r="AC15" s="2672">
        <f t="shared" si="5"/>
        <v>0.98039215686274506</v>
      </c>
    </row>
    <row r="16" spans="1:29" ht="15">
      <c r="A16" s="428"/>
      <c r="B16" s="630"/>
      <c r="C16" s="2611" t="s">
        <v>3575</v>
      </c>
      <c r="D16" s="448"/>
      <c r="E16" s="447" t="s">
        <v>3574</v>
      </c>
      <c r="F16" s="448"/>
      <c r="G16" s="447" t="s">
        <v>3575</v>
      </c>
      <c r="H16" s="450"/>
      <c r="I16" s="447" t="s">
        <v>3574</v>
      </c>
      <c r="J16" s="448"/>
      <c r="K16" s="615"/>
      <c r="L16" s="1140"/>
      <c r="M16" s="1131"/>
      <c r="N16" s="1131"/>
      <c r="O16" s="1131"/>
      <c r="P16" s="3241"/>
      <c r="Q16" s="1809"/>
      <c r="R16" s="774"/>
      <c r="S16" s="775"/>
      <c r="T16" s="774"/>
      <c r="U16" s="775"/>
      <c r="V16" s="774"/>
      <c r="W16" s="775"/>
      <c r="X16" s="1812"/>
      <c r="Y16" s="3234"/>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100</v>
      </c>
      <c r="I17" s="452"/>
      <c r="J17" s="455">
        <f>SUMIF(79:79,I18,80:80)-SUMIF(79:79,C18,80:80)+100</f>
        <v>100</v>
      </c>
      <c r="K17" s="614">
        <v>2</v>
      </c>
      <c r="L17" s="1140"/>
      <c r="M17" s="1131"/>
      <c r="N17" s="1131"/>
      <c r="O17" s="1131"/>
      <c r="P17" s="3241"/>
      <c r="Q17" s="1809" t="str">
        <f>B17</f>
        <v>交通便捷度</v>
      </c>
      <c r="R17" s="774" t="s">
        <v>17</v>
      </c>
      <c r="S17" s="775">
        <f>F17</f>
        <v>102</v>
      </c>
      <c r="T17" s="774" t="s">
        <v>17</v>
      </c>
      <c r="U17" s="775">
        <f>H17</f>
        <v>100</v>
      </c>
      <c r="V17" s="774" t="s">
        <v>17</v>
      </c>
      <c r="W17" s="775">
        <f>J17</f>
        <v>100</v>
      </c>
      <c r="X17" s="1812"/>
      <c r="Y17" s="3234"/>
      <c r="Z17" s="1813" t="str">
        <f>Q17</f>
        <v>交通便捷度</v>
      </c>
      <c r="AA17" s="1810">
        <f t="shared" si="3"/>
        <v>0.98039215686274506</v>
      </c>
      <c r="AB17" s="1810">
        <f t="shared" si="4"/>
        <v>1</v>
      </c>
      <c r="AC17" s="2672">
        <f t="shared" si="5"/>
        <v>1</v>
      </c>
    </row>
    <row r="18" spans="1:29" ht="15">
      <c r="A18" s="428"/>
      <c r="B18" s="632"/>
      <c r="C18" s="2674" t="s">
        <v>3575</v>
      </c>
      <c r="D18" s="450"/>
      <c r="E18" s="2609" t="s">
        <v>3574</v>
      </c>
      <c r="F18" s="450"/>
      <c r="G18" s="2609" t="s">
        <v>3575</v>
      </c>
      <c r="H18" s="448"/>
      <c r="I18" s="2610" t="s">
        <v>3575</v>
      </c>
      <c r="J18" s="448"/>
      <c r="K18" s="615"/>
      <c r="L18" s="1140"/>
      <c r="M18" s="1131"/>
      <c r="N18" s="1131"/>
      <c r="O18" s="1131"/>
      <c r="P18" s="3241"/>
      <c r="Q18" s="1809"/>
      <c r="R18" s="774"/>
      <c r="S18" s="775"/>
      <c r="T18" s="774"/>
      <c r="U18" s="775"/>
      <c r="V18" s="774"/>
      <c r="W18" s="775"/>
      <c r="X18" s="1812"/>
      <c r="Y18" s="3234"/>
      <c r="Z18" s="1813"/>
      <c r="AA18" s="1810">
        <v>1</v>
      </c>
      <c r="AB18" s="1810">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41"/>
      <c r="Q19" s="1809" t="str">
        <f>B19</f>
        <v>公共配套设施</v>
      </c>
      <c r="R19" s="774" t="s">
        <v>17</v>
      </c>
      <c r="S19" s="775">
        <f>F19</f>
        <v>102</v>
      </c>
      <c r="T19" s="774" t="s">
        <v>17</v>
      </c>
      <c r="U19" s="775">
        <f>H19</f>
        <v>102</v>
      </c>
      <c r="V19" s="774" t="s">
        <v>17</v>
      </c>
      <c r="W19" s="775">
        <f>J19</f>
        <v>100</v>
      </c>
      <c r="X19" s="1812"/>
      <c r="Y19" s="3234"/>
      <c r="Z19" s="1813" t="str">
        <f>Q19</f>
        <v>公共配套设施</v>
      </c>
      <c r="AA19" s="1810">
        <f t="shared" si="3"/>
        <v>0.98039215686274506</v>
      </c>
      <c r="AB19" s="1810">
        <f t="shared" si="4"/>
        <v>0.98039215686274506</v>
      </c>
      <c r="AC19" s="2672">
        <f t="shared" si="5"/>
        <v>1</v>
      </c>
    </row>
    <row r="20" spans="1:29" ht="15">
      <c r="A20" s="428"/>
      <c r="B20" s="632"/>
      <c r="C20" s="2611" t="s">
        <v>3575</v>
      </c>
      <c r="D20" s="448"/>
      <c r="E20" s="2604" t="s">
        <v>3574</v>
      </c>
      <c r="F20" s="448"/>
      <c r="G20" s="2604" t="s">
        <v>3574</v>
      </c>
      <c r="H20" s="448"/>
      <c r="I20" s="2611" t="s">
        <v>3575</v>
      </c>
      <c r="J20" s="448"/>
      <c r="K20" s="615"/>
      <c r="L20" s="1140"/>
      <c r="M20" s="1131"/>
      <c r="N20" s="1131"/>
      <c r="O20" s="1131"/>
      <c r="P20" s="3241"/>
      <c r="Q20" s="1809"/>
      <c r="R20" s="774"/>
      <c r="S20" s="775"/>
      <c r="T20" s="774"/>
      <c r="U20" s="775"/>
      <c r="V20" s="774"/>
      <c r="W20" s="775"/>
      <c r="X20" s="1812"/>
      <c r="Y20" s="3234"/>
      <c r="Z20" s="1813"/>
      <c r="AA20" s="1810">
        <v>1</v>
      </c>
      <c r="AB20" s="1810">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2672">
        <f t="shared" ref="AC21" si="10">D21/J21</f>
        <v>1</v>
      </c>
    </row>
    <row r="22" spans="1:29" ht="15">
      <c r="A22" s="428"/>
      <c r="B22" s="633"/>
      <c r="C22" s="2674" t="s">
        <v>3593</v>
      </c>
      <c r="D22" s="448"/>
      <c r="E22" s="2674" t="s">
        <v>3593</v>
      </c>
      <c r="F22" s="448"/>
      <c r="G22" s="2674" t="s">
        <v>3593</v>
      </c>
      <c r="H22" s="448"/>
      <c r="I22" s="2674" t="s">
        <v>3593</v>
      </c>
      <c r="J22" s="448"/>
      <c r="K22" s="1383"/>
      <c r="L22" s="1140"/>
      <c r="M22" s="1131"/>
      <c r="N22" s="1131"/>
      <c r="O22" s="1131"/>
      <c r="P22" s="3241"/>
      <c r="Q22" s="1809"/>
      <c r="R22" s="774"/>
      <c r="S22" s="775"/>
      <c r="T22" s="774"/>
      <c r="U22" s="775"/>
      <c r="V22" s="774"/>
      <c r="W22" s="775"/>
      <c r="X22" s="1812"/>
      <c r="Y22" s="3234"/>
      <c r="Z22" s="1813"/>
      <c r="AA22" s="1810">
        <v>1</v>
      </c>
      <c r="AB22" s="1810">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102</v>
      </c>
      <c r="G23" s="452"/>
      <c r="H23" s="450">
        <f>SUMIF(85:85,G24,86:86)-SUMIF(85:85,C24,86:86)+100</f>
        <v>100</v>
      </c>
      <c r="I23" s="452"/>
      <c r="J23" s="450">
        <f>SUMIF(85:85,I24,86:86)-SUMIF(85:85,C24,86:86)+100</f>
        <v>102</v>
      </c>
      <c r="K23" s="614">
        <v>2</v>
      </c>
      <c r="L23" s="1140"/>
      <c r="M23" s="1131"/>
      <c r="N23" s="1131"/>
      <c r="O23" s="1131"/>
      <c r="P23" s="3241"/>
      <c r="Q23" s="1809" t="str">
        <f>B23</f>
        <v>环境质量</v>
      </c>
      <c r="R23" s="774" t="s">
        <v>17</v>
      </c>
      <c r="S23" s="775">
        <f>F23</f>
        <v>102</v>
      </c>
      <c r="T23" s="774" t="s">
        <v>17</v>
      </c>
      <c r="U23" s="775">
        <f>H23</f>
        <v>100</v>
      </c>
      <c r="V23" s="774" t="s">
        <v>17</v>
      </c>
      <c r="W23" s="775">
        <f>J23</f>
        <v>102</v>
      </c>
      <c r="X23" s="1812"/>
      <c r="Y23" s="3234"/>
      <c r="Z23" s="1813" t="str">
        <f>Q23</f>
        <v>环境质量</v>
      </c>
      <c r="AA23" s="1810">
        <f t="shared" si="3"/>
        <v>0.98039215686274506</v>
      </c>
      <c r="AB23" s="1810">
        <f t="shared" si="4"/>
        <v>1</v>
      </c>
      <c r="AC23" s="2672">
        <f t="shared" si="5"/>
        <v>0.98039215686274506</v>
      </c>
    </row>
    <row r="24" spans="1:29" ht="15">
      <c r="A24" s="428"/>
      <c r="B24" s="633"/>
      <c r="C24" s="2604" t="s">
        <v>3575</v>
      </c>
      <c r="D24" s="448"/>
      <c r="E24" s="2604" t="s">
        <v>3574</v>
      </c>
      <c r="F24" s="448"/>
      <c r="G24" s="2604" t="s">
        <v>3575</v>
      </c>
      <c r="H24" s="448"/>
      <c r="I24" s="2604" t="s">
        <v>3574</v>
      </c>
      <c r="J24" s="448"/>
      <c r="K24" s="615"/>
      <c r="L24" s="1140"/>
      <c r="M24" s="1131"/>
      <c r="N24" s="1131"/>
      <c r="O24" s="1131"/>
      <c r="P24" s="3241"/>
      <c r="Q24" s="1809"/>
      <c r="R24" s="774"/>
      <c r="S24" s="775"/>
      <c r="T24" s="774"/>
      <c r="U24" s="775"/>
      <c r="V24" s="774"/>
      <c r="W24" s="775"/>
      <c r="X24" s="1812"/>
      <c r="Y24" s="3234"/>
      <c r="Z24" s="1813"/>
      <c r="AA24" s="1810">
        <v>1</v>
      </c>
      <c r="AB24" s="1810">
        <v>1</v>
      </c>
      <c r="AC24" s="2672">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1"/>
      <c r="Q25" s="1809" t="str">
        <f>B25</f>
        <v>毗邻道路的类型与等级</v>
      </c>
      <c r="R25" s="774" t="s">
        <v>17</v>
      </c>
      <c r="S25" s="775">
        <f>F25</f>
        <v>100</v>
      </c>
      <c r="T25" s="774" t="s">
        <v>17</v>
      </c>
      <c r="U25" s="775">
        <f>H25</f>
        <v>100</v>
      </c>
      <c r="V25" s="774" t="s">
        <v>17</v>
      </c>
      <c r="W25" s="775">
        <f>J25</f>
        <v>100</v>
      </c>
      <c r="X25" s="1812"/>
      <c r="Y25" s="3234"/>
      <c r="Z25" s="1813" t="str">
        <f>Q25</f>
        <v>毗邻道路的类型与等级</v>
      </c>
      <c r="AA25" s="1810">
        <f t="shared" si="3"/>
        <v>1</v>
      </c>
      <c r="AB25" s="1810">
        <f t="shared" si="4"/>
        <v>1</v>
      </c>
      <c r="AC25" s="2672">
        <f t="shared" si="5"/>
        <v>1</v>
      </c>
    </row>
    <row r="26" spans="1:29" ht="15.6" thickBot="1">
      <c r="A26" s="404"/>
      <c r="B26" s="632"/>
      <c r="C26" s="634"/>
      <c r="D26" s="435"/>
      <c r="E26" s="616"/>
      <c r="F26" s="435"/>
      <c r="G26" s="634"/>
      <c r="H26" s="435"/>
      <c r="I26" s="616"/>
      <c r="J26" s="435"/>
      <c r="K26" s="615"/>
      <c r="L26" s="1140"/>
      <c r="M26" s="1131"/>
      <c r="N26" s="1131"/>
      <c r="O26" s="1131"/>
      <c r="P26" s="3241"/>
      <c r="Q26" s="1809"/>
      <c r="R26" s="774"/>
      <c r="S26" s="775"/>
      <c r="T26" s="774"/>
      <c r="U26" s="775"/>
      <c r="V26" s="774"/>
      <c r="W26" s="775"/>
      <c r="X26" s="1812"/>
      <c r="Y26" s="3234"/>
      <c r="Z26" s="1813"/>
      <c r="AA26" s="1810">
        <v>1</v>
      </c>
      <c r="AB26" s="1810">
        <v>1</v>
      </c>
      <c r="AC26" s="2672">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1"/>
      <c r="Q27" s="1809" t="str">
        <f t="shared" ref="Q27:Q47" si="11">B27</f>
        <v>楼层</v>
      </c>
      <c r="R27" s="774" t="s">
        <v>17</v>
      </c>
      <c r="S27" s="775">
        <f>F27</f>
        <v>100</v>
      </c>
      <c r="T27" s="774" t="s">
        <v>17</v>
      </c>
      <c r="U27" s="775">
        <f>H27</f>
        <v>100</v>
      </c>
      <c r="V27" s="774" t="s">
        <v>17</v>
      </c>
      <c r="W27" s="775">
        <f>J27</f>
        <v>100</v>
      </c>
      <c r="X27" s="1812"/>
      <c r="Y27" s="3234"/>
      <c r="Z27" s="1813" t="str">
        <f>Q27</f>
        <v>楼层</v>
      </c>
      <c r="AA27" s="1810">
        <f t="shared" si="3"/>
        <v>1</v>
      </c>
      <c r="AB27" s="1810">
        <f t="shared" si="4"/>
        <v>1</v>
      </c>
      <c r="AC27" s="2672">
        <f t="shared" si="5"/>
        <v>1</v>
      </c>
    </row>
    <row r="28" spans="1:29" s="117" customFormat="1" ht="15" hidden="1">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1"/>
      <c r="Q28" s="1794" t="str">
        <f t="shared" si="11"/>
        <v>朝向</v>
      </c>
      <c r="R28" s="770" t="s">
        <v>17</v>
      </c>
      <c r="S28" s="771">
        <f>F28</f>
        <v>100</v>
      </c>
      <c r="T28" s="770" t="s">
        <v>17</v>
      </c>
      <c r="U28" s="771">
        <f>H28</f>
        <v>100</v>
      </c>
      <c r="V28" s="770" t="s">
        <v>17</v>
      </c>
      <c r="W28" s="771">
        <f>J28</f>
        <v>100</v>
      </c>
      <c r="X28" s="772"/>
      <c r="Y28" s="3234"/>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1"/>
      <c r="Q29" s="1809">
        <f t="shared" si="11"/>
        <v>111</v>
      </c>
      <c r="R29" s="774" t="s">
        <v>17</v>
      </c>
      <c r="S29" s="775">
        <f t="shared" ref="S29:S47" si="12">F29</f>
        <v>100</v>
      </c>
      <c r="T29" s="774" t="s">
        <v>17</v>
      </c>
      <c r="U29" s="775">
        <f t="shared" ref="U29:U47" si="13">H29</f>
        <v>100</v>
      </c>
      <c r="V29" s="774" t="s">
        <v>17</v>
      </c>
      <c r="W29" s="775">
        <f t="shared" ref="W29:W47" si="14">J29</f>
        <v>100</v>
      </c>
      <c r="X29" s="1812"/>
      <c r="Y29" s="3234"/>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1"/>
      <c r="Q32" s="1809">
        <f t="shared" si="11"/>
        <v>111</v>
      </c>
      <c r="R32" s="774" t="s">
        <v>17</v>
      </c>
      <c r="S32" s="775">
        <f t="shared" si="12"/>
        <v>100</v>
      </c>
      <c r="T32" s="774" t="s">
        <v>17</v>
      </c>
      <c r="U32" s="775">
        <f t="shared" si="13"/>
        <v>100</v>
      </c>
      <c r="V32" s="774" t="s">
        <v>17</v>
      </c>
      <c r="W32" s="775">
        <f t="shared" si="14"/>
        <v>100</v>
      </c>
      <c r="X32" s="1812"/>
      <c r="Y32" s="3234"/>
      <c r="Z32" s="1813">
        <f t="shared" si="15"/>
        <v>111</v>
      </c>
      <c r="AA32" s="1810">
        <f t="shared" si="3"/>
        <v>1</v>
      </c>
      <c r="AB32" s="1810">
        <f t="shared" si="4"/>
        <v>1</v>
      </c>
      <c r="AC32" s="2672">
        <f t="shared" si="5"/>
        <v>1</v>
      </c>
    </row>
    <row r="33" spans="1:29" ht="15">
      <c r="A33" s="440" t="s">
        <v>2561</v>
      </c>
      <c r="B33" s="71" t="s">
        <v>2691</v>
      </c>
      <c r="C33" s="2677" t="s">
        <v>3117</v>
      </c>
      <c r="D33" s="467">
        <v>100</v>
      </c>
      <c r="E33" s="2677" t="s">
        <v>3117</v>
      </c>
      <c r="F33" s="461">
        <f>SUMIF(101:101,E33,102:102)-SUMIF(101:101,C33,102:102)+100</f>
        <v>100</v>
      </c>
      <c r="G33" s="2677" t="s">
        <v>3117</v>
      </c>
      <c r="H33" s="435">
        <f>SUMIF(101:101,G33,102:102)-SUMIF(101:101,C33,102:102)+100</f>
        <v>100</v>
      </c>
      <c r="I33" s="2677" t="s">
        <v>3117</v>
      </c>
      <c r="J33" s="467">
        <f>SUMIF(101:101,I33,102:102)-SUMIF(101:101,C33,102:102)+100</f>
        <v>100</v>
      </c>
      <c r="K33" s="612">
        <v>1</v>
      </c>
      <c r="L33" s="1140"/>
      <c r="M33" s="1131"/>
      <c r="N33" s="1131"/>
      <c r="O33" s="1131"/>
      <c r="P33" s="3235" t="s">
        <v>2563</v>
      </c>
      <c r="Q33" s="1809" t="str">
        <f t="shared" si="11"/>
        <v>建筑类型</v>
      </c>
      <c r="R33" s="774" t="s">
        <v>17</v>
      </c>
      <c r="S33" s="775">
        <f t="shared" si="12"/>
        <v>100</v>
      </c>
      <c r="T33" s="774" t="s">
        <v>17</v>
      </c>
      <c r="U33" s="775">
        <f t="shared" si="13"/>
        <v>100</v>
      </c>
      <c r="V33" s="774" t="s">
        <v>17</v>
      </c>
      <c r="W33" s="775">
        <f t="shared" si="14"/>
        <v>100</v>
      </c>
      <c r="X33" s="1812"/>
      <c r="Y33" s="3238" t="s">
        <v>2563</v>
      </c>
      <c r="Z33" s="1813" t="str">
        <f t="shared" si="15"/>
        <v>建筑类型</v>
      </c>
      <c r="AA33" s="1810">
        <f t="shared" si="3"/>
        <v>1</v>
      </c>
      <c r="AB33" s="1810">
        <f t="shared" si="4"/>
        <v>1</v>
      </c>
      <c r="AC33" s="2672">
        <f t="shared" si="5"/>
        <v>1</v>
      </c>
    </row>
    <row r="34" spans="1:29" s="471" customFormat="1" ht="15">
      <c r="A34" s="468"/>
      <c r="B34" s="422" t="s">
        <v>2564</v>
      </c>
      <c r="C34" s="469">
        <f>'比较法-住宅'!C33</f>
        <v>132050.17999999996</v>
      </c>
      <c r="D34" s="136">
        <v>100</v>
      </c>
      <c r="E34" s="430">
        <v>202777</v>
      </c>
      <c r="F34" s="425">
        <f>LOOKUP(E34,104:104,105:105)-LOOKUP(C34,104:104,105:105)+100</f>
        <v>100</v>
      </c>
      <c r="G34" s="429">
        <v>2300000</v>
      </c>
      <c r="H34" s="136">
        <f>LOOKUP(G34,104:104,105:105)-LOOKUP(C34,104:104,105:105)+100</f>
        <v>103.5</v>
      </c>
      <c r="I34" s="429">
        <v>700000</v>
      </c>
      <c r="J34" s="136">
        <f>LOOKUP(I34,104:104,105:105)-LOOKUP(C34,104:104,105:105)+100</f>
        <v>101</v>
      </c>
      <c r="K34" s="613"/>
      <c r="L34" s="1138"/>
      <c r="M34" s="1141"/>
      <c r="N34" s="1141"/>
      <c r="O34" s="1141"/>
      <c r="P34" s="3236"/>
      <c r="Q34" s="776" t="str">
        <f t="shared" si="11"/>
        <v>项目建筑规模</v>
      </c>
      <c r="R34" s="777" t="s">
        <v>17</v>
      </c>
      <c r="S34" s="778">
        <f t="shared" si="12"/>
        <v>100</v>
      </c>
      <c r="T34" s="777" t="s">
        <v>17</v>
      </c>
      <c r="U34" s="778">
        <f t="shared" si="13"/>
        <v>103.5</v>
      </c>
      <c r="V34" s="777" t="s">
        <v>17</v>
      </c>
      <c r="W34" s="778">
        <f t="shared" si="14"/>
        <v>101</v>
      </c>
      <c r="X34" s="779"/>
      <c r="Y34" s="3238"/>
      <c r="Z34" s="780" t="str">
        <f t="shared" si="15"/>
        <v>项目建筑规模</v>
      </c>
      <c r="AA34" s="1810">
        <f t="shared" si="3"/>
        <v>1</v>
      </c>
      <c r="AB34" s="1810">
        <f t="shared" si="4"/>
        <v>0.96618357487922701</v>
      </c>
      <c r="AC34" s="2672">
        <f t="shared" si="5"/>
        <v>0.99009900990099009</v>
      </c>
    </row>
    <row r="35" spans="1:29" ht="15">
      <c r="A35" s="472"/>
      <c r="B35" s="422" t="s">
        <v>2565</v>
      </c>
      <c r="C35" s="460" t="s">
        <v>3564</v>
      </c>
      <c r="D35" s="435">
        <v>100</v>
      </c>
      <c r="E35" s="460" t="s">
        <v>3564</v>
      </c>
      <c r="F35" s="461">
        <f>SUMIF(106:106,E35,107:107)-SUMIF(106:106,C35,107:107)+100</f>
        <v>100</v>
      </c>
      <c r="G35" s="460" t="s">
        <v>3564</v>
      </c>
      <c r="H35" s="435">
        <f>SUMIF(106:106,G35,107:107)-SUMIF(106:106,C35,107:107)+100</f>
        <v>100</v>
      </c>
      <c r="I35" s="460" t="s">
        <v>3564</v>
      </c>
      <c r="J35" s="435">
        <f>SUMIF(106:106,I35,107:107)-SUMIF(106:106,C35,107:107)+100</f>
        <v>100</v>
      </c>
      <c r="K35" s="612">
        <v>1</v>
      </c>
      <c r="L35" s="1140"/>
      <c r="M35" s="1131"/>
      <c r="N35" s="1131"/>
      <c r="O35" s="1131"/>
      <c r="P35" s="3236"/>
      <c r="Q35" s="1809" t="str">
        <f t="shared" si="11"/>
        <v>建筑结构</v>
      </c>
      <c r="R35" s="774" t="s">
        <v>17</v>
      </c>
      <c r="S35" s="775">
        <f t="shared" si="12"/>
        <v>100</v>
      </c>
      <c r="T35" s="774" t="s">
        <v>17</v>
      </c>
      <c r="U35" s="775">
        <f t="shared" si="13"/>
        <v>100</v>
      </c>
      <c r="V35" s="774" t="s">
        <v>17</v>
      </c>
      <c r="W35" s="775">
        <f t="shared" si="14"/>
        <v>100</v>
      </c>
      <c r="X35" s="1812"/>
      <c r="Y35" s="3238"/>
      <c r="Z35" s="1813" t="str">
        <f t="shared" si="15"/>
        <v>建筑结构</v>
      </c>
      <c r="AA35" s="1810">
        <f t="shared" si="3"/>
        <v>1</v>
      </c>
      <c r="AB35" s="1810">
        <f t="shared" si="4"/>
        <v>1</v>
      </c>
      <c r="AC35" s="2672">
        <f t="shared" si="5"/>
        <v>1</v>
      </c>
    </row>
    <row r="36" spans="1:29" ht="15">
      <c r="A36" s="472"/>
      <c r="B36" s="422" t="s">
        <v>2659</v>
      </c>
      <c r="C36" s="460" t="s">
        <v>3595</v>
      </c>
      <c r="D36" s="435">
        <v>100</v>
      </c>
      <c r="E36" s="460" t="s">
        <v>3595</v>
      </c>
      <c r="F36" s="461">
        <f>SUMIF(108:108,E36,109:109)-SUMIF(108:108,C36,109:109)+100</f>
        <v>100</v>
      </c>
      <c r="G36" s="460" t="s">
        <v>3595</v>
      </c>
      <c r="H36" s="435">
        <f>SUMIF(108:108,G36,109:109)-SUMIF(108:108,C36,109:109)+100</f>
        <v>100</v>
      </c>
      <c r="I36" s="460" t="s">
        <v>3595</v>
      </c>
      <c r="J36" s="435">
        <f>SUMIF(108:108,I36,109:109)-SUMIF(108:108,C36,109:109)+100</f>
        <v>100</v>
      </c>
      <c r="K36" s="612">
        <v>1.5</v>
      </c>
      <c r="L36" s="1140"/>
      <c r="M36" s="1131"/>
      <c r="N36" s="1131"/>
      <c r="O36" s="1131"/>
      <c r="P36" s="3236"/>
      <c r="Q36" s="1809" t="str">
        <f t="shared" si="11"/>
        <v>公共部分装修</v>
      </c>
      <c r="R36" s="774" t="s">
        <v>17</v>
      </c>
      <c r="S36" s="775">
        <f t="shared" si="12"/>
        <v>100</v>
      </c>
      <c r="T36" s="774" t="s">
        <v>17</v>
      </c>
      <c r="U36" s="775">
        <f t="shared" si="13"/>
        <v>100</v>
      </c>
      <c r="V36" s="774" t="s">
        <v>17</v>
      </c>
      <c r="W36" s="775">
        <f t="shared" si="14"/>
        <v>100</v>
      </c>
      <c r="X36" s="1812"/>
      <c r="Y36" s="3238"/>
      <c r="Z36" s="1813" t="str">
        <f t="shared" si="15"/>
        <v>公共部分装修</v>
      </c>
      <c r="AA36" s="1810">
        <f t="shared" si="3"/>
        <v>1</v>
      </c>
      <c r="AB36" s="1810">
        <f t="shared" si="4"/>
        <v>1</v>
      </c>
      <c r="AC36" s="2672">
        <f t="shared" si="5"/>
        <v>1</v>
      </c>
    </row>
    <row r="37" spans="1:29" ht="15">
      <c r="A37" s="472"/>
      <c r="B37" s="422" t="s">
        <v>2660</v>
      </c>
      <c r="C37" s="474">
        <v>1</v>
      </c>
      <c r="D37" s="435">
        <v>100</v>
      </c>
      <c r="E37" s="474">
        <v>1</v>
      </c>
      <c r="F37" s="461">
        <f>LOOKUP(E37,111:111,112:112)-LOOKUP(C37,111:111,112:112)+100</f>
        <v>100</v>
      </c>
      <c r="G37" s="474">
        <v>0.95</v>
      </c>
      <c r="H37" s="461">
        <f>LOOKUP(G37,111:111,112:112)-LOOKUP(C37,111:111,112:112)+100</f>
        <v>100</v>
      </c>
      <c r="I37" s="474">
        <v>1</v>
      </c>
      <c r="J37" s="435">
        <f>LOOKUP(I37,111:111,112:112)-LOOKUP(C37,111:111,112:112)+100</f>
        <v>100</v>
      </c>
      <c r="K37" s="612">
        <v>1</v>
      </c>
      <c r="L37" s="1140"/>
      <c r="M37" s="1131"/>
      <c r="N37" s="1131"/>
      <c r="O37" s="1131"/>
      <c r="P37" s="3236"/>
      <c r="Q37" s="1809" t="str">
        <f t="shared" si="11"/>
        <v>成新度</v>
      </c>
      <c r="R37" s="774" t="s">
        <v>17</v>
      </c>
      <c r="S37" s="775">
        <f t="shared" si="12"/>
        <v>100</v>
      </c>
      <c r="T37" s="774" t="s">
        <v>17</v>
      </c>
      <c r="U37" s="775">
        <f t="shared" si="13"/>
        <v>100</v>
      </c>
      <c r="V37" s="774" t="s">
        <v>17</v>
      </c>
      <c r="W37" s="775">
        <f t="shared" si="14"/>
        <v>100</v>
      </c>
      <c r="X37" s="1812"/>
      <c r="Y37" s="3238"/>
      <c r="Z37" s="1813" t="str">
        <f t="shared" si="15"/>
        <v>成新度</v>
      </c>
      <c r="AA37" s="1810">
        <f t="shared" si="3"/>
        <v>1</v>
      </c>
      <c r="AB37" s="1810">
        <f t="shared" si="4"/>
        <v>1</v>
      </c>
      <c r="AC37" s="2672">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6"/>
      <c r="Q38" s="1794"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69">
        <f t="shared" si="5"/>
        <v>1</v>
      </c>
    </row>
    <row r="39" spans="1:29" ht="15">
      <c r="A39" s="472"/>
      <c r="B39" s="422" t="s">
        <v>2693</v>
      </c>
      <c r="C39" s="460" t="s">
        <v>3574</v>
      </c>
      <c r="D39" s="435">
        <v>100</v>
      </c>
      <c r="E39" s="460" t="s">
        <v>3574</v>
      </c>
      <c r="F39" s="461">
        <f>SUMIF(115:115,E39,116:116)-SUMIF(115:115,C39,116:116)+100</f>
        <v>100</v>
      </c>
      <c r="G39" s="460" t="s">
        <v>3574</v>
      </c>
      <c r="H39" s="435">
        <f>SUMIF(115:115,G39,116:116)-SUMIF(115:115,C39,116:116)+100</f>
        <v>100</v>
      </c>
      <c r="I39" s="460" t="s">
        <v>3574</v>
      </c>
      <c r="J39" s="435">
        <f>SUMIF(115:115,I39,116:116)-SUMIF(115:115,C39,116:116)+100</f>
        <v>100</v>
      </c>
      <c r="K39" s="612">
        <v>1</v>
      </c>
      <c r="L39" s="1140"/>
      <c r="M39" s="1131"/>
      <c r="N39" s="1131"/>
      <c r="O39" s="1131"/>
      <c r="P39" s="3236" t="s">
        <v>2563</v>
      </c>
      <c r="Q39" s="1809" t="str">
        <f t="shared" si="11"/>
        <v>物业管理</v>
      </c>
      <c r="R39" s="774" t="s">
        <v>17</v>
      </c>
      <c r="S39" s="775">
        <f t="shared" si="12"/>
        <v>100</v>
      </c>
      <c r="T39" s="774" t="s">
        <v>17</v>
      </c>
      <c r="U39" s="775">
        <f t="shared" si="13"/>
        <v>100</v>
      </c>
      <c r="V39" s="774" t="s">
        <v>17</v>
      </c>
      <c r="W39" s="775">
        <f t="shared" si="14"/>
        <v>100</v>
      </c>
      <c r="X39" s="1812"/>
      <c r="Y39" s="3238" t="s">
        <v>2563</v>
      </c>
      <c r="Z39" s="1813" t="str">
        <f t="shared" si="15"/>
        <v>物业管理</v>
      </c>
      <c r="AA39" s="1810">
        <f t="shared" si="3"/>
        <v>1</v>
      </c>
      <c r="AB39" s="1810">
        <f t="shared" si="4"/>
        <v>1</v>
      </c>
      <c r="AC39" s="2672">
        <f t="shared" si="5"/>
        <v>1</v>
      </c>
    </row>
    <row r="40" spans="1:29" ht="15">
      <c r="A40" s="472"/>
      <c r="B40" s="422" t="s">
        <v>2661</v>
      </c>
      <c r="C40" s="460" t="s">
        <v>3618</v>
      </c>
      <c r="D40" s="435">
        <v>100</v>
      </c>
      <c r="E40" s="460" t="s">
        <v>3618</v>
      </c>
      <c r="F40" s="461">
        <f>SUMIF(117:117,E40,118:118)-SUMIF(117:117,C40,118:118)+100</f>
        <v>100</v>
      </c>
      <c r="G40" s="460" t="s">
        <v>3618</v>
      </c>
      <c r="H40" s="435">
        <f>SUMIF(117:117,G40,118:118)-SUMIF(117:117,C40,118:118)+100</f>
        <v>100</v>
      </c>
      <c r="I40" s="460" t="s">
        <v>3618</v>
      </c>
      <c r="J40" s="435">
        <f>SUMIF(117:117,I40,118:118)-SUMIF(117:117,C40,118:118)+100</f>
        <v>100</v>
      </c>
      <c r="K40" s="612">
        <v>1</v>
      </c>
      <c r="L40" s="1140"/>
      <c r="M40" s="1131"/>
      <c r="N40" s="1131"/>
      <c r="O40" s="1131"/>
      <c r="P40" s="3236"/>
      <c r="Q40" s="1809" t="str">
        <f t="shared" si="11"/>
        <v>市政基础设施</v>
      </c>
      <c r="R40" s="774" t="s">
        <v>17</v>
      </c>
      <c r="S40" s="775">
        <f t="shared" si="12"/>
        <v>100</v>
      </c>
      <c r="T40" s="774" t="s">
        <v>17</v>
      </c>
      <c r="U40" s="775">
        <f t="shared" si="13"/>
        <v>100</v>
      </c>
      <c r="V40" s="774" t="s">
        <v>17</v>
      </c>
      <c r="W40" s="775">
        <f t="shared" si="14"/>
        <v>100</v>
      </c>
      <c r="X40" s="1812"/>
      <c r="Y40" s="3238"/>
      <c r="Z40" s="1813" t="str">
        <f t="shared" si="15"/>
        <v>市政基础设施</v>
      </c>
      <c r="AA40" s="1810">
        <f t="shared" si="3"/>
        <v>1</v>
      </c>
      <c r="AB40" s="1810">
        <f t="shared" si="4"/>
        <v>1</v>
      </c>
      <c r="AC40" s="2672">
        <f t="shared" si="5"/>
        <v>1</v>
      </c>
    </row>
    <row r="41" spans="1:29" ht="15">
      <c r="A41" s="472"/>
      <c r="B41" s="422" t="s">
        <v>2663</v>
      </c>
      <c r="C41" s="616" t="s">
        <v>3636</v>
      </c>
      <c r="D41" s="435">
        <v>100</v>
      </c>
      <c r="E41" s="616" t="s">
        <v>3636</v>
      </c>
      <c r="F41" s="461">
        <f>SUMIF(119:119,E41,120:120)-SUMIF(119:119,C41,120:120)+100</f>
        <v>100</v>
      </c>
      <c r="G41" s="616" t="s">
        <v>3636</v>
      </c>
      <c r="H41" s="435">
        <f>SUMIF(119:119,G41,120:120)-SUMIF(119:119,C41,120:120)+100</f>
        <v>100</v>
      </c>
      <c r="I41" s="616" t="s">
        <v>3636</v>
      </c>
      <c r="J41" s="435">
        <f>SUMIF(119:119,I41,120:120)-SUMIF(119:119,C41,120:120)+100</f>
        <v>100</v>
      </c>
      <c r="K41" s="612">
        <v>2</v>
      </c>
      <c r="L41" s="1140"/>
      <c r="M41" s="1131"/>
      <c r="N41" s="1131"/>
      <c r="O41" s="1131"/>
      <c r="P41" s="3236"/>
      <c r="Q41" s="1809" t="str">
        <f t="shared" si="11"/>
        <v>层高</v>
      </c>
      <c r="R41" s="774" t="s">
        <v>17</v>
      </c>
      <c r="S41" s="775">
        <f t="shared" si="12"/>
        <v>100</v>
      </c>
      <c r="T41" s="774" t="s">
        <v>17</v>
      </c>
      <c r="U41" s="775">
        <f t="shared" si="13"/>
        <v>100</v>
      </c>
      <c r="V41" s="774" t="s">
        <v>17</v>
      </c>
      <c r="W41" s="775">
        <f t="shared" si="14"/>
        <v>100</v>
      </c>
      <c r="X41" s="1812"/>
      <c r="Y41" s="3238"/>
      <c r="Z41" s="1813" t="str">
        <f t="shared" si="15"/>
        <v>层高</v>
      </c>
      <c r="AA41" s="1810">
        <f t="shared" si="3"/>
        <v>1</v>
      </c>
      <c r="AB41" s="1810">
        <f t="shared" si="4"/>
        <v>1</v>
      </c>
      <c r="AC41" s="2672">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0">
        <f t="shared" si="3"/>
        <v>1</v>
      </c>
      <c r="AB42" s="1810">
        <f t="shared" si="4"/>
        <v>1</v>
      </c>
      <c r="AC42" s="2672">
        <f t="shared" si="5"/>
        <v>1</v>
      </c>
    </row>
    <row r="43" spans="1:29" ht="15">
      <c r="A43" s="472"/>
      <c r="B43" s="422" t="s">
        <v>2666</v>
      </c>
      <c r="C43" s="460" t="s">
        <v>3597</v>
      </c>
      <c r="D43" s="435">
        <v>100</v>
      </c>
      <c r="E43" s="460" t="s">
        <v>3597</v>
      </c>
      <c r="F43" s="461">
        <f>SUMIF(123:123,E43,124:124)-SUMIF(123:123,C43,124:124)+100</f>
        <v>100</v>
      </c>
      <c r="G43" s="460" t="s">
        <v>3597</v>
      </c>
      <c r="H43" s="435">
        <f>SUMIF(123:123,G43,124:124)-SUMIF(123:123,C43,124:124)+100</f>
        <v>100</v>
      </c>
      <c r="I43" s="460" t="s">
        <v>3597</v>
      </c>
      <c r="J43" s="435">
        <f>SUMIF(123:123,I43,124:124)-SUMIF(123:123,C43,124:124)+100</f>
        <v>100</v>
      </c>
      <c r="K43" s="612">
        <v>1.5</v>
      </c>
      <c r="L43" s="1140"/>
      <c r="M43" s="1131"/>
      <c r="N43" s="1131"/>
      <c r="O43" s="1131"/>
      <c r="P43" s="3236"/>
      <c r="Q43" s="1809" t="str">
        <f t="shared" si="11"/>
        <v>内部装修</v>
      </c>
      <c r="R43" s="774" t="s">
        <v>17</v>
      </c>
      <c r="S43" s="775">
        <f t="shared" si="12"/>
        <v>100</v>
      </c>
      <c r="T43" s="774" t="s">
        <v>17</v>
      </c>
      <c r="U43" s="775">
        <f t="shared" si="13"/>
        <v>100</v>
      </c>
      <c r="V43" s="774" t="s">
        <v>17</v>
      </c>
      <c r="W43" s="775">
        <f t="shared" si="14"/>
        <v>100</v>
      </c>
      <c r="X43" s="1812"/>
      <c r="Y43" s="3238"/>
      <c r="Z43" s="1813" t="str">
        <f t="shared" si="15"/>
        <v>内部装修</v>
      </c>
      <c r="AA43" s="1810">
        <f t="shared" si="3"/>
        <v>1</v>
      </c>
      <c r="AB43" s="1810">
        <f t="shared" si="4"/>
        <v>1</v>
      </c>
      <c r="AC43" s="2672">
        <f t="shared" si="5"/>
        <v>1</v>
      </c>
    </row>
    <row r="44" spans="1:29" ht="28.8">
      <c r="A44" s="472"/>
      <c r="B44" s="422" t="s">
        <v>2574</v>
      </c>
      <c r="C44" s="460" t="s">
        <v>3574</v>
      </c>
      <c r="D44" s="435">
        <v>100</v>
      </c>
      <c r="E44" s="460" t="s">
        <v>3574</v>
      </c>
      <c r="F44" s="461">
        <f>SUMIF(125:125,E44,126:126)-SUMIF(125:125,C44,126:126)+100</f>
        <v>100</v>
      </c>
      <c r="G44" s="460" t="s">
        <v>3574</v>
      </c>
      <c r="H44" s="435">
        <f>SUMIF(125:125,G44,126:126)-SUMIF(125:125,C44,126:126)+100</f>
        <v>100</v>
      </c>
      <c r="I44" s="460" t="s">
        <v>3574</v>
      </c>
      <c r="J44" s="435">
        <f>SUMIF(125:125,I44,126:126)-SUMIF(125:125,C44,126:126)+100</f>
        <v>100</v>
      </c>
      <c r="K44" s="612">
        <v>2</v>
      </c>
      <c r="L44" s="1140"/>
      <c r="M44" s="1131"/>
      <c r="N44" s="1131"/>
      <c r="O44" s="1131"/>
      <c r="P44" s="3236"/>
      <c r="Q44" s="1809" t="str">
        <f t="shared" si="11"/>
        <v>内部装修维护情况</v>
      </c>
      <c r="R44" s="774" t="s">
        <v>17</v>
      </c>
      <c r="S44" s="775">
        <f t="shared" si="12"/>
        <v>100</v>
      </c>
      <c r="T44" s="774" t="s">
        <v>17</v>
      </c>
      <c r="U44" s="775">
        <f t="shared" si="13"/>
        <v>100</v>
      </c>
      <c r="V44" s="774" t="s">
        <v>17</v>
      </c>
      <c r="W44" s="775">
        <f t="shared" si="14"/>
        <v>100</v>
      </c>
      <c r="X44" s="1812"/>
      <c r="Y44" s="3238"/>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6"/>
      <c r="Q45" s="1794">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6"/>
      <c r="Q46" s="1809">
        <f t="shared" si="11"/>
        <v>111</v>
      </c>
      <c r="R46" s="774" t="s">
        <v>17</v>
      </c>
      <c r="S46" s="775">
        <f t="shared" si="12"/>
        <v>100</v>
      </c>
      <c r="T46" s="774" t="s">
        <v>17</v>
      </c>
      <c r="U46" s="775">
        <f t="shared" si="13"/>
        <v>100</v>
      </c>
      <c r="V46" s="774" t="s">
        <v>17</v>
      </c>
      <c r="W46" s="775">
        <f t="shared" si="14"/>
        <v>100</v>
      </c>
      <c r="X46" s="1812"/>
      <c r="Y46" s="3238"/>
      <c r="Z46" s="1813">
        <f t="shared" si="15"/>
        <v>111</v>
      </c>
      <c r="AA46" s="1810">
        <f t="shared" si="3"/>
        <v>1</v>
      </c>
      <c r="AB46" s="1810">
        <f t="shared" si="4"/>
        <v>1</v>
      </c>
      <c r="AC46" s="2672">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7"/>
      <c r="Q47" s="1809">
        <f t="shared" si="11"/>
        <v>111</v>
      </c>
      <c r="R47" s="774" t="s">
        <v>17</v>
      </c>
      <c r="S47" s="775">
        <f t="shared" si="12"/>
        <v>100</v>
      </c>
      <c r="T47" s="774" t="s">
        <v>17</v>
      </c>
      <c r="U47" s="775">
        <f t="shared" si="13"/>
        <v>100</v>
      </c>
      <c r="V47" s="774" t="s">
        <v>17</v>
      </c>
      <c r="W47" s="775">
        <f t="shared" si="14"/>
        <v>100</v>
      </c>
      <c r="X47" s="1812"/>
      <c r="Y47" s="3239"/>
      <c r="Z47" s="1813">
        <f t="shared" si="15"/>
        <v>111</v>
      </c>
      <c r="AA47" s="1810">
        <f t="shared" si="3"/>
        <v>1</v>
      </c>
      <c r="AB47" s="1810">
        <f t="shared" si="4"/>
        <v>1</v>
      </c>
      <c r="AC47" s="2672">
        <f t="shared" si="5"/>
        <v>1</v>
      </c>
    </row>
    <row r="48" spans="1:29" ht="14.4">
      <c r="A48" s="479" t="s">
        <v>2575</v>
      </c>
      <c r="B48" s="480"/>
      <c r="C48" s="1407" t="s">
        <v>1</v>
      </c>
      <c r="D48" s="1408"/>
      <c r="E48" s="1409">
        <v>34116</v>
      </c>
      <c r="F48" s="1410"/>
      <c r="G48" s="1411">
        <v>31888</v>
      </c>
      <c r="H48" s="1412"/>
      <c r="I48" s="1409">
        <v>36000</v>
      </c>
      <c r="J48" s="485"/>
      <c r="K48" s="783"/>
      <c r="L48" s="1143"/>
      <c r="M48" s="1131"/>
      <c r="N48" s="1131"/>
      <c r="O48" s="1131"/>
      <c r="P48" s="3213" t="str">
        <f>A48</f>
        <v>成交单价（元/平方米）</v>
      </c>
      <c r="Q48" s="3231"/>
      <c r="R48" s="3232">
        <f>E48</f>
        <v>34116</v>
      </c>
      <c r="S48" s="3232"/>
      <c r="T48" s="3232">
        <f>G48</f>
        <v>31888</v>
      </c>
      <c r="U48" s="3232"/>
      <c r="V48" s="3232">
        <f>I48</f>
        <v>36000</v>
      </c>
      <c r="W48" s="3232"/>
      <c r="X48" s="446"/>
      <c r="Y48" s="781"/>
      <c r="Z48" s="446"/>
      <c r="AA48" s="446"/>
      <c r="AB48" s="446"/>
      <c r="AC48" s="630"/>
    </row>
    <row r="49" spans="1:29" ht="15" thickBot="1">
      <c r="A49" s="486" t="s">
        <v>2667</v>
      </c>
      <c r="B49" s="487"/>
      <c r="C49" s="1413">
        <f>R50</f>
        <v>32115</v>
      </c>
      <c r="D49" s="1414"/>
      <c r="E49" s="1415">
        <f>R49</f>
        <v>31521</v>
      </c>
      <c r="F49" s="1415"/>
      <c r="G49" s="1413">
        <f>T49</f>
        <v>30218</v>
      </c>
      <c r="H49" s="1414"/>
      <c r="I49" s="1415">
        <f>V49</f>
        <v>34606</v>
      </c>
      <c r="J49" s="489"/>
      <c r="K49" s="784"/>
      <c r="L49" s="1143"/>
      <c r="M49" s="1131"/>
      <c r="N49" s="1131"/>
      <c r="O49" s="1131"/>
      <c r="P49" s="3213" t="str">
        <f>A49</f>
        <v>比较价值（元/平方米）</v>
      </c>
      <c r="Q49" s="3231"/>
      <c r="R49" s="3232">
        <f>IF(F1="售价",ROUND(PRODUCT(R48,AA7:AA47),0),ROUND(PRODUCT(R48,AA7:AA47),1))</f>
        <v>31521</v>
      </c>
      <c r="S49" s="3232"/>
      <c r="T49" s="3232">
        <f>IF(F1="售价",ROUND(PRODUCT(T48,AB7:AB47),0),ROUND(PRODUCT(T48,AB7:AB47),1))</f>
        <v>30218</v>
      </c>
      <c r="U49" s="3232"/>
      <c r="V49" s="3232">
        <f>IF(F1="售价",ROUND(PRODUCT(V48,AC7:AC47),0),ROUND(PRODUCT(V48,AC7:AC47),1))</f>
        <v>34606</v>
      </c>
      <c r="W49" s="3232"/>
      <c r="X49" s="446"/>
      <c r="Y49" s="446"/>
      <c r="Z49" s="446"/>
      <c r="AA49" s="446"/>
      <c r="AB49" s="446"/>
      <c r="AC49" s="630"/>
    </row>
    <row r="50" spans="1:29" ht="15" thickBot="1">
      <c r="A50" s="492" t="s">
        <v>2668</v>
      </c>
      <c r="B50" s="493"/>
      <c r="C50" s="1417">
        <f>R50</f>
        <v>32115</v>
      </c>
      <c r="D50" s="1417"/>
      <c r="E50" s="1417"/>
      <c r="F50" s="1417"/>
      <c r="G50" s="1417"/>
      <c r="H50" s="1417"/>
      <c r="I50" s="1417"/>
      <c r="J50" s="494"/>
      <c r="K50" s="785"/>
      <c r="L50" s="1143"/>
      <c r="M50" s="1131"/>
      <c r="N50" s="1131"/>
      <c r="O50" s="1131"/>
      <c r="P50" s="3256" t="str">
        <f>A50</f>
        <v>估价对象XX用房的比较价值（楼面单价，元/平方米）</v>
      </c>
      <c r="Q50" s="3257"/>
      <c r="R50" s="3258">
        <f>IF(F1="售价",ROUND(AVERAGE(R49:V49),0),ROUND(AVERAGE(R49:V49),1))</f>
        <v>32115</v>
      </c>
      <c r="S50" s="3258"/>
      <c r="T50" s="3258"/>
      <c r="U50" s="3258"/>
      <c r="V50" s="3258"/>
      <c r="W50" s="32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8.2326068335395464E-2</v>
      </c>
      <c r="F53" s="500" t="str">
        <f>IF(OR(E53&gt;=0.3,E53&lt;=-0.3),"超过30%","")</f>
        <v/>
      </c>
      <c r="G53" s="499">
        <f>IF(G48&lt;G49,G49/G48-1,G48/G49-1)</f>
        <v>5.5265073797074571E-2</v>
      </c>
      <c r="H53" s="500" t="str">
        <f>IF(OR(G53&gt;=0.3,G53&lt;=-0.3),"超过30%","")</f>
        <v/>
      </c>
      <c r="I53" s="499">
        <f>IF(I48&lt;I49,I49/I48-1,I48/I49-1)</f>
        <v>4.0282032017569191E-2</v>
      </c>
      <c r="J53" s="500" t="str">
        <f>IF(OR(I53&gt;=0.3,I53&lt;=-0.3),"超过30%","")</f>
        <v/>
      </c>
      <c r="K53" s="1105"/>
      <c r="L53" s="1106"/>
      <c r="M53" s="1144"/>
      <c r="N53" s="1144"/>
      <c r="O53" s="1144"/>
    </row>
    <row r="54" spans="1:29" ht="13.5" customHeight="1">
      <c r="A54" s="1144"/>
      <c r="B54" s="1144"/>
      <c r="C54" s="497" t="s">
        <v>2670</v>
      </c>
      <c r="D54" s="501"/>
      <c r="E54" s="499">
        <f>IF(E49&lt;G49,G49/E49-1,E49/G49-1)</f>
        <v>4.3119994705142606E-2</v>
      </c>
      <c r="F54" s="500" t="str">
        <f>IF(OR(E54&gt;=0.2,E54&lt;=-0.2),"超过20%","")</f>
        <v/>
      </c>
      <c r="G54" s="499">
        <f>IF(G49&lt;I49,I49/G49-1,G49/I49-1)</f>
        <v>0.14521146336620561</v>
      </c>
      <c r="H54" s="500" t="str">
        <f>IF(OR(G54&gt;=0.2,G54&lt;=-0.2),"超过20%","")</f>
        <v/>
      </c>
      <c r="I54" s="499">
        <f>IF(I49&lt;E49,E49/I49-1,I49/E49-1)</f>
        <v>9.7871260429554852E-2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6.9869543401906764E-2</v>
      </c>
      <c r="F55" s="500" t="str">
        <f>IF(OR(E55&gt;=0.3,E55&lt;=-0.3),"超过30%","")</f>
        <v/>
      </c>
      <c r="G55" s="499">
        <f>IF(G48&lt;I48,I48/G48-1,G48/I48-1)</f>
        <v>0.1289513296537883</v>
      </c>
      <c r="H55" s="500" t="str">
        <f>IF(OR(G55&gt;=0.3,G55&lt;=-0.3),"超过30%","")</f>
        <v/>
      </c>
      <c r="I55" s="499">
        <f>IF(I48&lt;E48,E48/I48-1,I48/E48-1)</f>
        <v>5.5223355610270808E-2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82"/>
      <c r="Q86" s="504"/>
    </row>
    <row r="87" spans="1:17" s="117" customFormat="1" ht="29.4" thickTop="1">
      <c r="A87" s="579"/>
      <c r="B87" s="538" t="s">
        <v>2697</v>
      </c>
      <c r="C87" s="2974" t="s">
        <v>3639</v>
      </c>
      <c r="D87" s="2974" t="s">
        <v>3640</v>
      </c>
      <c r="E87" s="2974" t="s">
        <v>3642</v>
      </c>
      <c r="F87" s="2974" t="s">
        <v>3643</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2973" t="s">
        <v>3638</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15" thickTop="1">
      <c r="A103" s="534"/>
      <c r="B103" s="538" t="s">
        <v>2611</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2612</v>
      </c>
      <c r="C106" s="2974" t="s">
        <v>3570</v>
      </c>
      <c r="D106" s="2974" t="s">
        <v>3571</v>
      </c>
      <c r="E106" s="2975" t="s">
        <v>3572</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2614</v>
      </c>
      <c r="C108" s="2974" t="s">
        <v>3578</v>
      </c>
      <c r="D108" s="2974" t="s">
        <v>3579</v>
      </c>
      <c r="E108" s="2974" t="s">
        <v>3580</v>
      </c>
      <c r="F108" s="2975" t="s">
        <v>3581</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2698</v>
      </c>
      <c r="C113" s="2974"/>
      <c r="D113" s="2974"/>
      <c r="E113" s="2974"/>
      <c r="F113" s="2975"/>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2615</v>
      </c>
      <c r="C115" s="583" t="s">
        <v>3573</v>
      </c>
      <c r="D115" s="583" t="s">
        <v>3574</v>
      </c>
      <c r="E115" s="583" t="s">
        <v>3575</v>
      </c>
      <c r="F115" s="583" t="s">
        <v>3576</v>
      </c>
      <c r="G115" s="583" t="s">
        <v>3577</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2616</v>
      </c>
      <c r="C117" s="3321" t="s">
        <v>2673</v>
      </c>
      <c r="D117" s="3321" t="s">
        <v>2674</v>
      </c>
      <c r="E117" s="3321" t="s">
        <v>2675</v>
      </c>
      <c r="F117" s="3321" t="s">
        <v>2676</v>
      </c>
      <c r="G117" s="3321" t="s">
        <v>2677</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2699</v>
      </c>
      <c r="C119" s="2975" t="s">
        <v>3637</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2974" t="s">
        <v>3578</v>
      </c>
      <c r="D123" s="2974" t="s">
        <v>3579</v>
      </c>
      <c r="E123" s="2974" t="s">
        <v>3580</v>
      </c>
      <c r="F123" s="2975" t="s">
        <v>3581</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111776.38999999998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196" t="s">
        <v>2646</v>
      </c>
      <c r="AC4" s="3195" t="s">
        <v>2647</v>
      </c>
    </row>
    <row r="5" spans="1:29">
      <c r="A5" s="404"/>
      <c r="B5" s="405"/>
      <c r="C5" s="3243" t="s">
        <v>2540</v>
      </c>
      <c r="D5" s="3207"/>
      <c r="E5" s="3242" t="s">
        <v>2541</v>
      </c>
      <c r="F5" s="3205"/>
      <c r="G5" s="3243" t="s">
        <v>2542</v>
      </c>
      <c r="H5" s="3207"/>
      <c r="I5" s="3243" t="s">
        <v>2543</v>
      </c>
      <c r="J5" s="3207"/>
      <c r="K5" s="610"/>
      <c r="L5" s="1130"/>
      <c r="M5" s="1131"/>
      <c r="N5" s="1131"/>
      <c r="O5" s="1131"/>
      <c r="P5" s="3220"/>
      <c r="Q5" s="3221"/>
      <c r="R5" s="3202"/>
      <c r="S5" s="3203"/>
      <c r="T5" s="3202"/>
      <c r="U5" s="3203"/>
      <c r="V5" s="3226"/>
      <c r="W5" s="3226"/>
      <c r="X5" s="1812"/>
      <c r="Y5" s="3202"/>
      <c r="Z5" s="3203"/>
      <c r="AA5" s="3196"/>
      <c r="AB5" s="3196"/>
      <c r="AC5" s="3196"/>
    </row>
    <row r="6" spans="1:29" ht="15" thickBot="1">
      <c r="A6" s="406"/>
      <c r="B6" s="407"/>
      <c r="C6" s="3208" t="s">
        <v>2544</v>
      </c>
      <c r="D6" s="3209"/>
      <c r="E6" s="3210" t="s">
        <v>2544</v>
      </c>
      <c r="F6" s="3211"/>
      <c r="G6" s="3208" t="s">
        <v>2544</v>
      </c>
      <c r="H6" s="3209"/>
      <c r="I6" s="3208" t="s">
        <v>2544</v>
      </c>
      <c r="J6" s="3209"/>
      <c r="K6" s="610" t="s">
        <v>2545</v>
      </c>
      <c r="L6" s="1130"/>
      <c r="M6" s="1131"/>
      <c r="N6" s="1131"/>
      <c r="O6" s="1131"/>
      <c r="P6" s="3222"/>
      <c r="Q6" s="3223"/>
      <c r="R6" s="3202"/>
      <c r="S6" s="3203"/>
      <c r="T6" s="3224"/>
      <c r="U6" s="3225"/>
      <c r="V6" s="3226"/>
      <c r="W6" s="3226"/>
      <c r="X6" s="1812"/>
      <c r="Y6" s="3224"/>
      <c r="Z6" s="3225"/>
      <c r="AA6" s="3197"/>
      <c r="AB6" s="3197"/>
      <c r="AC6" s="3197"/>
    </row>
    <row r="7" spans="1:29" s="117" customFormat="1" ht="15" thickBot="1">
      <c r="A7" s="408" t="s">
        <v>2546</v>
      </c>
      <c r="B7" s="409"/>
      <c r="C7" s="410">
        <f>'数据-取费表'!B2</f>
        <v>43627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8" t="s">
        <v>2547</v>
      </c>
      <c r="Q7" s="3227"/>
      <c r="R7" s="770" t="s">
        <v>17</v>
      </c>
      <c r="S7" s="771">
        <f t="shared" ref="S7:S15" si="0">F7</f>
        <v>0</v>
      </c>
      <c r="T7" s="770" t="s">
        <v>17</v>
      </c>
      <c r="U7" s="771">
        <f t="shared" ref="U7:U15" si="1">H7</f>
        <v>0</v>
      </c>
      <c r="V7" s="770" t="s">
        <v>17</v>
      </c>
      <c r="W7" s="771">
        <f t="shared" ref="W7:W15" si="2">J7</f>
        <v>0</v>
      </c>
      <c r="X7" s="772"/>
      <c r="Y7" s="3198" t="s">
        <v>2547</v>
      </c>
      <c r="Z7" s="3199"/>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8" t="s">
        <v>2550</v>
      </c>
      <c r="Q8" s="3199"/>
      <c r="R8" s="770" t="s">
        <v>17</v>
      </c>
      <c r="S8" s="771">
        <f t="shared" si="0"/>
        <v>0</v>
      </c>
      <c r="T8" s="770" t="s">
        <v>17</v>
      </c>
      <c r="U8" s="771">
        <f t="shared" si="1"/>
        <v>0</v>
      </c>
      <c r="V8" s="770" t="s">
        <v>17</v>
      </c>
      <c r="W8" s="771">
        <f t="shared" si="2"/>
        <v>0</v>
      </c>
      <c r="X8" s="772"/>
      <c r="Y8" s="3198" t="s">
        <v>2550</v>
      </c>
      <c r="Z8" s="3199"/>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1"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2558</v>
      </c>
      <c r="Q15" s="1809" t="str">
        <f t="shared" si="6"/>
        <v>产业集聚程度</v>
      </c>
      <c r="R15" s="774" t="s">
        <v>17</v>
      </c>
      <c r="S15" s="775">
        <f t="shared" si="0"/>
        <v>100</v>
      </c>
      <c r="T15" s="774" t="s">
        <v>17</v>
      </c>
      <c r="U15" s="775">
        <f t="shared" si="1"/>
        <v>100</v>
      </c>
      <c r="V15" s="774" t="s">
        <v>17</v>
      </c>
      <c r="W15" s="775">
        <f t="shared" si="2"/>
        <v>100</v>
      </c>
      <c r="X15" s="1812"/>
      <c r="Y15" s="3233"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4"/>
      <c r="Q16" s="1809"/>
      <c r="R16" s="774"/>
      <c r="S16" s="775"/>
      <c r="T16" s="774"/>
      <c r="U16" s="775"/>
      <c r="V16" s="774"/>
      <c r="W16" s="775"/>
      <c r="X16" s="1812"/>
      <c r="Y16" s="3234"/>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34"/>
      <c r="Q18" s="1809"/>
      <c r="R18" s="774"/>
      <c r="S18" s="775"/>
      <c r="T18" s="774"/>
      <c r="U18" s="775"/>
      <c r="V18" s="774"/>
      <c r="W18" s="775"/>
      <c r="X18" s="1812"/>
      <c r="Y18" s="3234"/>
      <c r="Z18" s="1813"/>
      <c r="AA18" s="1810">
        <v>1</v>
      </c>
      <c r="AB18" s="1810">
        <v>1</v>
      </c>
      <c r="AC18" s="1810">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34"/>
      <c r="Q20" s="1809"/>
      <c r="R20" s="774"/>
      <c r="S20" s="775"/>
      <c r="T20" s="774"/>
      <c r="U20" s="775"/>
      <c r="V20" s="774"/>
      <c r="W20" s="775"/>
      <c r="X20" s="1812"/>
      <c r="Y20" s="3234"/>
      <c r="Z20" s="1813"/>
      <c r="AA20" s="1810">
        <v>1</v>
      </c>
      <c r="AB20" s="1810">
        <v>1</v>
      </c>
      <c r="AC20" s="1810">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34"/>
      <c r="Q22" s="1809"/>
      <c r="R22" s="774"/>
      <c r="S22" s="775"/>
      <c r="T22" s="774"/>
      <c r="U22" s="775"/>
      <c r="V22" s="774"/>
      <c r="W22" s="775"/>
      <c r="X22" s="1812"/>
      <c r="Y22" s="3234"/>
      <c r="Z22" s="1813"/>
      <c r="AA22" s="1810">
        <v>1</v>
      </c>
      <c r="AB22" s="1810">
        <v>1</v>
      </c>
      <c r="AC22" s="1810">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09" t="str">
        <f>B23</f>
        <v>环境质量</v>
      </c>
      <c r="R23" s="774" t="s">
        <v>17</v>
      </c>
      <c r="S23" s="775">
        <f>F23</f>
        <v>100</v>
      </c>
      <c r="T23" s="774" t="s">
        <v>17</v>
      </c>
      <c r="U23" s="775">
        <f>H23</f>
        <v>100</v>
      </c>
      <c r="V23" s="774" t="s">
        <v>17</v>
      </c>
      <c r="W23" s="775">
        <f>J23</f>
        <v>100</v>
      </c>
      <c r="X23" s="1812"/>
      <c r="Y23" s="3234"/>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34"/>
      <c r="Q24" s="1809"/>
      <c r="R24" s="774"/>
      <c r="S24" s="775"/>
      <c r="T24" s="774"/>
      <c r="U24" s="775"/>
      <c r="V24" s="774"/>
      <c r="W24" s="775"/>
      <c r="X24" s="1812"/>
      <c r="Y24" s="323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09">
        <f>B25</f>
        <v>111</v>
      </c>
      <c r="R25" s="774" t="s">
        <v>17</v>
      </c>
      <c r="S25" s="775">
        <f>F25</f>
        <v>100</v>
      </c>
      <c r="T25" s="774" t="s">
        <v>17</v>
      </c>
      <c r="U25" s="775">
        <f>H25</f>
        <v>100</v>
      </c>
      <c r="V25" s="774" t="s">
        <v>17</v>
      </c>
      <c r="W25" s="775">
        <f>J25</f>
        <v>100</v>
      </c>
      <c r="X25" s="1812"/>
      <c r="Y25" s="323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09">
        <f t="shared" ref="Q26:Q40" si="11">B26</f>
        <v>111</v>
      </c>
      <c r="R26" s="774" t="s">
        <v>17</v>
      </c>
      <c r="S26" s="775">
        <f>F26</f>
        <v>100</v>
      </c>
      <c r="T26" s="774" t="s">
        <v>17</v>
      </c>
      <c r="U26" s="775">
        <f>H26</f>
        <v>100</v>
      </c>
      <c r="V26" s="774" t="s">
        <v>17</v>
      </c>
      <c r="W26" s="775">
        <f>J26</f>
        <v>100</v>
      </c>
      <c r="X26" s="1812"/>
      <c r="Y26" s="323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4">
        <f t="shared" si="11"/>
        <v>111</v>
      </c>
      <c r="R27" s="770" t="s">
        <v>17</v>
      </c>
      <c r="S27" s="771">
        <f>F27</f>
        <v>100</v>
      </c>
      <c r="T27" s="770" t="s">
        <v>17</v>
      </c>
      <c r="U27" s="771">
        <f>H27</f>
        <v>100</v>
      </c>
      <c r="V27" s="770" t="s">
        <v>17</v>
      </c>
      <c r="W27" s="771">
        <f>J27</f>
        <v>100</v>
      </c>
      <c r="X27" s="772"/>
      <c r="Y27" s="3234"/>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09">
        <f t="shared" si="11"/>
        <v>111</v>
      </c>
      <c r="R28" s="774" t="s">
        <v>17</v>
      </c>
      <c r="S28" s="775">
        <f t="shared" ref="S28:S40" si="12">F28</f>
        <v>100</v>
      </c>
      <c r="T28" s="774" t="s">
        <v>17</v>
      </c>
      <c r="U28" s="775">
        <f t="shared" ref="U28:U40" si="13">H28</f>
        <v>100</v>
      </c>
      <c r="V28" s="774" t="s">
        <v>17</v>
      </c>
      <c r="W28" s="775">
        <f t="shared" ref="W28:W40" si="14">J28</f>
        <v>100</v>
      </c>
      <c r="X28" s="1812"/>
      <c r="Y28" s="3234"/>
      <c r="Z28" s="1813">
        <f t="shared" ref="Z28:Z40" si="15">Q28</f>
        <v>111</v>
      </c>
      <c r="AA28" s="1810">
        <f t="shared" si="3"/>
        <v>1</v>
      </c>
      <c r="AB28" s="1810">
        <f t="shared" si="4"/>
        <v>1</v>
      </c>
      <c r="AC28" s="1810">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9" t="s">
        <v>2563</v>
      </c>
      <c r="Q29" s="1809" t="str">
        <f t="shared" si="11"/>
        <v>建筑类型</v>
      </c>
      <c r="R29" s="774" t="s">
        <v>17</v>
      </c>
      <c r="S29" s="775">
        <f t="shared" si="12"/>
        <v>100</v>
      </c>
      <c r="T29" s="774" t="s">
        <v>17</v>
      </c>
      <c r="U29" s="775">
        <f t="shared" si="13"/>
        <v>100</v>
      </c>
      <c r="V29" s="774" t="s">
        <v>17</v>
      </c>
      <c r="W29" s="775">
        <f t="shared" si="14"/>
        <v>100</v>
      </c>
      <c r="X29" s="1812"/>
      <c r="Y29" s="3238"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8"/>
      <c r="Q31" s="1809" t="str">
        <f t="shared" si="11"/>
        <v>建筑结构</v>
      </c>
      <c r="R31" s="774" t="s">
        <v>17</v>
      </c>
      <c r="S31" s="775">
        <f t="shared" si="12"/>
        <v>100</v>
      </c>
      <c r="T31" s="774" t="s">
        <v>17</v>
      </c>
      <c r="U31" s="775">
        <f t="shared" si="13"/>
        <v>100</v>
      </c>
      <c r="V31" s="774" t="s">
        <v>17</v>
      </c>
      <c r="W31" s="775">
        <f t="shared" si="14"/>
        <v>100</v>
      </c>
      <c r="X31" s="1812"/>
      <c r="Y31" s="3238"/>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8"/>
      <c r="Q32" s="1809" t="str">
        <f t="shared" si="11"/>
        <v>公共部分装修</v>
      </c>
      <c r="R32" s="774" t="s">
        <v>17</v>
      </c>
      <c r="S32" s="775">
        <f t="shared" si="12"/>
        <v>100</v>
      </c>
      <c r="T32" s="774" t="s">
        <v>17</v>
      </c>
      <c r="U32" s="775">
        <f t="shared" si="13"/>
        <v>100</v>
      </c>
      <c r="V32" s="774" t="s">
        <v>17</v>
      </c>
      <c r="W32" s="775">
        <f t="shared" si="14"/>
        <v>100</v>
      </c>
      <c r="X32" s="1812"/>
      <c r="Y32" s="3238"/>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8"/>
      <c r="Q33" s="1809" t="str">
        <f t="shared" si="11"/>
        <v>成新度</v>
      </c>
      <c r="R33" s="774" t="s">
        <v>17</v>
      </c>
      <c r="S33" s="775" t="e">
        <f t="shared" si="12"/>
        <v>#N/A</v>
      </c>
      <c r="T33" s="774" t="s">
        <v>17</v>
      </c>
      <c r="U33" s="775" t="e">
        <f t="shared" si="13"/>
        <v>#N/A</v>
      </c>
      <c r="V33" s="774" t="s">
        <v>17</v>
      </c>
      <c r="W33" s="775" t="e">
        <f t="shared" si="14"/>
        <v>#N/A</v>
      </c>
      <c r="X33" s="1812"/>
      <c r="Y33" s="3238"/>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8"/>
      <c r="Q34" s="1794"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8" t="s">
        <v>2563</v>
      </c>
      <c r="Q35" s="1809" t="str">
        <f t="shared" si="11"/>
        <v>市政基础设施</v>
      </c>
      <c r="R35" s="774" t="s">
        <v>17</v>
      </c>
      <c r="S35" s="775">
        <f t="shared" si="12"/>
        <v>100</v>
      </c>
      <c r="T35" s="774" t="s">
        <v>17</v>
      </c>
      <c r="U35" s="775">
        <f t="shared" si="13"/>
        <v>100</v>
      </c>
      <c r="V35" s="774" t="s">
        <v>17</v>
      </c>
      <c r="W35" s="775">
        <f t="shared" si="14"/>
        <v>100</v>
      </c>
      <c r="X35" s="1812"/>
      <c r="Y35" s="3238"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8"/>
      <c r="Q36" s="1809" t="str">
        <f t="shared" si="11"/>
        <v>内部装修</v>
      </c>
      <c r="R36" s="774" t="s">
        <v>17</v>
      </c>
      <c r="S36" s="775">
        <f t="shared" si="12"/>
        <v>100</v>
      </c>
      <c r="T36" s="774" t="s">
        <v>17</v>
      </c>
      <c r="U36" s="775">
        <f t="shared" si="13"/>
        <v>100</v>
      </c>
      <c r="V36" s="774" t="s">
        <v>17</v>
      </c>
      <c r="W36" s="775">
        <f t="shared" si="14"/>
        <v>100</v>
      </c>
      <c r="X36" s="1812"/>
      <c r="Y36" s="3238"/>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8"/>
      <c r="Q37" s="1809" t="str">
        <f t="shared" si="11"/>
        <v>内部装修状况</v>
      </c>
      <c r="R37" s="774" t="s">
        <v>17</v>
      </c>
      <c r="S37" s="775">
        <f t="shared" si="12"/>
        <v>100</v>
      </c>
      <c r="T37" s="774" t="s">
        <v>17</v>
      </c>
      <c r="U37" s="775">
        <f t="shared" si="13"/>
        <v>100</v>
      </c>
      <c r="V37" s="774" t="s">
        <v>17</v>
      </c>
      <c r="W37" s="775">
        <f t="shared" si="14"/>
        <v>100</v>
      </c>
      <c r="X37" s="1812"/>
      <c r="Y37" s="323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8"/>
      <c r="Q39" s="1809">
        <f t="shared" si="11"/>
        <v>111</v>
      </c>
      <c r="R39" s="774" t="s">
        <v>17</v>
      </c>
      <c r="S39" s="775">
        <f t="shared" si="12"/>
        <v>100</v>
      </c>
      <c r="T39" s="774" t="s">
        <v>17</v>
      </c>
      <c r="U39" s="775">
        <f t="shared" si="13"/>
        <v>100</v>
      </c>
      <c r="V39" s="774" t="s">
        <v>17</v>
      </c>
      <c r="W39" s="775">
        <f t="shared" si="14"/>
        <v>100</v>
      </c>
      <c r="X39" s="1812"/>
      <c r="Y39" s="3238"/>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9"/>
      <c r="Q40" s="1809">
        <f t="shared" si="11"/>
        <v>111</v>
      </c>
      <c r="R40" s="774" t="s">
        <v>17</v>
      </c>
      <c r="S40" s="775">
        <f t="shared" si="12"/>
        <v>100</v>
      </c>
      <c r="T40" s="774" t="s">
        <v>17</v>
      </c>
      <c r="U40" s="775">
        <f t="shared" si="13"/>
        <v>100</v>
      </c>
      <c r="V40" s="774" t="s">
        <v>17</v>
      </c>
      <c r="W40" s="775">
        <f t="shared" si="14"/>
        <v>100</v>
      </c>
      <c r="X40" s="1812"/>
      <c r="Y40" s="3239"/>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196" t="s">
        <v>2646</v>
      </c>
      <c r="AC4" s="3195" t="s">
        <v>2647</v>
      </c>
    </row>
    <row r="5" spans="1:29">
      <c r="A5" s="404"/>
      <c r="B5" s="405"/>
      <c r="C5" s="3243" t="s">
        <v>2540</v>
      </c>
      <c r="D5" s="3207"/>
      <c r="E5" s="3242" t="s">
        <v>2541</v>
      </c>
      <c r="F5" s="3205"/>
      <c r="G5" s="3243" t="s">
        <v>2542</v>
      </c>
      <c r="H5" s="3207"/>
      <c r="I5" s="3243" t="s">
        <v>2543</v>
      </c>
      <c r="J5" s="3207"/>
      <c r="K5" s="610"/>
      <c r="L5" s="1130"/>
      <c r="M5" s="1131"/>
      <c r="N5" s="1131"/>
      <c r="O5" s="1131"/>
      <c r="P5" s="3220"/>
      <c r="Q5" s="3221"/>
      <c r="R5" s="3202"/>
      <c r="S5" s="3203"/>
      <c r="T5" s="3202"/>
      <c r="U5" s="3203"/>
      <c r="V5" s="3226"/>
      <c r="W5" s="3226"/>
      <c r="X5" s="1812"/>
      <c r="Y5" s="3202"/>
      <c r="Z5" s="3203"/>
      <c r="AA5" s="3196"/>
      <c r="AB5" s="3196"/>
      <c r="AC5" s="3196"/>
    </row>
    <row r="6" spans="1:29" ht="15" thickBot="1">
      <c r="A6" s="406"/>
      <c r="B6" s="407"/>
      <c r="C6" s="3208" t="s">
        <v>2544</v>
      </c>
      <c r="D6" s="3209"/>
      <c r="E6" s="3210" t="s">
        <v>2544</v>
      </c>
      <c r="F6" s="3211"/>
      <c r="G6" s="3208" t="s">
        <v>2544</v>
      </c>
      <c r="H6" s="3209"/>
      <c r="I6" s="3208" t="s">
        <v>2544</v>
      </c>
      <c r="J6" s="3209"/>
      <c r="K6" s="610" t="s">
        <v>2545</v>
      </c>
      <c r="L6" s="1130"/>
      <c r="M6" s="1131"/>
      <c r="N6" s="1131"/>
      <c r="O6" s="1131"/>
      <c r="P6" s="3222"/>
      <c r="Q6" s="3223"/>
      <c r="R6" s="3202"/>
      <c r="S6" s="3203"/>
      <c r="T6" s="3224"/>
      <c r="U6" s="3225"/>
      <c r="V6" s="3226"/>
      <c r="W6" s="3226"/>
      <c r="X6" s="1812"/>
      <c r="Y6" s="3224"/>
      <c r="Z6" s="3225"/>
      <c r="AA6" s="3197"/>
      <c r="AB6" s="3197"/>
      <c r="AC6" s="3197"/>
    </row>
    <row r="7" spans="1:29" s="117" customFormat="1" ht="15" thickBot="1">
      <c r="A7" s="408" t="s">
        <v>2546</v>
      </c>
      <c r="B7" s="409"/>
      <c r="C7" s="410">
        <f>'数据-取费表'!B2</f>
        <v>43627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8" t="s">
        <v>2547</v>
      </c>
      <c r="Q7" s="3227"/>
      <c r="R7" s="770" t="s">
        <v>17</v>
      </c>
      <c r="S7" s="771">
        <f t="shared" ref="S7:S14" si="0">F7</f>
        <v>0</v>
      </c>
      <c r="T7" s="770" t="s">
        <v>17</v>
      </c>
      <c r="U7" s="771">
        <f t="shared" ref="U7:U14" si="1">H7</f>
        <v>0</v>
      </c>
      <c r="V7" s="770" t="s">
        <v>17</v>
      </c>
      <c r="W7" s="771">
        <f t="shared" ref="W7:W14" si="2">J7</f>
        <v>0</v>
      </c>
      <c r="X7" s="772"/>
      <c r="Y7" s="3198" t="s">
        <v>2547</v>
      </c>
      <c r="Z7" s="3199"/>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8" t="s">
        <v>2550</v>
      </c>
      <c r="Q8" s="3199"/>
      <c r="R8" s="770" t="s">
        <v>17</v>
      </c>
      <c r="S8" s="771">
        <f t="shared" si="0"/>
        <v>0</v>
      </c>
      <c r="T8" s="770" t="s">
        <v>17</v>
      </c>
      <c r="U8" s="771">
        <f t="shared" si="1"/>
        <v>0</v>
      </c>
      <c r="V8" s="770" t="s">
        <v>17</v>
      </c>
      <c r="W8" s="771">
        <f t="shared" si="2"/>
        <v>0</v>
      </c>
      <c r="X8" s="772"/>
      <c r="Y8" s="3198" t="s">
        <v>2550</v>
      </c>
      <c r="Z8" s="3199"/>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1"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1"/>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1"/>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1"/>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1"/>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2558</v>
      </c>
      <c r="Q14" s="1809" t="str">
        <f t="shared" si="6"/>
        <v>交通便捷度</v>
      </c>
      <c r="R14" s="774" t="s">
        <v>17</v>
      </c>
      <c r="S14" s="775">
        <f t="shared" si="0"/>
        <v>100</v>
      </c>
      <c r="T14" s="774" t="s">
        <v>17</v>
      </c>
      <c r="U14" s="775">
        <f t="shared" si="1"/>
        <v>100</v>
      </c>
      <c r="V14" s="774" t="s">
        <v>17</v>
      </c>
      <c r="W14" s="775">
        <f t="shared" si="2"/>
        <v>100</v>
      </c>
      <c r="X14" s="1812"/>
      <c r="Y14" s="3233"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4"/>
      <c r="Q15" s="1809"/>
      <c r="R15" s="774"/>
      <c r="S15" s="775"/>
      <c r="T15" s="774"/>
      <c r="U15" s="775"/>
      <c r="V15" s="774"/>
      <c r="W15" s="775"/>
      <c r="X15" s="1812"/>
      <c r="Y15" s="3234"/>
      <c r="Z15" s="1813"/>
      <c r="AA15" s="1810">
        <v>1</v>
      </c>
      <c r="AB15" s="1810">
        <v>1</v>
      </c>
      <c r="AC15" s="1810">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34"/>
      <c r="Q17" s="1809"/>
      <c r="R17" s="774"/>
      <c r="S17" s="775"/>
      <c r="T17" s="774"/>
      <c r="U17" s="775"/>
      <c r="V17" s="774"/>
      <c r="W17" s="775"/>
      <c r="X17" s="1812"/>
      <c r="Y17" s="3234"/>
      <c r="Z17" s="1813"/>
      <c r="AA17" s="1810">
        <v>1</v>
      </c>
      <c r="AB17" s="1810">
        <v>1</v>
      </c>
      <c r="AC17" s="1810">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34"/>
      <c r="Q19" s="1809"/>
      <c r="R19" s="774"/>
      <c r="S19" s="775"/>
      <c r="T19" s="774"/>
      <c r="U19" s="775"/>
      <c r="V19" s="774"/>
      <c r="W19" s="775"/>
      <c r="X19" s="1812"/>
      <c r="Y19" s="3234"/>
      <c r="Z19" s="1813"/>
      <c r="AA19" s="1810">
        <v>1</v>
      </c>
      <c r="AB19" s="1810">
        <v>1</v>
      </c>
      <c r="AC19" s="1810">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4"/>
      <c r="Q21" s="1809"/>
      <c r="R21" s="774"/>
      <c r="S21" s="775"/>
      <c r="T21" s="774"/>
      <c r="U21" s="775"/>
      <c r="V21" s="774"/>
      <c r="W21" s="775"/>
      <c r="X21" s="1812"/>
      <c r="Y21" s="3234"/>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09">
        <f t="shared" ref="Q24:Q36"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8"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8"/>
      <c r="Q28" s="1809" t="str">
        <f t="shared" si="11"/>
        <v>公共部分装修</v>
      </c>
      <c r="R28" s="774" t="s">
        <v>17</v>
      </c>
      <c r="S28" s="775">
        <f t="shared" si="12"/>
        <v>100</v>
      </c>
      <c r="T28" s="774" t="s">
        <v>17</v>
      </c>
      <c r="U28" s="775">
        <f t="shared" si="13"/>
        <v>100</v>
      </c>
      <c r="V28" s="774" t="s">
        <v>17</v>
      </c>
      <c r="W28" s="775">
        <f t="shared" si="14"/>
        <v>100</v>
      </c>
      <c r="X28" s="1812"/>
      <c r="Y28" s="3238"/>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8"/>
      <c r="Q29" s="1809" t="str">
        <f t="shared" si="11"/>
        <v>成新率</v>
      </c>
      <c r="R29" s="774" t="s">
        <v>17</v>
      </c>
      <c r="S29" s="775" t="e">
        <f t="shared" si="12"/>
        <v>#N/A</v>
      </c>
      <c r="T29" s="774" t="s">
        <v>17</v>
      </c>
      <c r="U29" s="775" t="e">
        <f t="shared" si="13"/>
        <v>#N/A</v>
      </c>
      <c r="V29" s="774" t="s">
        <v>17</v>
      </c>
      <c r="W29" s="775" t="e">
        <f t="shared" si="14"/>
        <v>#N/A</v>
      </c>
      <c r="X29" s="1812"/>
      <c r="Y29" s="3238"/>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8"/>
      <c r="Q30" s="1809" t="str">
        <f t="shared" si="11"/>
        <v>物业等级</v>
      </c>
      <c r="R30" s="774" t="s">
        <v>17</v>
      </c>
      <c r="S30" s="775">
        <f t="shared" si="12"/>
        <v>100</v>
      </c>
      <c r="T30" s="774" t="s">
        <v>17</v>
      </c>
      <c r="U30" s="775">
        <f t="shared" si="13"/>
        <v>100</v>
      </c>
      <c r="V30" s="774" t="s">
        <v>17</v>
      </c>
      <c r="W30" s="775">
        <f t="shared" si="14"/>
        <v>100</v>
      </c>
      <c r="X30" s="1812"/>
      <c r="Y30" s="3238"/>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8"/>
      <c r="Q31" s="1794"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8" t="s">
        <v>2563</v>
      </c>
      <c r="Q32" s="1809" t="str">
        <f t="shared" si="11"/>
        <v>车位类型</v>
      </c>
      <c r="R32" s="774" t="s">
        <v>17</v>
      </c>
      <c r="S32" s="775">
        <f t="shared" si="12"/>
        <v>100</v>
      </c>
      <c r="T32" s="774" t="s">
        <v>17</v>
      </c>
      <c r="U32" s="775">
        <f t="shared" si="13"/>
        <v>100</v>
      </c>
      <c r="V32" s="774" t="s">
        <v>17</v>
      </c>
      <c r="W32" s="775">
        <f t="shared" si="14"/>
        <v>100</v>
      </c>
      <c r="X32" s="1812"/>
      <c r="Y32" s="3238"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8"/>
      <c r="Q33" s="1809" t="str">
        <f t="shared" si="11"/>
        <v>是否直接入户</v>
      </c>
      <c r="R33" s="774" t="s">
        <v>17</v>
      </c>
      <c r="S33" s="775">
        <f t="shared" si="12"/>
        <v>100</v>
      </c>
      <c r="T33" s="774" t="s">
        <v>17</v>
      </c>
      <c r="U33" s="775">
        <f t="shared" si="13"/>
        <v>100</v>
      </c>
      <c r="V33" s="774" t="s">
        <v>17</v>
      </c>
      <c r="W33" s="775">
        <f t="shared" si="14"/>
        <v>100</v>
      </c>
      <c r="X33" s="1812"/>
      <c r="Y33" s="323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8"/>
      <c r="Q34" s="1809">
        <f t="shared" si="11"/>
        <v>111</v>
      </c>
      <c r="R34" s="774" t="s">
        <v>17</v>
      </c>
      <c r="S34" s="775">
        <f t="shared" si="12"/>
        <v>100</v>
      </c>
      <c r="T34" s="774" t="s">
        <v>17</v>
      </c>
      <c r="U34" s="775">
        <f t="shared" si="13"/>
        <v>100</v>
      </c>
      <c r="V34" s="774" t="s">
        <v>17</v>
      </c>
      <c r="W34" s="775">
        <f t="shared" si="14"/>
        <v>100</v>
      </c>
      <c r="X34" s="1812"/>
      <c r="Y34" s="323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8"/>
      <c r="Q36" s="1809">
        <f t="shared" si="11"/>
        <v>111</v>
      </c>
      <c r="R36" s="774" t="s">
        <v>17</v>
      </c>
      <c r="S36" s="775">
        <f t="shared" si="12"/>
        <v>100</v>
      </c>
      <c r="T36" s="774" t="s">
        <v>17</v>
      </c>
      <c r="U36" s="775">
        <f t="shared" si="13"/>
        <v>100</v>
      </c>
      <c r="V36" s="774" t="s">
        <v>17</v>
      </c>
      <c r="W36" s="775">
        <f t="shared" si="14"/>
        <v>100</v>
      </c>
      <c r="X36" s="1812"/>
      <c r="Y36" s="3238"/>
      <c r="Z36" s="1813">
        <f t="shared" si="15"/>
        <v>111</v>
      </c>
      <c r="AA36" s="1810">
        <f t="shared" si="3"/>
        <v>1</v>
      </c>
      <c r="AB36" s="1810">
        <f t="shared" si="4"/>
        <v>1</v>
      </c>
      <c r="AC36" s="1810">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231" t="str">
        <f>A37</f>
        <v>成交单价</v>
      </c>
      <c r="Q37" s="3231"/>
      <c r="R37" s="3232">
        <f>E37</f>
        <v>0</v>
      </c>
      <c r="S37" s="3232"/>
      <c r="T37" s="3232">
        <f>G37</f>
        <v>0</v>
      </c>
      <c r="U37" s="3232"/>
      <c r="V37" s="3232">
        <f>I37</f>
        <v>0</v>
      </c>
      <c r="W37" s="3232"/>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196" t="s">
        <v>2646</v>
      </c>
      <c r="AC4" s="3195" t="s">
        <v>2647</v>
      </c>
    </row>
    <row r="5" spans="1:29">
      <c r="A5" s="404"/>
      <c r="B5" s="405"/>
      <c r="C5" s="3243" t="s">
        <v>2540</v>
      </c>
      <c r="D5" s="3207"/>
      <c r="E5" s="3242" t="s">
        <v>2541</v>
      </c>
      <c r="F5" s="3205"/>
      <c r="G5" s="3243" t="s">
        <v>2542</v>
      </c>
      <c r="H5" s="3207"/>
      <c r="I5" s="3243" t="s">
        <v>2543</v>
      </c>
      <c r="J5" s="3207"/>
      <c r="K5" s="610"/>
      <c r="L5" s="1130"/>
      <c r="M5" s="1131"/>
      <c r="N5" s="1131"/>
      <c r="O5" s="1131"/>
      <c r="P5" s="3220"/>
      <c r="Q5" s="3221"/>
      <c r="R5" s="3202"/>
      <c r="S5" s="3203"/>
      <c r="T5" s="3202"/>
      <c r="U5" s="3203"/>
      <c r="V5" s="3226"/>
      <c r="W5" s="3226"/>
      <c r="X5" s="1812"/>
      <c r="Y5" s="3202"/>
      <c r="Z5" s="3203"/>
      <c r="AA5" s="3196"/>
      <c r="AB5" s="3196"/>
      <c r="AC5" s="3196"/>
    </row>
    <row r="6" spans="1:29" ht="15" thickBot="1">
      <c r="A6" s="406"/>
      <c r="B6" s="407"/>
      <c r="C6" s="3208" t="s">
        <v>2544</v>
      </c>
      <c r="D6" s="3209"/>
      <c r="E6" s="3210" t="s">
        <v>2544</v>
      </c>
      <c r="F6" s="3211"/>
      <c r="G6" s="3208" t="s">
        <v>2544</v>
      </c>
      <c r="H6" s="3209"/>
      <c r="I6" s="3208" t="s">
        <v>2544</v>
      </c>
      <c r="J6" s="3209"/>
      <c r="K6" s="610" t="s">
        <v>2545</v>
      </c>
      <c r="L6" s="1130"/>
      <c r="M6" s="1131"/>
      <c r="N6" s="1131"/>
      <c r="O6" s="1131"/>
      <c r="P6" s="3222"/>
      <c r="Q6" s="3223"/>
      <c r="R6" s="3202"/>
      <c r="S6" s="3203"/>
      <c r="T6" s="3224"/>
      <c r="U6" s="3225"/>
      <c r="V6" s="3226"/>
      <c r="W6" s="3226"/>
      <c r="X6" s="1812"/>
      <c r="Y6" s="3224"/>
      <c r="Z6" s="3225"/>
      <c r="AA6" s="3197"/>
      <c r="AB6" s="3197"/>
      <c r="AC6" s="3197"/>
    </row>
    <row r="7" spans="1:29" s="117" customFormat="1" ht="15" thickBot="1">
      <c r="A7" s="408" t="s">
        <v>2546</v>
      </c>
      <c r="B7" s="409"/>
      <c r="C7" s="410">
        <f>'数据-取费表'!B2</f>
        <v>43627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98" t="s">
        <v>2547</v>
      </c>
      <c r="Q7" s="3227"/>
      <c r="R7" s="770" t="s">
        <v>17</v>
      </c>
      <c r="S7" s="771">
        <f t="shared" ref="S7:S14" si="0">F7</f>
        <v>0</v>
      </c>
      <c r="T7" s="770" t="s">
        <v>17</v>
      </c>
      <c r="U7" s="771">
        <f t="shared" ref="U7:U14" si="1">H7</f>
        <v>0</v>
      </c>
      <c r="V7" s="770" t="s">
        <v>17</v>
      </c>
      <c r="W7" s="771">
        <f t="shared" ref="W7:W14" si="2">J7</f>
        <v>0</v>
      </c>
      <c r="X7" s="772"/>
      <c r="Y7" s="3198" t="s">
        <v>2547</v>
      </c>
      <c r="Z7" s="3199"/>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8" t="s">
        <v>2550</v>
      </c>
      <c r="Q8" s="3199"/>
      <c r="R8" s="770" t="s">
        <v>17</v>
      </c>
      <c r="S8" s="771">
        <f t="shared" si="0"/>
        <v>0</v>
      </c>
      <c r="T8" s="770" t="s">
        <v>17</v>
      </c>
      <c r="U8" s="771">
        <f t="shared" si="1"/>
        <v>0</v>
      </c>
      <c r="V8" s="770" t="s">
        <v>17</v>
      </c>
      <c r="W8" s="771">
        <f t="shared" si="2"/>
        <v>0</v>
      </c>
      <c r="X8" s="772"/>
      <c r="Y8" s="3198" t="s">
        <v>2550</v>
      </c>
      <c r="Z8" s="3199"/>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1"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1"/>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2558</v>
      </c>
      <c r="Q14" s="1809" t="str">
        <f t="shared" si="6"/>
        <v>交通便捷度</v>
      </c>
      <c r="R14" s="774" t="s">
        <v>17</v>
      </c>
      <c r="S14" s="775">
        <f t="shared" si="0"/>
        <v>100</v>
      </c>
      <c r="T14" s="774" t="s">
        <v>17</v>
      </c>
      <c r="U14" s="775">
        <f t="shared" si="1"/>
        <v>100</v>
      </c>
      <c r="V14" s="774" t="s">
        <v>17</v>
      </c>
      <c r="W14" s="775">
        <f t="shared" si="2"/>
        <v>100</v>
      </c>
      <c r="X14" s="1812"/>
      <c r="Y14" s="3233"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4"/>
      <c r="Q15" s="1809"/>
      <c r="R15" s="774"/>
      <c r="S15" s="775"/>
      <c r="T15" s="774"/>
      <c r="U15" s="775"/>
      <c r="V15" s="774"/>
      <c r="W15" s="775"/>
      <c r="X15" s="1812"/>
      <c r="Y15" s="3234"/>
      <c r="Z15" s="1813"/>
      <c r="AA15" s="1810">
        <v>1</v>
      </c>
      <c r="AB15" s="1810">
        <v>1</v>
      </c>
      <c r="AC15" s="1810">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34"/>
      <c r="Q17" s="1809"/>
      <c r="R17" s="774"/>
      <c r="S17" s="775"/>
      <c r="T17" s="774"/>
      <c r="U17" s="775"/>
      <c r="V17" s="774"/>
      <c r="W17" s="775"/>
      <c r="X17" s="1812"/>
      <c r="Y17" s="3234"/>
      <c r="Z17" s="1813"/>
      <c r="AA17" s="1810">
        <v>1</v>
      </c>
      <c r="AB17" s="1810">
        <v>1</v>
      </c>
      <c r="AC17" s="1810">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34"/>
      <c r="Q19" s="1809"/>
      <c r="R19" s="774"/>
      <c r="S19" s="775"/>
      <c r="T19" s="774"/>
      <c r="U19" s="775"/>
      <c r="V19" s="774"/>
      <c r="W19" s="775"/>
      <c r="X19" s="1812"/>
      <c r="Y19" s="3234"/>
      <c r="Z19" s="1813"/>
      <c r="AA19" s="1810">
        <v>1</v>
      </c>
      <c r="AB19" s="1810">
        <v>1</v>
      </c>
      <c r="AC19" s="1810">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4"/>
      <c r="Q21" s="1809"/>
      <c r="R21" s="774"/>
      <c r="S21" s="775"/>
      <c r="T21" s="774"/>
      <c r="U21" s="775"/>
      <c r="V21" s="774"/>
      <c r="W21" s="775"/>
      <c r="X21" s="1812"/>
      <c r="Y21" s="3234"/>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09">
        <f t="shared" ref="Q24:Q34"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9"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8"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8"/>
      <c r="Q28" s="1809" t="str">
        <f t="shared" si="11"/>
        <v>物业等级</v>
      </c>
      <c r="R28" s="774" t="s">
        <v>17</v>
      </c>
      <c r="S28" s="775">
        <f t="shared" si="12"/>
        <v>100</v>
      </c>
      <c r="T28" s="774" t="s">
        <v>17</v>
      </c>
      <c r="U28" s="775">
        <f t="shared" si="13"/>
        <v>100</v>
      </c>
      <c r="V28" s="774" t="s">
        <v>17</v>
      </c>
      <c r="W28" s="775">
        <f t="shared" si="14"/>
        <v>100</v>
      </c>
      <c r="X28" s="1812"/>
      <c r="Y28" s="3238"/>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8"/>
      <c r="Q29" s="1809" t="str">
        <f t="shared" si="11"/>
        <v>有无电梯</v>
      </c>
      <c r="R29" s="774" t="s">
        <v>17</v>
      </c>
      <c r="S29" s="775">
        <f t="shared" si="12"/>
        <v>100</v>
      </c>
      <c r="T29" s="774" t="s">
        <v>17</v>
      </c>
      <c r="U29" s="775">
        <f t="shared" si="13"/>
        <v>100</v>
      </c>
      <c r="V29" s="774" t="s">
        <v>17</v>
      </c>
      <c r="W29" s="775">
        <f t="shared" si="14"/>
        <v>100</v>
      </c>
      <c r="X29" s="1812"/>
      <c r="Y29" s="3238"/>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8"/>
      <c r="Q30" s="1809" t="str">
        <f t="shared" si="11"/>
        <v>建筑面积</v>
      </c>
      <c r="R30" s="774" t="s">
        <v>17</v>
      </c>
      <c r="S30" s="775" t="e">
        <f t="shared" si="12"/>
        <v>#N/A</v>
      </c>
      <c r="T30" s="774" t="s">
        <v>17</v>
      </c>
      <c r="U30" s="775" t="e">
        <f t="shared" si="13"/>
        <v>#N/A</v>
      </c>
      <c r="V30" s="774" t="s">
        <v>17</v>
      </c>
      <c r="W30" s="775" t="e">
        <f t="shared" si="14"/>
        <v>#N/A</v>
      </c>
      <c r="X30" s="1812"/>
      <c r="Y30" s="3238"/>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8"/>
      <c r="Q31" s="1794"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8" t="s">
        <v>2563</v>
      </c>
      <c r="Q32" s="1809">
        <f t="shared" si="11"/>
        <v>111</v>
      </c>
      <c r="R32" s="774" t="s">
        <v>17</v>
      </c>
      <c r="S32" s="775">
        <f t="shared" si="12"/>
        <v>100</v>
      </c>
      <c r="T32" s="774" t="s">
        <v>17</v>
      </c>
      <c r="U32" s="775">
        <f t="shared" si="13"/>
        <v>100</v>
      </c>
      <c r="V32" s="774" t="s">
        <v>17</v>
      </c>
      <c r="W32" s="775">
        <f t="shared" si="14"/>
        <v>100</v>
      </c>
      <c r="X32" s="1812"/>
      <c r="Y32" s="3238"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8"/>
      <c r="Q33" s="1809">
        <f t="shared" si="11"/>
        <v>111</v>
      </c>
      <c r="R33" s="774" t="s">
        <v>17</v>
      </c>
      <c r="S33" s="775">
        <f t="shared" si="12"/>
        <v>100</v>
      </c>
      <c r="T33" s="774" t="s">
        <v>17</v>
      </c>
      <c r="U33" s="775">
        <f t="shared" si="13"/>
        <v>100</v>
      </c>
      <c r="V33" s="774" t="s">
        <v>17</v>
      </c>
      <c r="W33" s="775">
        <f t="shared" si="14"/>
        <v>100</v>
      </c>
      <c r="X33" s="1812"/>
      <c r="Y33" s="3238"/>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38"/>
      <c r="Q34" s="1809">
        <f t="shared" si="11"/>
        <v>111</v>
      </c>
      <c r="R34" s="774" t="s">
        <v>17</v>
      </c>
      <c r="S34" s="775">
        <f t="shared" si="12"/>
        <v>100</v>
      </c>
      <c r="T34" s="774" t="s">
        <v>17</v>
      </c>
      <c r="U34" s="775">
        <f t="shared" si="13"/>
        <v>100</v>
      </c>
      <c r="V34" s="774" t="s">
        <v>17</v>
      </c>
      <c r="W34" s="775">
        <f t="shared" si="14"/>
        <v>100</v>
      </c>
      <c r="X34" s="1812"/>
      <c r="Y34" s="3238"/>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5" zoomScale="70" zoomScaleNormal="70" workbookViewId="0">
      <selection activeCell="J84" sqref="J84"/>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F67</f>
        <v>131407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11756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196" t="s">
        <v>2646</v>
      </c>
      <c r="AC4" s="3195" t="s">
        <v>2647</v>
      </c>
    </row>
    <row r="5" spans="1:30" ht="109.2" customHeight="1">
      <c r="A5" s="404"/>
      <c r="B5" s="405"/>
      <c r="C5" s="3311" t="s">
        <v>3602</v>
      </c>
      <c r="D5" s="3312"/>
      <c r="E5" s="3313" t="str">
        <f>土地案例!A4</f>
        <v>北京市昌平区北七家镇未来科学城南区CP07-0600-0052、0063、C-18地块F2公建混合住宅用地、R2二类居住用地</v>
      </c>
      <c r="F5" s="3314"/>
      <c r="G5" s="3315" t="str">
        <f>土地案例!A5</f>
        <v>北京市昌平区沙河镇七里渠南北村土地一级开发项目CP00-1600-0016、CP00-1804-0007地块F2公建混合住宅用地</v>
      </c>
      <c r="H5" s="3312"/>
      <c r="I5" s="3315" t="str">
        <f>土地案例!A11</f>
        <v>昌平区北七家镇003、CP07-0204-0001、010、013地块B4综合性商业金融服务业用地、A61机构养老设施用地、R2二类居住用地、A33基础教育用地</v>
      </c>
      <c r="J5" s="3312"/>
      <c r="K5" s="610"/>
      <c r="L5" s="1130"/>
      <c r="M5" s="1131"/>
      <c r="N5" s="1131"/>
      <c r="O5" s="1131"/>
      <c r="P5" s="3220"/>
      <c r="Q5" s="3221"/>
      <c r="R5" s="3202"/>
      <c r="S5" s="3203"/>
      <c r="T5" s="3202"/>
      <c r="U5" s="3203"/>
      <c r="V5" s="3226"/>
      <c r="W5" s="3226"/>
      <c r="X5" s="1812"/>
      <c r="Y5" s="3202"/>
      <c r="Z5" s="3203"/>
      <c r="AA5" s="3196"/>
      <c r="AB5" s="3196"/>
      <c r="AC5" s="3196"/>
    </row>
    <row r="6" spans="1:30" ht="15" thickBot="1">
      <c r="A6" s="406"/>
      <c r="B6" s="407"/>
      <c r="C6" s="3316" t="s">
        <v>3603</v>
      </c>
      <c r="D6" s="3265"/>
      <c r="E6" s="3316" t="s">
        <v>3603</v>
      </c>
      <c r="F6" s="3265"/>
      <c r="G6" s="3316" t="s">
        <v>3604</v>
      </c>
      <c r="H6" s="3265"/>
      <c r="I6" s="3316" t="s">
        <v>3603</v>
      </c>
      <c r="J6" s="3265"/>
      <c r="K6" s="610" t="s">
        <v>2545</v>
      </c>
      <c r="L6" s="1130"/>
      <c r="M6" s="1131"/>
      <c r="N6" s="1131"/>
      <c r="O6" s="1131"/>
      <c r="P6" s="3222"/>
      <c r="Q6" s="3223"/>
      <c r="R6" s="3202"/>
      <c r="S6" s="3203"/>
      <c r="T6" s="3224"/>
      <c r="U6" s="3225"/>
      <c r="V6" s="3226"/>
      <c r="W6" s="3226"/>
      <c r="X6" s="1812"/>
      <c r="Y6" s="3224"/>
      <c r="Z6" s="3225"/>
      <c r="AA6" s="3197"/>
      <c r="AB6" s="3197"/>
      <c r="AC6" s="3197"/>
    </row>
    <row r="7" spans="1:30" s="117" customFormat="1" ht="15" thickBot="1">
      <c r="A7" s="408" t="s">
        <v>2546</v>
      </c>
      <c r="B7" s="409"/>
      <c r="C7" s="410">
        <f>'数据-取费表'!B2</f>
        <v>43627</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198" t="s">
        <v>2547</v>
      </c>
      <c r="Q7" s="3227"/>
      <c r="R7" s="770" t="s">
        <v>17</v>
      </c>
      <c r="S7" s="771">
        <f t="shared" ref="S7:S16" si="0">F7</f>
        <v>99</v>
      </c>
      <c r="T7" s="770" t="s">
        <v>17</v>
      </c>
      <c r="U7" s="771">
        <f t="shared" ref="U7:U16" si="1">H7</f>
        <v>99</v>
      </c>
      <c r="V7" s="770" t="s">
        <v>17</v>
      </c>
      <c r="W7" s="771">
        <f t="shared" ref="W7:W16" si="2">J7</f>
        <v>96.5</v>
      </c>
      <c r="X7" s="772"/>
      <c r="Y7" s="3198" t="s">
        <v>2547</v>
      </c>
      <c r="Z7" s="3199"/>
      <c r="AA7" s="773">
        <f>D7/F7</f>
        <v>1.0101010101010102</v>
      </c>
      <c r="AB7" s="773">
        <f>D7/H7</f>
        <v>1.0101010101010102</v>
      </c>
      <c r="AC7" s="773">
        <f>D7/J7</f>
        <v>1.0362694300518134</v>
      </c>
    </row>
    <row r="8" spans="1:30" s="117" customFormat="1" ht="15" thickBot="1">
      <c r="A8" s="408" t="s">
        <v>2548</v>
      </c>
      <c r="B8" s="409"/>
      <c r="C8" s="414" t="s">
        <v>2549</v>
      </c>
      <c r="D8" s="411">
        <v>100</v>
      </c>
      <c r="E8" s="414" t="s">
        <v>2549</v>
      </c>
      <c r="F8" s="413">
        <f>SUMIF(74:74,E8,75:75)-SUMIF(74:74,C8,75:75)+100</f>
        <v>100</v>
      </c>
      <c r="G8" s="414" t="s">
        <v>2549</v>
      </c>
      <c r="H8" s="411">
        <f>SUMIF(74:74,G8,75:75)-SUMIF(74:74,C8,75:75)+100</f>
        <v>100</v>
      </c>
      <c r="I8" s="414" t="s">
        <v>2549</v>
      </c>
      <c r="J8" s="411">
        <f>SUMIF(74:74,I8,75:75)-SUMIF(74:74,C8,75:75)+100</f>
        <v>100</v>
      </c>
      <c r="K8" s="611"/>
      <c r="L8" s="1132"/>
      <c r="M8" s="1133"/>
      <c r="N8" s="1133"/>
      <c r="O8" s="1133"/>
      <c r="P8" s="3198" t="s">
        <v>2550</v>
      </c>
      <c r="Q8" s="3199"/>
      <c r="R8" s="770" t="s">
        <v>17</v>
      </c>
      <c r="S8" s="771">
        <f t="shared" si="0"/>
        <v>100</v>
      </c>
      <c r="T8" s="770" t="s">
        <v>17</v>
      </c>
      <c r="U8" s="771">
        <f t="shared" si="1"/>
        <v>100</v>
      </c>
      <c r="V8" s="770" t="s">
        <v>17</v>
      </c>
      <c r="W8" s="771">
        <f t="shared" si="2"/>
        <v>100</v>
      </c>
      <c r="X8" s="772"/>
      <c r="Y8" s="3198" t="s">
        <v>2550</v>
      </c>
      <c r="Z8" s="3199"/>
      <c r="AA8" s="773">
        <f t="shared" ref="AA8:AA46" si="3">D8/F8</f>
        <v>1</v>
      </c>
      <c r="AB8" s="773">
        <f t="shared" ref="AB8:AB46" si="4">D8/H8</f>
        <v>1</v>
      </c>
      <c r="AC8" s="773">
        <f t="shared" ref="AC8:AC46" si="5">D8/J8</f>
        <v>1</v>
      </c>
    </row>
    <row r="9" spans="1:30" s="117" customFormat="1" ht="27.6">
      <c r="A9" s="415" t="s">
        <v>2551</v>
      </c>
      <c r="B9" s="71" t="s">
        <v>2552</v>
      </c>
      <c r="C9" s="2697" t="s">
        <v>3183</v>
      </c>
      <c r="D9" s="135">
        <v>100</v>
      </c>
      <c r="E9" s="2697" t="s">
        <v>3183</v>
      </c>
      <c r="F9" s="135">
        <f>SUMIF(76:76,E9,77:77)-SUMIF(76:76,C9,77:77)+100</f>
        <v>100</v>
      </c>
      <c r="G9" s="2697" t="s">
        <v>3183</v>
      </c>
      <c r="H9" s="135">
        <f>SUMIF(76:76,G9,77:77)-SUMIF(76:76,C9,77:77)+100</f>
        <v>100</v>
      </c>
      <c r="I9" s="2697" t="s">
        <v>3183</v>
      </c>
      <c r="J9" s="135">
        <f>SUMIF(76:76,I9,77:77)-SUMIF(76:76,C9,77:77)+100</f>
        <v>100</v>
      </c>
      <c r="K9" s="611"/>
      <c r="L9" s="1132"/>
      <c r="M9" s="1133"/>
      <c r="N9" s="1133"/>
      <c r="O9" s="1134"/>
      <c r="P9" s="3231" t="s">
        <v>2553</v>
      </c>
      <c r="Q9" s="1794" t="str">
        <f t="shared" ref="Q9:Q16" si="6">B9</f>
        <v>用途</v>
      </c>
      <c r="R9" s="770" t="s">
        <v>17</v>
      </c>
      <c r="S9" s="771">
        <f t="shared" si="0"/>
        <v>100</v>
      </c>
      <c r="T9" s="770" t="s">
        <v>17</v>
      </c>
      <c r="U9" s="771">
        <f t="shared" si="1"/>
        <v>100</v>
      </c>
      <c r="V9" s="770" t="s">
        <v>17</v>
      </c>
      <c r="W9" s="771">
        <f t="shared" si="2"/>
        <v>100</v>
      </c>
      <c r="X9" s="772"/>
      <c r="Y9" s="3045" t="s">
        <v>2554</v>
      </c>
      <c r="Z9" s="55" t="str">
        <f t="shared" ref="Z9:Z16"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31"/>
      <c r="Q10" s="1794" t="str">
        <f t="shared" si="6"/>
        <v>土地使用年限（年）</v>
      </c>
      <c r="R10" s="770" t="s">
        <v>17</v>
      </c>
      <c r="S10" s="771">
        <f t="shared" si="0"/>
        <v>102</v>
      </c>
      <c r="T10" s="770" t="s">
        <v>17</v>
      </c>
      <c r="U10" s="771">
        <f t="shared" si="1"/>
        <v>102</v>
      </c>
      <c r="V10" s="770" t="s">
        <v>17</v>
      </c>
      <c r="W10" s="771">
        <f t="shared" si="2"/>
        <v>102</v>
      </c>
      <c r="X10" s="772"/>
      <c r="Y10" s="3045"/>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f>'数据-汇总表'!I4</f>
        <v>3.79</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31"/>
      <c r="Q11" s="1794" t="str">
        <f t="shared" si="6"/>
        <v>容积率</v>
      </c>
      <c r="R11" s="770" t="s">
        <v>17</v>
      </c>
      <c r="S11" s="771">
        <f t="shared" si="0"/>
        <v>103</v>
      </c>
      <c r="T11" s="770" t="s">
        <v>17</v>
      </c>
      <c r="U11" s="771">
        <f t="shared" si="1"/>
        <v>103</v>
      </c>
      <c r="V11" s="770" t="s">
        <v>17</v>
      </c>
      <c r="W11" s="771">
        <f t="shared" si="2"/>
        <v>103</v>
      </c>
      <c r="X11" s="772"/>
      <c r="Y11" s="3045"/>
      <c r="Z11" s="55" t="str">
        <f t="shared" si="7"/>
        <v>容积率</v>
      </c>
      <c r="AA11" s="773">
        <f t="shared" si="3"/>
        <v>0.970873786407767</v>
      </c>
      <c r="AB11" s="773">
        <f t="shared" si="4"/>
        <v>0.970873786407767</v>
      </c>
      <c r="AC11" s="773">
        <f t="shared" si="5"/>
        <v>0.970873786407767</v>
      </c>
    </row>
    <row r="12" spans="1:30" ht="15">
      <c r="A12" s="428"/>
      <c r="B12" s="2977" t="s">
        <v>3644</v>
      </c>
      <c r="C12" s="3318" t="s">
        <v>3645</v>
      </c>
      <c r="D12" s="433">
        <v>100</v>
      </c>
      <c r="E12" s="3318" t="s">
        <v>3646</v>
      </c>
      <c r="F12" s="136">
        <v>95</v>
      </c>
      <c r="G12" s="3318" t="s">
        <v>3646</v>
      </c>
      <c r="H12" s="136">
        <v>95</v>
      </c>
      <c r="I12" s="3319" t="s">
        <v>3647</v>
      </c>
      <c r="J12" s="136">
        <v>95</v>
      </c>
      <c r="K12" s="673">
        <v>5</v>
      </c>
      <c r="L12" s="1138"/>
      <c r="M12" s="1131"/>
      <c r="N12" s="1131"/>
      <c r="O12" s="1139"/>
      <c r="P12" s="3231"/>
      <c r="Q12" s="2970" t="str">
        <f t="shared" si="6"/>
        <v>是否限价</v>
      </c>
      <c r="R12" s="770" t="s">
        <v>17</v>
      </c>
      <c r="S12" s="771">
        <f t="shared" si="0"/>
        <v>95</v>
      </c>
      <c r="T12" s="770" t="s">
        <v>17</v>
      </c>
      <c r="U12" s="771">
        <f t="shared" si="1"/>
        <v>95</v>
      </c>
      <c r="V12" s="770" t="s">
        <v>17</v>
      </c>
      <c r="W12" s="771">
        <f t="shared" si="2"/>
        <v>95</v>
      </c>
      <c r="X12" s="772"/>
      <c r="Y12" s="3045"/>
      <c r="Z12" s="2971" t="str">
        <f t="shared" si="7"/>
        <v>是否限价</v>
      </c>
      <c r="AA12" s="773">
        <f t="shared" si="3"/>
        <v>1.0526315789473684</v>
      </c>
      <c r="AB12" s="773">
        <f t="shared" si="4"/>
        <v>1.0526315789473684</v>
      </c>
      <c r="AC12" s="773">
        <f t="shared" si="5"/>
        <v>1.0526315789473684</v>
      </c>
    </row>
    <row r="13" spans="1:30" s="117" customFormat="1" ht="15">
      <c r="A13" s="431"/>
      <c r="B13" s="2600" t="s">
        <v>2745</v>
      </c>
      <c r="C13" s="3318" t="s">
        <v>3624</v>
      </c>
      <c r="D13" s="433">
        <v>100</v>
      </c>
      <c r="E13" s="3319" t="s">
        <v>3625</v>
      </c>
      <c r="F13" s="136">
        <f>SUMIF(83:83,E13,84:84)-SUMIF(83:83,C13,84:84)+100</f>
        <v>105</v>
      </c>
      <c r="G13" s="3319" t="s">
        <v>3625</v>
      </c>
      <c r="H13" s="136">
        <f>SUMIF(83:83,G13,84:84)-SUMIF(83:83,C13,84:84)+100</f>
        <v>105</v>
      </c>
      <c r="I13" s="3319" t="s">
        <v>3625</v>
      </c>
      <c r="J13" s="136">
        <f>SUMIF(83:83,I13,84:84)-SUMIF(83:83,C13,84:84)+100</f>
        <v>105</v>
      </c>
      <c r="K13" s="672"/>
      <c r="L13" s="1132"/>
      <c r="M13" s="1133"/>
      <c r="N13" s="1133"/>
      <c r="O13" s="1134"/>
      <c r="P13" s="3231"/>
      <c r="Q13" s="1794" t="str">
        <f t="shared" si="6"/>
        <v>配建</v>
      </c>
      <c r="R13" s="770" t="s">
        <v>17</v>
      </c>
      <c r="S13" s="771">
        <f t="shared" si="0"/>
        <v>105</v>
      </c>
      <c r="T13" s="770" t="s">
        <v>17</v>
      </c>
      <c r="U13" s="771">
        <f t="shared" si="1"/>
        <v>105</v>
      </c>
      <c r="V13" s="770" t="s">
        <v>17</v>
      </c>
      <c r="W13" s="771">
        <f t="shared" si="2"/>
        <v>105</v>
      </c>
      <c r="X13" s="772"/>
      <c r="Y13" s="3045"/>
      <c r="Z13" s="55" t="str">
        <f t="shared" si="7"/>
        <v>配建</v>
      </c>
      <c r="AA13" s="773">
        <f>D13/F13</f>
        <v>0.95238095238095233</v>
      </c>
      <c r="AB13" s="773">
        <f>D13/H13</f>
        <v>0.95238095238095233</v>
      </c>
      <c r="AC13" s="773">
        <f>D13/J13</f>
        <v>0.95238095238095233</v>
      </c>
    </row>
    <row r="14" spans="1:30" ht="15">
      <c r="A14" s="428"/>
      <c r="B14" s="2977" t="s">
        <v>3600</v>
      </c>
      <c r="C14" s="523" t="s">
        <v>3626</v>
      </c>
      <c r="D14" s="435">
        <v>100</v>
      </c>
      <c r="E14" s="3323" t="s">
        <v>3649</v>
      </c>
      <c r="F14" s="136">
        <f>SUMIF(85:85,E14,86:86)-SUMIF(85:85,C14,86:86)+100</f>
        <v>105</v>
      </c>
      <c r="G14" s="523" t="s">
        <v>3626</v>
      </c>
      <c r="H14" s="435">
        <f>SUMIF(85:85,G14,86:86)-SUMIF(85:85,C14,86:86)+100</f>
        <v>100</v>
      </c>
      <c r="I14" s="523" t="s">
        <v>3626</v>
      </c>
      <c r="J14" s="435">
        <f>SUMIF(85:85,I14,86:86)-SUMIF(85:85,C14,86:86)+100</f>
        <v>100</v>
      </c>
      <c r="K14" s="672"/>
      <c r="L14" s="1140"/>
      <c r="M14" s="1131"/>
      <c r="N14" s="1131"/>
      <c r="O14" s="1139"/>
      <c r="P14" s="3231"/>
      <c r="Q14" s="1794" t="str">
        <f t="shared" si="6"/>
        <v>自持比例</v>
      </c>
      <c r="R14" s="770" t="s">
        <v>17</v>
      </c>
      <c r="S14" s="771">
        <f t="shared" si="0"/>
        <v>105</v>
      </c>
      <c r="T14" s="770" t="s">
        <v>17</v>
      </c>
      <c r="U14" s="771">
        <f t="shared" si="1"/>
        <v>100</v>
      </c>
      <c r="V14" s="770" t="s">
        <v>17</v>
      </c>
      <c r="W14" s="771">
        <f t="shared" si="2"/>
        <v>100</v>
      </c>
      <c r="X14" s="772"/>
      <c r="Y14" s="3045"/>
      <c r="Z14" s="55" t="str">
        <f t="shared" si="7"/>
        <v>自持比例</v>
      </c>
      <c r="AA14" s="773">
        <f>D14/F14</f>
        <v>0.95238095238095233</v>
      </c>
      <c r="AB14" s="773">
        <f>D14/H14</f>
        <v>1</v>
      </c>
      <c r="AC14" s="773">
        <f>D14/J14</f>
        <v>1</v>
      </c>
    </row>
    <row r="15" spans="1:30" ht="15.6" thickBot="1">
      <c r="A15" s="436"/>
      <c r="B15" s="2978" t="s">
        <v>3601</v>
      </c>
      <c r="C15" s="523" t="s">
        <v>3626</v>
      </c>
      <c r="D15" s="438">
        <v>100</v>
      </c>
      <c r="E15" s="523" t="s">
        <v>3628</v>
      </c>
      <c r="F15" s="438">
        <f>SUMIF(87:87,E15,88:88)-SUMIF(87:87,C15,88:88)+100</f>
        <v>114</v>
      </c>
      <c r="G15" s="523" t="s">
        <v>3626</v>
      </c>
      <c r="H15" s="438">
        <f>SUMIF(87:87,G15,88:88)-SUMIF(87:87,C15,88:88)+100</f>
        <v>100</v>
      </c>
      <c r="I15" s="523" t="s">
        <v>3627</v>
      </c>
      <c r="J15" s="438">
        <f>SUMIF(87:87,I15,88:88)-SUMIF(87:87,C15,88:88)+100</f>
        <v>107</v>
      </c>
      <c r="K15" s="672"/>
      <c r="L15" s="1140"/>
      <c r="M15" s="1131"/>
      <c r="N15" s="1131"/>
      <c r="O15" s="1139"/>
      <c r="P15" s="3231"/>
      <c r="Q15" s="1794" t="str">
        <f t="shared" si="6"/>
        <v>住宅配比</v>
      </c>
      <c r="R15" s="770" t="s">
        <v>17</v>
      </c>
      <c r="S15" s="771">
        <f t="shared" si="0"/>
        <v>114</v>
      </c>
      <c r="T15" s="770" t="s">
        <v>17</v>
      </c>
      <c r="U15" s="771">
        <f t="shared" si="1"/>
        <v>100</v>
      </c>
      <c r="V15" s="770" t="s">
        <v>17</v>
      </c>
      <c r="W15" s="771">
        <f t="shared" si="2"/>
        <v>107</v>
      </c>
      <c r="X15" s="772"/>
      <c r="Y15" s="3045"/>
      <c r="Z15" s="55" t="str">
        <f t="shared" si="7"/>
        <v>住宅配比</v>
      </c>
      <c r="AA15" s="773">
        <f>D15/F15</f>
        <v>0.8771929824561403</v>
      </c>
      <c r="AB15" s="773">
        <f>D15/H15</f>
        <v>1</v>
      </c>
      <c r="AC15" s="773">
        <f>D15/J15</f>
        <v>0.93457943925233644</v>
      </c>
    </row>
    <row r="16" spans="1:30" ht="96.6">
      <c r="A16" s="440" t="s">
        <v>2557</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33" t="s">
        <v>2558</v>
      </c>
      <c r="Q16" s="1809" t="str">
        <f t="shared" si="6"/>
        <v>居住社区成熟度</v>
      </c>
      <c r="R16" s="774" t="s">
        <v>17</v>
      </c>
      <c r="S16" s="775">
        <f t="shared" si="0"/>
        <v>100</v>
      </c>
      <c r="T16" s="774" t="s">
        <v>17</v>
      </c>
      <c r="U16" s="775">
        <f t="shared" si="1"/>
        <v>100</v>
      </c>
      <c r="V16" s="774" t="s">
        <v>17</v>
      </c>
      <c r="W16" s="775">
        <f t="shared" si="2"/>
        <v>100</v>
      </c>
      <c r="X16" s="1812"/>
      <c r="Y16" s="3233" t="s">
        <v>2558</v>
      </c>
      <c r="Z16" s="1813" t="str">
        <f t="shared" si="7"/>
        <v>居住社区成熟度</v>
      </c>
      <c r="AA16" s="1810">
        <f t="shared" si="3"/>
        <v>1</v>
      </c>
      <c r="AB16" s="1810">
        <f t="shared" si="4"/>
        <v>1</v>
      </c>
      <c r="AC16" s="1810">
        <f t="shared" si="5"/>
        <v>1</v>
      </c>
    </row>
    <row r="17" spans="1:29" ht="15">
      <c r="A17" s="428"/>
      <c r="B17" s="446"/>
      <c r="C17" s="447" t="s">
        <v>3574</v>
      </c>
      <c r="D17" s="448"/>
      <c r="E17" s="447" t="s">
        <v>3574</v>
      </c>
      <c r="F17" s="448"/>
      <c r="G17" s="447" t="s">
        <v>3574</v>
      </c>
      <c r="H17" s="450"/>
      <c r="I17" s="447" t="s">
        <v>3574</v>
      </c>
      <c r="J17" s="448"/>
      <c r="K17" s="672"/>
      <c r="L17" s="1140"/>
      <c r="M17" s="1131"/>
      <c r="N17" s="1131"/>
      <c r="O17" s="1139"/>
      <c r="P17" s="3234"/>
      <c r="Q17" s="1809"/>
      <c r="R17" s="774"/>
      <c r="S17" s="775"/>
      <c r="T17" s="774"/>
      <c r="U17" s="775"/>
      <c r="V17" s="774"/>
      <c r="W17" s="775"/>
      <c r="X17" s="1812"/>
      <c r="Y17" s="3234"/>
      <c r="Z17" s="1813"/>
      <c r="AA17" s="1810">
        <v>1</v>
      </c>
      <c r="AB17" s="1810">
        <v>1</v>
      </c>
      <c r="AC17" s="1810">
        <v>1</v>
      </c>
    </row>
    <row r="18" spans="1:29" ht="69">
      <c r="A18" s="428"/>
      <c r="B18" s="451" t="s">
        <v>2651</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34"/>
      <c r="Q18" s="1809" t="str">
        <f>B18</f>
        <v>商业繁华度</v>
      </c>
      <c r="R18" s="774" t="s">
        <v>17</v>
      </c>
      <c r="S18" s="775">
        <f>F18</f>
        <v>100</v>
      </c>
      <c r="T18" s="774" t="s">
        <v>17</v>
      </c>
      <c r="U18" s="775">
        <f>H18</f>
        <v>100</v>
      </c>
      <c r="V18" s="774" t="s">
        <v>17</v>
      </c>
      <c r="W18" s="775">
        <f>J18</f>
        <v>100</v>
      </c>
      <c r="X18" s="1812"/>
      <c r="Y18" s="3234"/>
      <c r="Z18" s="1813" t="str">
        <f>Q18</f>
        <v>商业繁华度</v>
      </c>
      <c r="AA18" s="1810">
        <f t="shared" si="3"/>
        <v>1</v>
      </c>
      <c r="AB18" s="1810">
        <f t="shared" si="4"/>
        <v>1</v>
      </c>
      <c r="AC18" s="1810">
        <f t="shared" si="5"/>
        <v>1</v>
      </c>
    </row>
    <row r="19" spans="1:29" ht="15">
      <c r="A19" s="428"/>
      <c r="B19" s="456"/>
      <c r="C19" s="2608" t="s">
        <v>3575</v>
      </c>
      <c r="D19" s="450"/>
      <c r="E19" s="2608" t="s">
        <v>3575</v>
      </c>
      <c r="F19" s="450"/>
      <c r="G19" s="2608" t="s">
        <v>3575</v>
      </c>
      <c r="H19" s="448"/>
      <c r="I19" s="2608" t="s">
        <v>3575</v>
      </c>
      <c r="J19" s="448"/>
      <c r="K19" s="672"/>
      <c r="L19" s="1140"/>
      <c r="M19" s="1131"/>
      <c r="N19" s="1131"/>
      <c r="O19" s="1139"/>
      <c r="P19" s="3234"/>
      <c r="Q19" s="1809"/>
      <c r="R19" s="774"/>
      <c r="S19" s="775"/>
      <c r="T19" s="774"/>
      <c r="U19" s="775"/>
      <c r="V19" s="774"/>
      <c r="W19" s="775"/>
      <c r="X19" s="1812"/>
      <c r="Y19" s="3234"/>
      <c r="Z19" s="1813"/>
      <c r="AA19" s="1810">
        <v>1</v>
      </c>
      <c r="AB19" s="1810">
        <v>1</v>
      </c>
      <c r="AC19" s="1810">
        <v>1</v>
      </c>
    </row>
    <row r="20" spans="1:29" ht="69">
      <c r="A20" s="428"/>
      <c r="B20" s="451" t="s">
        <v>2685</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100</v>
      </c>
      <c r="K20" s="673">
        <v>2</v>
      </c>
      <c r="L20" s="1140"/>
      <c r="M20" s="1131"/>
      <c r="N20" s="1131"/>
      <c r="O20" s="1139"/>
      <c r="P20" s="3234"/>
      <c r="Q20" s="1809" t="str">
        <f>B20</f>
        <v>办公集聚程度</v>
      </c>
      <c r="R20" s="774" t="s">
        <v>17</v>
      </c>
      <c r="S20" s="775">
        <f>F20</f>
        <v>100</v>
      </c>
      <c r="T20" s="774" t="s">
        <v>17</v>
      </c>
      <c r="U20" s="775">
        <f>H20</f>
        <v>100</v>
      </c>
      <c r="V20" s="774" t="s">
        <v>17</v>
      </c>
      <c r="W20" s="775">
        <f>J20</f>
        <v>100</v>
      </c>
      <c r="X20" s="1812"/>
      <c r="Y20" s="3234"/>
      <c r="Z20" s="1813" t="str">
        <f>Q20</f>
        <v>办公集聚程度</v>
      </c>
      <c r="AA20" s="1810">
        <f t="shared" si="3"/>
        <v>1</v>
      </c>
      <c r="AB20" s="1810">
        <f t="shared" si="4"/>
        <v>1</v>
      </c>
      <c r="AC20" s="1810">
        <f t="shared" si="5"/>
        <v>1</v>
      </c>
    </row>
    <row r="21" spans="1:29" ht="15">
      <c r="A21" s="428"/>
      <c r="B21" s="456"/>
      <c r="C21" s="447" t="s">
        <v>3575</v>
      </c>
      <c r="D21" s="448"/>
      <c r="E21" s="447" t="s">
        <v>3575</v>
      </c>
      <c r="F21" s="448"/>
      <c r="G21" s="447" t="s">
        <v>3575</v>
      </c>
      <c r="H21" s="448"/>
      <c r="I21" s="447" t="s">
        <v>3575</v>
      </c>
      <c r="J21" s="448"/>
      <c r="K21" s="672"/>
      <c r="L21" s="1140"/>
      <c r="M21" s="1131"/>
      <c r="N21" s="1131"/>
      <c r="O21" s="1139"/>
      <c r="P21" s="3234"/>
      <c r="Q21" s="1809"/>
      <c r="R21" s="774"/>
      <c r="S21" s="775"/>
      <c r="T21" s="774"/>
      <c r="U21" s="775"/>
      <c r="V21" s="774"/>
      <c r="W21" s="775"/>
      <c r="X21" s="1812"/>
      <c r="Y21" s="3234"/>
      <c r="Z21" s="1813"/>
      <c r="AA21" s="1810">
        <v>1</v>
      </c>
      <c r="AB21" s="1810">
        <v>1</v>
      </c>
      <c r="AC21" s="1810">
        <v>1</v>
      </c>
    </row>
    <row r="22" spans="1:29" ht="82.8">
      <c r="A22" s="428"/>
      <c r="B22" s="451" t="s">
        <v>2707</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34"/>
      <c r="Q22" s="1809" t="str">
        <f>B22</f>
        <v>交通便捷度</v>
      </c>
      <c r="R22" s="774" t="s">
        <v>17</v>
      </c>
      <c r="S22" s="775">
        <f>F22</f>
        <v>100</v>
      </c>
      <c r="T22" s="774" t="s">
        <v>17</v>
      </c>
      <c r="U22" s="775">
        <f>H22</f>
        <v>102</v>
      </c>
      <c r="V22" s="774" t="s">
        <v>17</v>
      </c>
      <c r="W22" s="775">
        <f>J22</f>
        <v>100</v>
      </c>
      <c r="X22" s="1812"/>
      <c r="Y22" s="3234"/>
      <c r="Z22" s="1813" t="str">
        <f>Q22</f>
        <v>交通便捷度</v>
      </c>
      <c r="AA22" s="1810">
        <f t="shared" si="3"/>
        <v>1</v>
      </c>
      <c r="AB22" s="1810">
        <f t="shared" si="4"/>
        <v>0.98039215686274506</v>
      </c>
      <c r="AC22" s="1810">
        <f t="shared" si="5"/>
        <v>1</v>
      </c>
    </row>
    <row r="23" spans="1:29" ht="15">
      <c r="A23" s="428"/>
      <c r="B23" s="1384"/>
      <c r="C23" s="447" t="s">
        <v>3575</v>
      </c>
      <c r="D23" s="450"/>
      <c r="E23" s="447" t="s">
        <v>3575</v>
      </c>
      <c r="F23" s="448"/>
      <c r="G23" s="2605" t="s">
        <v>3574</v>
      </c>
      <c r="H23" s="448"/>
      <c r="I23" s="447" t="s">
        <v>3575</v>
      </c>
      <c r="J23" s="448"/>
      <c r="K23" s="672"/>
      <c r="L23" s="1140"/>
      <c r="M23" s="1131"/>
      <c r="N23" s="1131"/>
      <c r="O23" s="1139"/>
      <c r="P23" s="3234"/>
      <c r="Q23" s="1809"/>
      <c r="R23" s="774"/>
      <c r="S23" s="775"/>
      <c r="T23" s="774"/>
      <c r="U23" s="775"/>
      <c r="V23" s="774"/>
      <c r="W23" s="775"/>
      <c r="X23" s="1812"/>
      <c r="Y23" s="3234"/>
      <c r="Z23" s="1813"/>
      <c r="AA23" s="1810">
        <v>1</v>
      </c>
      <c r="AB23" s="1810">
        <v>1</v>
      </c>
      <c r="AC23" s="1810">
        <v>1</v>
      </c>
    </row>
    <row r="24" spans="1:29" ht="28.8">
      <c r="A24" s="404"/>
      <c r="B24" s="451" t="s">
        <v>2746</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34"/>
      <c r="Q24" s="1809" t="str">
        <f t="shared" ref="Q24:Q38" si="8">B24</f>
        <v>区域土地利用方向</v>
      </c>
      <c r="R24" s="774" t="s">
        <v>17</v>
      </c>
      <c r="S24" s="775">
        <f>F24</f>
        <v>100</v>
      </c>
      <c r="T24" s="774" t="s">
        <v>17</v>
      </c>
      <c r="U24" s="775">
        <f>H24</f>
        <v>100</v>
      </c>
      <c r="V24" s="774" t="s">
        <v>17</v>
      </c>
      <c r="W24" s="775">
        <f>J24</f>
        <v>100</v>
      </c>
      <c r="X24" s="1812"/>
      <c r="Y24" s="3234"/>
      <c r="Z24" s="1813" t="str">
        <f>Q24</f>
        <v>区域土地利用方向</v>
      </c>
      <c r="AA24" s="1810">
        <f t="shared" si="3"/>
        <v>1</v>
      </c>
      <c r="AB24" s="1810">
        <f t="shared" si="4"/>
        <v>1</v>
      </c>
      <c r="AC24" s="1810">
        <f t="shared" si="5"/>
        <v>1</v>
      </c>
    </row>
    <row r="25" spans="1:29" ht="15">
      <c r="A25" s="404"/>
      <c r="B25" s="456"/>
      <c r="C25" s="616" t="s">
        <v>3574</v>
      </c>
      <c r="D25" s="448"/>
      <c r="E25" s="616" t="s">
        <v>3574</v>
      </c>
      <c r="F25" s="448"/>
      <c r="G25" s="616" t="s">
        <v>3574</v>
      </c>
      <c r="H25" s="448"/>
      <c r="I25" s="616" t="s">
        <v>3574</v>
      </c>
      <c r="J25" s="448"/>
      <c r="K25" s="812"/>
      <c r="L25" s="1140"/>
      <c r="M25" s="1131"/>
      <c r="N25" s="1131"/>
      <c r="O25" s="1139"/>
      <c r="P25" s="3234"/>
      <c r="Q25" s="1809"/>
      <c r="R25" s="774"/>
      <c r="S25" s="775"/>
      <c r="T25" s="774"/>
      <c r="U25" s="775"/>
      <c r="V25" s="774"/>
      <c r="W25" s="775"/>
      <c r="X25" s="1812"/>
      <c r="Y25" s="3234"/>
      <c r="Z25" s="1813"/>
      <c r="AA25" s="1810"/>
      <c r="AB25" s="1810"/>
      <c r="AC25" s="1810"/>
    </row>
    <row r="26" spans="1:29" ht="55.2">
      <c r="A26" s="404"/>
      <c r="B26" s="1384" t="s">
        <v>2747</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34"/>
      <c r="Q26" s="1809" t="str">
        <f t="shared" si="8"/>
        <v>自然及人文环境状况</v>
      </c>
      <c r="R26" s="774" t="s">
        <v>17</v>
      </c>
      <c r="S26" s="775">
        <f>F26</f>
        <v>100</v>
      </c>
      <c r="T26" s="774" t="s">
        <v>17</v>
      </c>
      <c r="U26" s="775">
        <f>H26</f>
        <v>102</v>
      </c>
      <c r="V26" s="774" t="s">
        <v>17</v>
      </c>
      <c r="W26" s="775">
        <f>J26</f>
        <v>100</v>
      </c>
      <c r="X26" s="1812"/>
      <c r="Y26" s="3234"/>
      <c r="Z26" s="1813" t="str">
        <f>Q26</f>
        <v>自然及人文环境状况</v>
      </c>
      <c r="AA26" s="1810">
        <f t="shared" si="3"/>
        <v>1</v>
      </c>
      <c r="AB26" s="1810">
        <f t="shared" si="4"/>
        <v>0.98039215686274506</v>
      </c>
      <c r="AC26" s="1810">
        <f t="shared" si="5"/>
        <v>1</v>
      </c>
    </row>
    <row r="27" spans="1:29" ht="15">
      <c r="A27" s="404"/>
      <c r="B27" s="456"/>
      <c r="C27" s="447" t="s">
        <v>3575</v>
      </c>
      <c r="D27" s="448"/>
      <c r="E27" s="447" t="s">
        <v>3575</v>
      </c>
      <c r="F27" s="448"/>
      <c r="G27" s="447" t="s">
        <v>3574</v>
      </c>
      <c r="H27" s="448"/>
      <c r="I27" s="447" t="s">
        <v>3575</v>
      </c>
      <c r="J27" s="448"/>
      <c r="K27" s="672"/>
      <c r="L27" s="1140"/>
      <c r="M27" s="1131"/>
      <c r="N27" s="1131"/>
      <c r="O27" s="1139"/>
      <c r="P27" s="3234"/>
      <c r="Q27" s="1809"/>
      <c r="R27" s="774"/>
      <c r="S27" s="775"/>
      <c r="T27" s="774"/>
      <c r="U27" s="775"/>
      <c r="V27" s="774"/>
      <c r="W27" s="775"/>
      <c r="X27" s="1812"/>
      <c r="Y27" s="3234"/>
      <c r="Z27" s="1813"/>
      <c r="AA27" s="1810">
        <v>1</v>
      </c>
      <c r="AB27" s="1810">
        <v>1</v>
      </c>
      <c r="AC27" s="1810">
        <v>1</v>
      </c>
    </row>
    <row r="28" spans="1:29" s="117" customFormat="1" ht="41.4">
      <c r="A28" s="649"/>
      <c r="B28" s="1384" t="s">
        <v>2652</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100</v>
      </c>
      <c r="K28" s="673">
        <v>2</v>
      </c>
      <c r="L28" s="1132"/>
      <c r="M28" s="1133"/>
      <c r="N28" s="1133"/>
      <c r="O28" s="1134"/>
      <c r="P28" s="3234"/>
      <c r="Q28" s="1794" t="str">
        <f t="shared" si="8"/>
        <v>公共配套设施</v>
      </c>
      <c r="R28" s="770" t="s">
        <v>17</v>
      </c>
      <c r="S28" s="771">
        <f>F28</f>
        <v>100</v>
      </c>
      <c r="T28" s="770" t="s">
        <v>17</v>
      </c>
      <c r="U28" s="771">
        <f>H28</f>
        <v>102</v>
      </c>
      <c r="V28" s="770" t="s">
        <v>17</v>
      </c>
      <c r="W28" s="771">
        <f>J28</f>
        <v>100</v>
      </c>
      <c r="X28" s="772"/>
      <c r="Y28" s="3234"/>
      <c r="Z28" s="55" t="str">
        <f>Q28</f>
        <v>公共配套设施</v>
      </c>
      <c r="AA28" s="1810">
        <f>D28/F28</f>
        <v>1</v>
      </c>
      <c r="AB28" s="1810">
        <f>D28/H28</f>
        <v>0.98039215686274506</v>
      </c>
      <c r="AC28" s="1810">
        <f>D28/J28</f>
        <v>1</v>
      </c>
    </row>
    <row r="29" spans="1:29" s="117" customFormat="1" ht="15">
      <c r="A29" s="649"/>
      <c r="B29" s="456"/>
      <c r="C29" s="2698" t="s">
        <v>3575</v>
      </c>
      <c r="D29" s="448"/>
      <c r="E29" s="2698" t="s">
        <v>3575</v>
      </c>
      <c r="F29" s="448"/>
      <c r="G29" s="2611" t="s">
        <v>3574</v>
      </c>
      <c r="H29" s="448"/>
      <c r="I29" s="2698" t="s">
        <v>3575</v>
      </c>
      <c r="J29" s="448"/>
      <c r="K29" s="672"/>
      <c r="L29" s="1132"/>
      <c r="M29" s="1133"/>
      <c r="N29" s="1133"/>
      <c r="O29" s="1134"/>
      <c r="P29" s="3234"/>
      <c r="Q29" s="1794"/>
      <c r="R29" s="770"/>
      <c r="S29" s="771"/>
      <c r="T29" s="770"/>
      <c r="U29" s="771"/>
      <c r="V29" s="770"/>
      <c r="W29" s="771"/>
      <c r="X29" s="772"/>
      <c r="Y29" s="3234"/>
      <c r="Z29" s="55"/>
      <c r="AA29" s="1810">
        <v>1</v>
      </c>
      <c r="AB29" s="1810">
        <v>1</v>
      </c>
      <c r="AC29" s="1810">
        <v>1</v>
      </c>
    </row>
    <row r="30" spans="1:29" s="117" customFormat="1" ht="27.6">
      <c r="A30" s="649"/>
      <c r="B30" s="1384" t="s">
        <v>2653</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34"/>
      <c r="Q30" s="1794" t="str">
        <f t="shared" ref="Q30" si="9">B30</f>
        <v>基础设施水平</v>
      </c>
      <c r="R30" s="770" t="s">
        <v>17</v>
      </c>
      <c r="S30" s="771">
        <f>F30</f>
        <v>100</v>
      </c>
      <c r="T30" s="770" t="s">
        <v>17</v>
      </c>
      <c r="U30" s="771">
        <f>H30</f>
        <v>100</v>
      </c>
      <c r="V30" s="770" t="s">
        <v>17</v>
      </c>
      <c r="W30" s="771">
        <f>J30</f>
        <v>100</v>
      </c>
      <c r="X30" s="772"/>
      <c r="Y30" s="3234"/>
      <c r="Z30" s="55" t="str">
        <f>Q30</f>
        <v>基础设施水平</v>
      </c>
      <c r="AA30" s="1810">
        <f>D30/F30</f>
        <v>1</v>
      </c>
      <c r="AB30" s="1810">
        <f>D30/H30</f>
        <v>1</v>
      </c>
      <c r="AC30" s="1810">
        <f>D30/J30</f>
        <v>1</v>
      </c>
    </row>
    <row r="31" spans="1:29" s="117" customFormat="1" ht="15">
      <c r="A31" s="649"/>
      <c r="B31" s="456"/>
      <c r="C31" s="2698" t="s">
        <v>3593</v>
      </c>
      <c r="D31" s="448"/>
      <c r="E31" s="2698" t="s">
        <v>3593</v>
      </c>
      <c r="F31" s="448"/>
      <c r="G31" s="2698" t="s">
        <v>3593</v>
      </c>
      <c r="H31" s="448"/>
      <c r="I31" s="2698" t="s">
        <v>3593</v>
      </c>
      <c r="J31" s="448"/>
      <c r="K31" s="672"/>
      <c r="L31" s="1132"/>
      <c r="M31" s="1133"/>
      <c r="N31" s="1133"/>
      <c r="O31" s="1134"/>
      <c r="P31" s="3234"/>
      <c r="Q31" s="1794"/>
      <c r="R31" s="770"/>
      <c r="S31" s="771"/>
      <c r="T31" s="770"/>
      <c r="U31" s="771"/>
      <c r="V31" s="770"/>
      <c r="W31" s="771"/>
      <c r="X31" s="772"/>
      <c r="Y31" s="3234"/>
      <c r="Z31" s="55"/>
      <c r="AA31" s="1810">
        <v>1</v>
      </c>
      <c r="AB31" s="1810">
        <v>1</v>
      </c>
      <c r="AC31" s="1810">
        <v>1</v>
      </c>
    </row>
    <row r="32" spans="1:29" ht="15">
      <c r="A32" s="428"/>
      <c r="B32" s="456" t="s">
        <v>2654</v>
      </c>
      <c r="C32" s="616" t="s">
        <v>3635</v>
      </c>
      <c r="D32" s="435">
        <v>100</v>
      </c>
      <c r="E32" s="634" t="s">
        <v>3635</v>
      </c>
      <c r="F32" s="435">
        <f>SUMIF(105:105,E32,106:106)-SUMIF(105:105,C32,106:106)+100</f>
        <v>100</v>
      </c>
      <c r="G32" s="634" t="s">
        <v>3635</v>
      </c>
      <c r="H32" s="435">
        <f>SUMIF(105:105,G32,106:106)-SUMIF(105:105,C32,106:106)+100</f>
        <v>100</v>
      </c>
      <c r="I32" s="634" t="s">
        <v>3648</v>
      </c>
      <c r="J32" s="435">
        <f>SUMIF(105:105,I32,106:106)-SUMIF(105:105,C32,106:106)+100</f>
        <v>98</v>
      </c>
      <c r="K32" s="673">
        <v>2</v>
      </c>
      <c r="L32" s="1140"/>
      <c r="M32" s="1131"/>
      <c r="N32" s="1131"/>
      <c r="O32" s="1139"/>
      <c r="P32" s="3234"/>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34"/>
      <c r="Z32" s="1813" t="str">
        <f t="shared" ref="Z32:Z46" si="13">Q32</f>
        <v>临街状况</v>
      </c>
      <c r="AA32" s="1810">
        <f t="shared" si="3"/>
        <v>1</v>
      </c>
      <c r="AB32" s="1810">
        <f t="shared" si="4"/>
        <v>1</v>
      </c>
      <c r="AC32" s="1810">
        <f t="shared" si="5"/>
        <v>1.0204081632653061</v>
      </c>
    </row>
    <row r="33" spans="1:29" ht="28.8">
      <c r="A33" s="428"/>
      <c r="B33" s="1384" t="s">
        <v>2689</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34"/>
      <c r="Q33" s="1809" t="str">
        <f t="shared" si="8"/>
        <v>毗邻道路的类型与等级</v>
      </c>
      <c r="R33" s="774" t="s">
        <v>17</v>
      </c>
      <c r="S33" s="775">
        <f t="shared" si="10"/>
        <v>100</v>
      </c>
      <c r="T33" s="774" t="s">
        <v>17</v>
      </c>
      <c r="U33" s="775">
        <f t="shared" si="11"/>
        <v>100</v>
      </c>
      <c r="V33" s="774" t="s">
        <v>17</v>
      </c>
      <c r="W33" s="775">
        <f t="shared" si="12"/>
        <v>100</v>
      </c>
      <c r="X33" s="1812"/>
      <c r="Y33" s="3234"/>
      <c r="Z33" s="1813" t="str">
        <f t="shared" si="13"/>
        <v>毗邻道路的类型与等级</v>
      </c>
      <c r="AA33" s="1810">
        <f t="shared" si="3"/>
        <v>1</v>
      </c>
      <c r="AB33" s="1810">
        <f t="shared" si="4"/>
        <v>1</v>
      </c>
      <c r="AC33" s="1810">
        <f t="shared" si="5"/>
        <v>1</v>
      </c>
    </row>
    <row r="34" spans="1:29" ht="15.6" thickBot="1">
      <c r="A34" s="428"/>
      <c r="B34" s="456"/>
      <c r="C34" s="447" t="s">
        <v>3641</v>
      </c>
      <c r="D34" s="448"/>
      <c r="E34" s="447" t="s">
        <v>3641</v>
      </c>
      <c r="F34" s="448"/>
      <c r="G34" s="447" t="s">
        <v>3641</v>
      </c>
      <c r="H34" s="448"/>
      <c r="I34" s="447" t="s">
        <v>3641</v>
      </c>
      <c r="J34" s="448"/>
      <c r="K34" s="613"/>
      <c r="L34" s="1140"/>
      <c r="M34" s="1131"/>
      <c r="N34" s="1131"/>
      <c r="O34" s="1139"/>
      <c r="P34" s="3234"/>
      <c r="Q34" s="1809"/>
      <c r="R34" s="774"/>
      <c r="S34" s="775"/>
      <c r="T34" s="774"/>
      <c r="U34" s="775"/>
      <c r="V34" s="774"/>
      <c r="W34" s="775"/>
      <c r="X34" s="1812"/>
      <c r="Y34" s="3234"/>
      <c r="Z34" s="1813"/>
      <c r="AA34" s="1810">
        <v>1</v>
      </c>
      <c r="AB34" s="1810">
        <v>1</v>
      </c>
      <c r="AC34" s="1810">
        <v>1</v>
      </c>
    </row>
    <row r="35" spans="1:29" ht="15" hidden="1">
      <c r="A35" s="428"/>
      <c r="B35" s="422" t="s">
        <v>2748</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34"/>
      <c r="Q35" s="1809" t="str">
        <f t="shared" si="8"/>
        <v>土地级别</v>
      </c>
      <c r="R35" s="774" t="s">
        <v>17</v>
      </c>
      <c r="S35" s="775">
        <f t="shared" si="10"/>
        <v>100</v>
      </c>
      <c r="T35" s="774" t="s">
        <v>17</v>
      </c>
      <c r="U35" s="775">
        <f t="shared" si="11"/>
        <v>100</v>
      </c>
      <c r="V35" s="774" t="s">
        <v>17</v>
      </c>
      <c r="W35" s="775">
        <f t="shared" si="12"/>
        <v>100</v>
      </c>
      <c r="X35" s="1812"/>
      <c r="Y35" s="3234"/>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34"/>
      <c r="Q36" s="1809">
        <f t="shared" si="8"/>
        <v>111</v>
      </c>
      <c r="R36" s="774" t="s">
        <v>17</v>
      </c>
      <c r="S36" s="775">
        <f t="shared" si="10"/>
        <v>100</v>
      </c>
      <c r="T36" s="774" t="s">
        <v>17</v>
      </c>
      <c r="U36" s="775">
        <f t="shared" si="11"/>
        <v>100</v>
      </c>
      <c r="V36" s="774" t="s">
        <v>17</v>
      </c>
      <c r="W36" s="775">
        <f t="shared" si="12"/>
        <v>100</v>
      </c>
      <c r="X36" s="1812"/>
      <c r="Y36" s="3234"/>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59" t="s">
        <v>2563</v>
      </c>
      <c r="Q37" s="1809">
        <f t="shared" si="8"/>
        <v>111</v>
      </c>
      <c r="R37" s="774" t="s">
        <v>17</v>
      </c>
      <c r="S37" s="775">
        <f t="shared" si="10"/>
        <v>100</v>
      </c>
      <c r="T37" s="774" t="s">
        <v>17</v>
      </c>
      <c r="U37" s="775">
        <f t="shared" si="11"/>
        <v>100</v>
      </c>
      <c r="V37" s="774" t="s">
        <v>17</v>
      </c>
      <c r="W37" s="775">
        <f t="shared" si="12"/>
        <v>100</v>
      </c>
      <c r="X37" s="1812"/>
      <c r="Y37" s="3238" t="s">
        <v>2563</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38"/>
      <c r="Q38" s="1809">
        <f t="shared" si="8"/>
        <v>111</v>
      </c>
      <c r="R38" s="777" t="s">
        <v>17</v>
      </c>
      <c r="S38" s="778">
        <f t="shared" si="10"/>
        <v>100</v>
      </c>
      <c r="T38" s="777" t="s">
        <v>17</v>
      </c>
      <c r="U38" s="778">
        <f t="shared" si="11"/>
        <v>100</v>
      </c>
      <c r="V38" s="777" t="s">
        <v>17</v>
      </c>
      <c r="W38" s="778">
        <f t="shared" si="12"/>
        <v>100</v>
      </c>
      <c r="X38" s="779"/>
      <c r="Y38" s="3238"/>
      <c r="Z38" s="780">
        <f t="shared" si="13"/>
        <v>111</v>
      </c>
      <c r="AA38" s="1810">
        <f t="shared" si="3"/>
        <v>1</v>
      </c>
      <c r="AB38" s="1810">
        <f t="shared" si="4"/>
        <v>1</v>
      </c>
      <c r="AC38" s="1810">
        <f t="shared" si="5"/>
        <v>1</v>
      </c>
    </row>
    <row r="39" spans="1:29" ht="15.6">
      <c r="A39" s="472" t="s">
        <v>2561</v>
      </c>
      <c r="B39" s="456" t="s">
        <v>2749</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38"/>
      <c r="Q39" s="1809" t="str">
        <f>B39</f>
        <v>宗地面积</v>
      </c>
      <c r="R39" s="774" t="s">
        <v>17</v>
      </c>
      <c r="S39" s="775">
        <f t="shared" si="10"/>
        <v>103</v>
      </c>
      <c r="T39" s="774" t="s">
        <v>17</v>
      </c>
      <c r="U39" s="775">
        <f t="shared" si="11"/>
        <v>101</v>
      </c>
      <c r="V39" s="774" t="s">
        <v>17</v>
      </c>
      <c r="W39" s="775">
        <f t="shared" si="12"/>
        <v>104</v>
      </c>
      <c r="X39" s="1812"/>
      <c r="Y39" s="3238"/>
      <c r="Z39" s="1813" t="str">
        <f t="shared" si="13"/>
        <v>宗地面积</v>
      </c>
      <c r="AA39" s="1810">
        <f t="shared" si="3"/>
        <v>0.970873786407767</v>
      </c>
      <c r="AB39" s="1810">
        <f t="shared" si="4"/>
        <v>0.99009900990099009</v>
      </c>
      <c r="AC39" s="1810">
        <f t="shared" si="5"/>
        <v>0.96153846153846156</v>
      </c>
    </row>
    <row r="40" spans="1:29" ht="15">
      <c r="A40" s="472"/>
      <c r="B40" s="422" t="s">
        <v>2750</v>
      </c>
      <c r="C40" s="2613" t="s">
        <v>3606</v>
      </c>
      <c r="D40" s="435">
        <v>100</v>
      </c>
      <c r="E40" s="2613" t="s">
        <v>3606</v>
      </c>
      <c r="F40" s="435">
        <f>SUMIF(120:120,E40,121:121)-SUMIF(120:120,C40,121:121)+100</f>
        <v>100</v>
      </c>
      <c r="G40" s="2613" t="s">
        <v>3606</v>
      </c>
      <c r="H40" s="435">
        <f>SUMIF(120:120,G40,121:121)-SUMIF(120:120,C40,121:121)+100</f>
        <v>100</v>
      </c>
      <c r="I40" s="2613" t="s">
        <v>3608</v>
      </c>
      <c r="J40" s="435">
        <f>SUMIF(120:120,I40,121:121)-SUMIF(120:120,C40,121:121)+100</f>
        <v>99</v>
      </c>
      <c r="K40" s="612">
        <v>1</v>
      </c>
      <c r="L40" s="1140"/>
      <c r="M40" s="1131"/>
      <c r="N40" s="1131"/>
      <c r="O40" s="1139"/>
      <c r="P40" s="3238"/>
      <c r="Q40" s="1809" t="str">
        <f t="shared" ref="Q40:Q46" si="14">B40</f>
        <v>宗地形状</v>
      </c>
      <c r="R40" s="774" t="s">
        <v>17</v>
      </c>
      <c r="S40" s="775">
        <f t="shared" si="10"/>
        <v>100</v>
      </c>
      <c r="T40" s="774" t="s">
        <v>17</v>
      </c>
      <c r="U40" s="775">
        <f t="shared" si="11"/>
        <v>100</v>
      </c>
      <c r="V40" s="774" t="s">
        <v>17</v>
      </c>
      <c r="W40" s="775">
        <f t="shared" si="12"/>
        <v>99</v>
      </c>
      <c r="X40" s="1812"/>
      <c r="Y40" s="3238"/>
      <c r="Z40" s="1813" t="str">
        <f t="shared" si="13"/>
        <v>宗地形状</v>
      </c>
      <c r="AA40" s="1810">
        <f t="shared" si="3"/>
        <v>1</v>
      </c>
      <c r="AB40" s="1810">
        <f t="shared" si="4"/>
        <v>1</v>
      </c>
      <c r="AC40" s="1810">
        <f t="shared" si="5"/>
        <v>1.0101010101010102</v>
      </c>
    </row>
    <row r="41" spans="1:29" ht="15">
      <c r="A41" s="472"/>
      <c r="B41" s="422" t="s">
        <v>2751</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38"/>
      <c r="Q41" s="1809" t="str">
        <f t="shared" si="14"/>
        <v>临街宽度及深度</v>
      </c>
      <c r="R41" s="774" t="s">
        <v>17</v>
      </c>
      <c r="S41" s="775">
        <f t="shared" si="10"/>
        <v>100</v>
      </c>
      <c r="T41" s="774" t="s">
        <v>17</v>
      </c>
      <c r="U41" s="775">
        <f t="shared" si="11"/>
        <v>100</v>
      </c>
      <c r="V41" s="774" t="s">
        <v>17</v>
      </c>
      <c r="W41" s="775">
        <f t="shared" si="12"/>
        <v>100</v>
      </c>
      <c r="X41" s="1812"/>
      <c r="Y41" s="3238"/>
      <c r="Z41" s="1813" t="str">
        <f t="shared" si="13"/>
        <v>临街宽度及深度</v>
      </c>
      <c r="AA41" s="1810">
        <f t="shared" si="3"/>
        <v>1</v>
      </c>
      <c r="AB41" s="1810">
        <f t="shared" si="4"/>
        <v>1</v>
      </c>
      <c r="AC41" s="1810">
        <f t="shared" si="5"/>
        <v>1</v>
      </c>
    </row>
    <row r="42" spans="1:29" s="117" customFormat="1" ht="15">
      <c r="A42" s="473"/>
      <c r="B42" s="422" t="s">
        <v>2752</v>
      </c>
      <c r="C42" s="2700" t="s">
        <v>3596</v>
      </c>
      <c r="D42" s="136">
        <v>100</v>
      </c>
      <c r="E42" s="2700" t="s">
        <v>3618</v>
      </c>
      <c r="F42" s="435">
        <f>SUMIF(124:124,E42,125:125)-SUMIF(124:124,C42,125:125)+100</f>
        <v>99</v>
      </c>
      <c r="G42" s="2700" t="s">
        <v>3618</v>
      </c>
      <c r="H42" s="435">
        <f>SUMIF(124:124,G42,125:125)-SUMIF(124:124,C42,125:125)+100</f>
        <v>99</v>
      </c>
      <c r="I42" s="2700" t="s">
        <v>3618</v>
      </c>
      <c r="J42" s="435">
        <f>SUMIF(124:124,I42,125:125)-SUMIF(124:124,C42,125:125)+100</f>
        <v>99</v>
      </c>
      <c r="K42" s="612">
        <v>1</v>
      </c>
      <c r="L42" s="1132"/>
      <c r="M42" s="1133"/>
      <c r="N42" s="1133"/>
      <c r="O42" s="1134"/>
      <c r="P42" s="3238"/>
      <c r="Q42" s="1809" t="str">
        <f t="shared" si="14"/>
        <v>宗地开发程度</v>
      </c>
      <c r="R42" s="770" t="s">
        <v>17</v>
      </c>
      <c r="S42" s="771">
        <f t="shared" si="10"/>
        <v>99</v>
      </c>
      <c r="T42" s="770" t="s">
        <v>17</v>
      </c>
      <c r="U42" s="771">
        <f t="shared" si="11"/>
        <v>99</v>
      </c>
      <c r="V42" s="770" t="s">
        <v>17</v>
      </c>
      <c r="W42" s="771">
        <f t="shared" si="12"/>
        <v>99</v>
      </c>
      <c r="X42" s="772"/>
      <c r="Y42" s="3238"/>
      <c r="Z42" s="55" t="str">
        <f t="shared" si="13"/>
        <v>宗地开发程度</v>
      </c>
      <c r="AA42" s="773">
        <f t="shared" si="3"/>
        <v>1.0101010101010102</v>
      </c>
      <c r="AB42" s="773">
        <f t="shared" si="4"/>
        <v>1.0101010101010102</v>
      </c>
      <c r="AC42" s="773">
        <f t="shared" si="5"/>
        <v>1.0101010101010102</v>
      </c>
    </row>
    <row r="43" spans="1:29" ht="15">
      <c r="A43" s="472"/>
      <c r="B43" s="422" t="s">
        <v>2753</v>
      </c>
      <c r="C43" s="2613" t="s">
        <v>3574</v>
      </c>
      <c r="D43" s="435">
        <v>100</v>
      </c>
      <c r="E43" s="2613" t="s">
        <v>3574</v>
      </c>
      <c r="F43" s="435">
        <f>SUMIF(126:126,E43,127:127)-SUMIF(126:126,C43,127:127)+100</f>
        <v>100</v>
      </c>
      <c r="G43" s="2613" t="s">
        <v>3574</v>
      </c>
      <c r="H43" s="435">
        <f>SUMIF(126:126,G43,127:127)-SUMIF(126:126,C43,127:127)+100</f>
        <v>100</v>
      </c>
      <c r="I43" s="2613" t="s">
        <v>3574</v>
      </c>
      <c r="J43" s="435">
        <f>SUMIF(126:126,I43,127:127)-SUMIF(126:126,C43,127:127)+100</f>
        <v>100</v>
      </c>
      <c r="K43" s="612">
        <v>1</v>
      </c>
      <c r="L43" s="1140"/>
      <c r="M43" s="1131"/>
      <c r="N43" s="1131"/>
      <c r="O43" s="1139"/>
      <c r="P43" s="3238" t="s">
        <v>2563</v>
      </c>
      <c r="Q43" s="1809" t="str">
        <f t="shared" si="14"/>
        <v>工程地质条件</v>
      </c>
      <c r="R43" s="774" t="s">
        <v>17</v>
      </c>
      <c r="S43" s="775">
        <f t="shared" si="10"/>
        <v>100</v>
      </c>
      <c r="T43" s="774" t="s">
        <v>17</v>
      </c>
      <c r="U43" s="775">
        <f t="shared" si="11"/>
        <v>100</v>
      </c>
      <c r="V43" s="774" t="s">
        <v>17</v>
      </c>
      <c r="W43" s="775">
        <f t="shared" si="12"/>
        <v>100</v>
      </c>
      <c r="X43" s="1812"/>
      <c r="Y43" s="3238" t="s">
        <v>2563</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38"/>
      <c r="Q44" s="1809">
        <f t="shared" si="14"/>
        <v>111</v>
      </c>
      <c r="R44" s="774" t="s">
        <v>17</v>
      </c>
      <c r="S44" s="775">
        <f t="shared" si="10"/>
        <v>100</v>
      </c>
      <c r="T44" s="774" t="s">
        <v>17</v>
      </c>
      <c r="U44" s="775">
        <f t="shared" si="11"/>
        <v>100</v>
      </c>
      <c r="V44" s="774" t="s">
        <v>17</v>
      </c>
      <c r="W44" s="775">
        <f t="shared" si="12"/>
        <v>100</v>
      </c>
      <c r="X44" s="1812"/>
      <c r="Y44" s="3238"/>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38"/>
      <c r="Q45" s="1809">
        <f t="shared" si="14"/>
        <v>111</v>
      </c>
      <c r="R45" s="774" t="s">
        <v>17</v>
      </c>
      <c r="S45" s="775">
        <f t="shared" si="10"/>
        <v>100</v>
      </c>
      <c r="T45" s="774" t="s">
        <v>17</v>
      </c>
      <c r="U45" s="775">
        <f t="shared" si="11"/>
        <v>100</v>
      </c>
      <c r="V45" s="774" t="s">
        <v>17</v>
      </c>
      <c r="W45" s="775">
        <f t="shared" si="12"/>
        <v>100</v>
      </c>
      <c r="X45" s="1812"/>
      <c r="Y45" s="3238"/>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38"/>
      <c r="Q46" s="1809">
        <f t="shared" si="14"/>
        <v>111</v>
      </c>
      <c r="R46" s="777" t="s">
        <v>17</v>
      </c>
      <c r="S46" s="778">
        <f t="shared" si="10"/>
        <v>100</v>
      </c>
      <c r="T46" s="777" t="s">
        <v>17</v>
      </c>
      <c r="U46" s="778">
        <f t="shared" si="11"/>
        <v>100</v>
      </c>
      <c r="V46" s="777" t="s">
        <v>17</v>
      </c>
      <c r="W46" s="778">
        <f t="shared" si="12"/>
        <v>100</v>
      </c>
      <c r="X46" s="779"/>
      <c r="Y46" s="3238"/>
      <c r="Z46" s="780">
        <f t="shared" si="13"/>
        <v>111</v>
      </c>
      <c r="AA46" s="1810">
        <f t="shared" si="3"/>
        <v>1</v>
      </c>
      <c r="AB46" s="1810">
        <f t="shared" si="4"/>
        <v>1</v>
      </c>
      <c r="AC46" s="1810">
        <f t="shared" si="5"/>
        <v>1</v>
      </c>
    </row>
    <row r="47" spans="1:29" ht="14.4">
      <c r="A47" s="479" t="s">
        <v>2718</v>
      </c>
      <c r="B47" s="2702" t="s">
        <v>2754</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31" t="str">
        <f>A47</f>
        <v>成交单价</v>
      </c>
      <c r="Q47" s="3231"/>
      <c r="R47" s="3226">
        <f>E47</f>
        <v>21109</v>
      </c>
      <c r="S47" s="3226"/>
      <c r="T47" s="3226">
        <f>G47</f>
        <v>19356</v>
      </c>
      <c r="U47" s="3226"/>
      <c r="V47" s="3226">
        <f>I47</f>
        <v>19523</v>
      </c>
      <c r="W47" s="3226"/>
      <c r="X47" s="759"/>
      <c r="Y47" s="781"/>
      <c r="Z47" s="759"/>
      <c r="AA47" s="759"/>
      <c r="AB47" s="759"/>
      <c r="AC47" s="759"/>
    </row>
    <row r="48" spans="1:29" ht="15" thickBot="1">
      <c r="A48" s="486" t="s">
        <v>2667</v>
      </c>
      <c r="B48" s="683"/>
      <c r="C48" s="490">
        <f>R49</f>
        <v>17438</v>
      </c>
      <c r="D48" s="489"/>
      <c r="E48" s="490">
        <f>R48</f>
        <v>16669</v>
      </c>
      <c r="F48" s="491"/>
      <c r="G48" s="488">
        <f>T48</f>
        <v>17582</v>
      </c>
      <c r="H48" s="489"/>
      <c r="I48" s="490">
        <f>V48</f>
        <v>18062</v>
      </c>
      <c r="J48" s="489"/>
      <c r="K48" s="784"/>
      <c r="L48" s="1143"/>
      <c r="M48" s="1144"/>
      <c r="N48" s="1144"/>
      <c r="O48" s="1144"/>
      <c r="P48" s="3231" t="str">
        <f>A48</f>
        <v>比较价值（元/平方米）</v>
      </c>
      <c r="Q48" s="3231"/>
      <c r="R48" s="3260">
        <f>ROUND(PRODUCT(R47,AA7:AA46),0)</f>
        <v>16669</v>
      </c>
      <c r="S48" s="3260"/>
      <c r="T48" s="3260">
        <f>ROUND(PRODUCT(T47,AB7:AB46),0)</f>
        <v>17582</v>
      </c>
      <c r="U48" s="3260"/>
      <c r="V48" s="3260">
        <f>ROUND(PRODUCT(V47,AC7:AC46),0)</f>
        <v>18062</v>
      </c>
      <c r="W48" s="3260"/>
      <c r="X48" s="759"/>
      <c r="Y48" s="759"/>
      <c r="Z48" s="759"/>
      <c r="AA48" s="759"/>
      <c r="AB48" s="759"/>
      <c r="AC48" s="759"/>
    </row>
    <row r="49" spans="1:29" ht="15" thickBot="1">
      <c r="A49" s="492" t="s">
        <v>2755</v>
      </c>
      <c r="B49" s="493"/>
      <c r="C49" s="494">
        <f>R49</f>
        <v>17438</v>
      </c>
      <c r="D49" s="494"/>
      <c r="E49" s="494"/>
      <c r="F49" s="494"/>
      <c r="G49" s="494"/>
      <c r="H49" s="494"/>
      <c r="I49" s="494"/>
      <c r="J49" s="494"/>
      <c r="K49" s="785"/>
      <c r="L49" s="1143"/>
      <c r="M49" s="1144"/>
      <c r="N49" s="1144"/>
      <c r="O49" s="1144"/>
      <c r="P49" s="3228" t="str">
        <f>A49</f>
        <v>估价对象XX用房的比较价值（楼面单价，元/平方米）</v>
      </c>
      <c r="Q49" s="3229"/>
      <c r="R49" s="3261">
        <f>ROUND(AVERAGE(R48:V48),0)</f>
        <v>17438</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2669</v>
      </c>
      <c r="D52" s="498"/>
      <c r="E52" s="499">
        <f>IF(E47&lt;E48,E48/E47-1,E47/E48-1)</f>
        <v>0.26636270922070904</v>
      </c>
      <c r="F52" s="500" t="str">
        <f>IF(OR(E52&gt;=0.3,E52&lt;=-0.3),"超过30%","")</f>
        <v/>
      </c>
      <c r="G52" s="499">
        <f>IF(G47&lt;G48,G48/G47-1,G47/G48-1)</f>
        <v>0.10089864634285073</v>
      </c>
      <c r="H52" s="500" t="str">
        <f>IF(OR(G52&gt;=0.3,G52&lt;=-0.3),"超过30%","")</f>
        <v/>
      </c>
      <c r="I52" s="499">
        <f>IF(I47&lt;I48,I48/I47-1,I47/I48-1)</f>
        <v>8.0888052264422639E-2</v>
      </c>
      <c r="J52" s="500" t="str">
        <f>IF(OR(I52&gt;=0.3,I52&lt;=-0.3),"超过30%","")</f>
        <v/>
      </c>
      <c r="K52" s="1105"/>
      <c r="L52" s="1106"/>
      <c r="M52" s="1144"/>
      <c r="N52" s="1144"/>
      <c r="O52" s="1144"/>
    </row>
    <row r="53" spans="1:29" ht="13.5" customHeight="1">
      <c r="A53" s="1144"/>
      <c r="B53" s="1144"/>
      <c r="C53" s="497" t="s">
        <v>2670</v>
      </c>
      <c r="D53" s="501"/>
      <c r="E53" s="499">
        <f>IF(E48&lt;G48,G48/E48-1,E48/G48-1)</f>
        <v>5.4772331873537805E-2</v>
      </c>
      <c r="F53" s="500" t="str">
        <f>IF(OR(E53&gt;=0.2,E53&lt;=-0.2),"超过20%","")</f>
        <v/>
      </c>
      <c r="G53" s="499">
        <f>IF(G48&lt;I48,I48/G48-1,G48/I48-1)</f>
        <v>2.7300648390399251E-2</v>
      </c>
      <c r="H53" s="500" t="str">
        <f>IF(OR(G53&gt;=0.2,G53&lt;=-0.2),"超过20%","")</f>
        <v/>
      </c>
      <c r="I53" s="499">
        <f>IF(I48&lt;E48,E48/I48-1,I48/E48-1)</f>
        <v>8.3568300437938614E-2</v>
      </c>
      <c r="J53" s="500" t="str">
        <f>IF(OR(I53&gt;=0.2,I53&lt;=-0.2),"超过20%","")</f>
        <v/>
      </c>
      <c r="K53" s="1105"/>
      <c r="L53" s="1106"/>
      <c r="M53" s="1144"/>
      <c r="N53" s="1144"/>
      <c r="O53" s="1144"/>
    </row>
    <row r="54" spans="1:29" s="502" customFormat="1" ht="13.5" customHeight="1">
      <c r="A54" s="1145"/>
      <c r="B54" s="1145"/>
      <c r="C54" s="497" t="s">
        <v>2671</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2756</v>
      </c>
      <c r="B56" s="685" t="s">
        <v>2757</v>
      </c>
      <c r="C56" s="2703" t="s">
        <v>2758</v>
      </c>
      <c r="D56" s="2704" t="s">
        <v>2759</v>
      </c>
      <c r="E56" s="686" t="s">
        <v>2760</v>
      </c>
      <c r="F56" s="1107" t="s">
        <v>2761</v>
      </c>
      <c r="G56" s="3214" t="s">
        <v>2762</v>
      </c>
      <c r="H56" s="3262"/>
      <c r="I56" s="144" t="s">
        <v>2763</v>
      </c>
      <c r="J56" s="2705">
        <f>项目基本情况!F35</f>
        <v>0</v>
      </c>
      <c r="K56" s="2706" t="s">
        <v>2764</v>
      </c>
      <c r="L56" s="1106"/>
      <c r="M56" s="1144"/>
      <c r="N56" s="1144"/>
      <c r="O56" s="1144"/>
    </row>
    <row r="57" spans="1:29" s="692" customFormat="1">
      <c r="A57" s="688" t="s">
        <v>2765</v>
      </c>
      <c r="B57" s="689">
        <f>C49</f>
        <v>17438</v>
      </c>
      <c r="C57" s="690">
        <v>1</v>
      </c>
      <c r="D57" s="1163">
        <v>1</v>
      </c>
      <c r="E57" s="690">
        <f>'数据-汇总表'!E8+'数据-汇总表'!E9</f>
        <v>72225.73</v>
      </c>
      <c r="F57" s="1103">
        <f t="shared" ref="F57:F66" si="15">ROUND(B57*E57/10000,0)</f>
        <v>125947</v>
      </c>
      <c r="G57" s="3213"/>
      <c r="H57" s="3231"/>
      <c r="I57" s="1108">
        <v>1</v>
      </c>
      <c r="J57" s="1111">
        <v>1</v>
      </c>
      <c r="K57" s="1145"/>
      <c r="L57" s="941"/>
      <c r="M57" s="941"/>
      <c r="N57" s="941"/>
      <c r="O57" s="941"/>
    </row>
    <row r="58" spans="1:29" s="692" customFormat="1">
      <c r="A58" s="693" t="s">
        <v>2766</v>
      </c>
      <c r="B58" s="262">
        <f>ROUND($C$49*C58*D58,0)</f>
        <v>3052</v>
      </c>
      <c r="C58" s="200">
        <f t="shared" ref="C58:C66" si="16">IF($C$56="北京市系数",I58,J58)</f>
        <v>0.7</v>
      </c>
      <c r="D58" s="1164">
        <v>0.25</v>
      </c>
      <c r="E58" s="694">
        <f>'数据-汇总表'!G22</f>
        <v>12769.119999999999</v>
      </c>
      <c r="F58" s="1103">
        <f t="shared" si="15"/>
        <v>3897</v>
      </c>
      <c r="G58" s="3263" t="s">
        <v>2767</v>
      </c>
      <c r="H58" s="1104" t="str">
        <f>项目基本情况!B37</f>
        <v>七级</v>
      </c>
      <c r="I58" s="1108">
        <f>SUMIF(修正!A45:A56,H58,修正!B45:B56)</f>
        <v>0.7</v>
      </c>
      <c r="J58" s="1112"/>
      <c r="K58" s="1144"/>
      <c r="L58" s="941"/>
      <c r="M58" s="941"/>
      <c r="N58" s="941"/>
      <c r="O58" s="941"/>
    </row>
    <row r="59" spans="1:29" s="692" customFormat="1">
      <c r="A59" s="693" t="s">
        <v>2768</v>
      </c>
      <c r="B59" s="262">
        <f t="shared" ref="B59:B66" si="17">ROUND($C$49*C59*D59,0)</f>
        <v>1744</v>
      </c>
      <c r="C59" s="200">
        <f t="shared" si="16"/>
        <v>0.4</v>
      </c>
      <c r="D59" s="1164">
        <v>0.25</v>
      </c>
      <c r="E59" s="694"/>
      <c r="F59" s="1103">
        <f t="shared" si="15"/>
        <v>0</v>
      </c>
      <c r="G59" s="3263"/>
      <c r="H59" s="1104" t="str">
        <f>项目基本情况!B37</f>
        <v>七级</v>
      </c>
      <c r="I59" s="1108">
        <f>SUMIF(修正!A45:A56,H59,修正!C45:C56)</f>
        <v>0.4</v>
      </c>
      <c r="J59" s="1112"/>
      <c r="K59" s="1145"/>
      <c r="L59" s="941"/>
      <c r="M59" s="941"/>
      <c r="N59" s="941"/>
      <c r="O59" s="941"/>
    </row>
    <row r="60" spans="1:29" s="692" customFormat="1">
      <c r="A60" s="693" t="s">
        <v>2769</v>
      </c>
      <c r="B60" s="262">
        <f t="shared" si="17"/>
        <v>1221</v>
      </c>
      <c r="C60" s="200">
        <f t="shared" si="16"/>
        <v>0.28000000000000003</v>
      </c>
      <c r="D60" s="1164">
        <v>0.25</v>
      </c>
      <c r="E60" s="694"/>
      <c r="F60" s="1103">
        <f t="shared" si="15"/>
        <v>0</v>
      </c>
      <c r="G60" s="3263"/>
      <c r="H60" s="1104" t="str">
        <f>项目基本情况!B37</f>
        <v>七级</v>
      </c>
      <c r="I60" s="1108">
        <f>SUMIF(修正!A45:A56,H60,修正!D45:D56)</f>
        <v>0.28000000000000003</v>
      </c>
      <c r="J60" s="1112"/>
      <c r="K60" s="1144"/>
      <c r="L60" s="941"/>
      <c r="M60" s="941"/>
      <c r="N60" s="941"/>
      <c r="O60" s="941"/>
    </row>
    <row r="61" spans="1:29" s="692" customFormat="1">
      <c r="A61" s="693" t="s">
        <v>2770</v>
      </c>
      <c r="B61" s="262">
        <f t="shared" si="17"/>
        <v>1090</v>
      </c>
      <c r="C61" s="200">
        <f t="shared" si="16"/>
        <v>0.25</v>
      </c>
      <c r="D61" s="1164">
        <v>0.25</v>
      </c>
      <c r="E61" s="694"/>
      <c r="F61" s="1103">
        <f t="shared" si="15"/>
        <v>0</v>
      </c>
      <c r="G61" s="3263"/>
      <c r="H61" s="1104" t="str">
        <f>项目基本情况!B37</f>
        <v>七级</v>
      </c>
      <c r="I61" s="1108">
        <f>SUMIF(修正!A45:A56,H61,修正!E45:E56)</f>
        <v>0.25</v>
      </c>
      <c r="J61" s="1112"/>
      <c r="K61" s="1145"/>
      <c r="L61" s="941"/>
      <c r="M61" s="941"/>
      <c r="N61" s="941"/>
      <c r="O61" s="941"/>
    </row>
    <row r="62" spans="1:29" s="692" customFormat="1">
      <c r="A62" s="693" t="s">
        <v>2771</v>
      </c>
      <c r="B62" s="262">
        <f t="shared" si="17"/>
        <v>1090</v>
      </c>
      <c r="C62" s="200">
        <f t="shared" si="16"/>
        <v>0.25</v>
      </c>
      <c r="D62" s="1164">
        <v>0.25</v>
      </c>
      <c r="E62" s="261">
        <f>'数据-汇总表'!E11</f>
        <v>0</v>
      </c>
      <c r="F62" s="1103">
        <f t="shared" si="15"/>
        <v>0</v>
      </c>
      <c r="G62" s="2707" t="s">
        <v>2772</v>
      </c>
      <c r="H62" s="1104" t="str">
        <f>项目基本情况!C37</f>
        <v>七级</v>
      </c>
      <c r="I62" s="1108">
        <f>SUMIF(修正!A45:A56,H62,修正!F45:F56)</f>
        <v>0.25</v>
      </c>
      <c r="J62" s="1112"/>
      <c r="K62" s="1144"/>
      <c r="L62" s="941"/>
      <c r="M62" s="941"/>
      <c r="N62" s="941"/>
      <c r="O62" s="941"/>
    </row>
    <row r="63" spans="1:29" s="692" customFormat="1">
      <c r="A63" s="693" t="s">
        <v>2773</v>
      </c>
      <c r="B63" s="262">
        <f t="shared" si="17"/>
        <v>1090</v>
      </c>
      <c r="C63" s="200">
        <f t="shared" si="16"/>
        <v>0.25</v>
      </c>
      <c r="D63" s="1164">
        <v>0.25</v>
      </c>
      <c r="E63" s="261">
        <f>'数据-汇总表'!E12</f>
        <v>0</v>
      </c>
      <c r="F63" s="1103">
        <f t="shared" si="15"/>
        <v>0</v>
      </c>
      <c r="G63" s="1109" t="s">
        <v>2774</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2775</v>
      </c>
      <c r="B64" s="262">
        <f t="shared" si="17"/>
        <v>872</v>
      </c>
      <c r="C64" s="200">
        <f t="shared" si="16"/>
        <v>0.2</v>
      </c>
      <c r="D64" s="1164">
        <v>0.25</v>
      </c>
      <c r="E64" s="261">
        <f>'数据-汇总表'!E13</f>
        <v>17927.650000000001</v>
      </c>
      <c r="F64" s="1103">
        <f t="shared" si="15"/>
        <v>1563</v>
      </c>
      <c r="G64" s="1109" t="s">
        <v>2776</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2777</v>
      </c>
      <c r="B65" s="262">
        <f t="shared" si="17"/>
        <v>872</v>
      </c>
      <c r="C65" s="200">
        <f t="shared" si="16"/>
        <v>0.2</v>
      </c>
      <c r="D65" s="1164">
        <v>0.25</v>
      </c>
      <c r="E65" s="261">
        <f>'数据-汇总表'!E14</f>
        <v>0</v>
      </c>
      <c r="F65" s="1103">
        <f t="shared" si="15"/>
        <v>0</v>
      </c>
      <c r="G65" s="2707" t="s">
        <v>2767</v>
      </c>
      <c r="H65" s="1104" t="str">
        <f>项目基本情况!B37</f>
        <v>七级</v>
      </c>
      <c r="I65" s="1108">
        <f>SUMIF(修正!A45:A56,H65,修正!H45:H56)</f>
        <v>0.2</v>
      </c>
      <c r="J65" s="1112"/>
      <c r="K65" s="1145"/>
      <c r="L65" s="941"/>
      <c r="M65" s="941"/>
      <c r="N65" s="941"/>
      <c r="O65" s="941"/>
    </row>
    <row r="66" spans="1:17" s="692" customFormat="1" ht="14.4" thickBot="1">
      <c r="A66" s="693" t="s">
        <v>2778</v>
      </c>
      <c r="B66" s="262">
        <f t="shared" si="17"/>
        <v>872</v>
      </c>
      <c r="C66" s="200">
        <f t="shared" si="16"/>
        <v>0.2</v>
      </c>
      <c r="D66" s="1164">
        <v>0.25</v>
      </c>
      <c r="E66" s="261">
        <f>'数据-汇总表'!E15</f>
        <v>0</v>
      </c>
      <c r="F66" s="1103">
        <f t="shared" si="15"/>
        <v>0</v>
      </c>
      <c r="G66" s="2708" t="s">
        <v>2772</v>
      </c>
      <c r="H66" s="1114" t="str">
        <f>项目基本情况!C37</f>
        <v>七级</v>
      </c>
      <c r="I66" s="1110">
        <f>SUMIF(修正!A45:A56,H66,修正!H45:H56)</f>
        <v>0.2</v>
      </c>
      <c r="J66" s="1113"/>
      <c r="K66" s="1144"/>
      <c r="L66" s="941"/>
      <c r="M66" s="941"/>
      <c r="N66" s="941"/>
      <c r="O66" s="941"/>
    </row>
    <row r="67" spans="1:17" s="692" customFormat="1" thickBot="1">
      <c r="A67" s="695" t="s">
        <v>2779</v>
      </c>
      <c r="B67" s="696" t="s">
        <v>28</v>
      </c>
      <c r="C67" s="696" t="s">
        <v>29</v>
      </c>
      <c r="D67" s="696" t="s">
        <v>1026</v>
      </c>
      <c r="E67" s="696">
        <f>IF(B47="楼面地价",SUM(E57:E66),'数据-汇总表'!D3)</f>
        <v>102922.5</v>
      </c>
      <c r="F67" s="697">
        <f>IF(B47="楼面地价",SUM(F57:F66),ROUND(C49*E67/10000,0))</f>
        <v>131407</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2019-6-1</v>
      </c>
      <c r="D69" s="761">
        <f>EDATE(C69,-3)</f>
        <v>43525</v>
      </c>
      <c r="E69" s="761">
        <f>EDATE(D69,-3)</f>
        <v>43435</v>
      </c>
      <c r="F69" s="761">
        <f t="shared" ref="F69:O69" si="18">EDATE(E69,-3)</f>
        <v>43344</v>
      </c>
      <c r="G69" s="761">
        <f t="shared" si="18"/>
        <v>43252</v>
      </c>
      <c r="H69" s="761">
        <f t="shared" si="18"/>
        <v>43160</v>
      </c>
      <c r="I69" s="761">
        <f t="shared" si="18"/>
        <v>43070</v>
      </c>
      <c r="J69" s="761">
        <f t="shared" si="18"/>
        <v>42979</v>
      </c>
      <c r="K69" s="761">
        <f t="shared" si="18"/>
        <v>42887</v>
      </c>
      <c r="L69" s="761">
        <f t="shared" si="18"/>
        <v>42795</v>
      </c>
      <c r="M69" s="761">
        <f t="shared" si="18"/>
        <v>42705</v>
      </c>
      <c r="N69" s="761">
        <f t="shared" si="18"/>
        <v>42614</v>
      </c>
      <c r="O69" s="761">
        <f t="shared" si="18"/>
        <v>42522</v>
      </c>
    </row>
    <row r="70" spans="1:17" ht="22.2" thickBot="1">
      <c r="A70" s="763" t="s">
        <v>2672</v>
      </c>
      <c r="B70" s="759"/>
      <c r="C70" s="764"/>
      <c r="D70" s="764"/>
      <c r="E70" s="764"/>
      <c r="F70" s="765"/>
      <c r="G70" s="765"/>
      <c r="H70" s="764"/>
      <c r="I70" s="764"/>
      <c r="J70" s="1159"/>
      <c r="K70" s="1160"/>
      <c r="L70" s="1161"/>
      <c r="M70" s="1159"/>
      <c r="N70" s="1159"/>
      <c r="O70" s="1159"/>
      <c r="P70" s="503"/>
      <c r="Q70" s="504"/>
    </row>
    <row r="71" spans="1:17" s="508" customFormat="1" ht="14.4">
      <c r="A71" s="2709" t="s">
        <v>2780</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2781</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2583</v>
      </c>
      <c r="B73" s="516"/>
      <c r="C73" s="517"/>
      <c r="D73" s="518"/>
      <c r="E73" s="518"/>
      <c r="F73" s="518"/>
      <c r="G73" s="518"/>
      <c r="H73" s="518"/>
      <c r="I73" s="518"/>
      <c r="J73" s="518"/>
      <c r="K73" s="518"/>
      <c r="L73" s="518"/>
      <c r="M73" s="519"/>
      <c r="N73" s="518"/>
      <c r="O73" s="1162"/>
      <c r="P73" s="504"/>
      <c r="Q73" s="504"/>
    </row>
    <row r="74" spans="1:17" s="117" customFormat="1" ht="14.4">
      <c r="A74" s="521" t="s">
        <v>2548</v>
      </c>
      <c r="B74" s="510"/>
      <c r="C74" s="522" t="s">
        <v>2650</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2586</v>
      </c>
      <c r="B76" s="528" t="s">
        <v>2552</v>
      </c>
      <c r="C76" s="530" t="s">
        <v>3623</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2555</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2556</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4" t="s">
        <v>3625</v>
      </c>
      <c r="D83" s="2974" t="s">
        <v>3624</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3322" t="s">
        <v>3625</v>
      </c>
      <c r="D85" s="523" t="s">
        <v>3626</v>
      </c>
      <c r="E85" s="523" t="s">
        <v>3627</v>
      </c>
      <c r="F85" s="523" t="s">
        <v>3628</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3626</v>
      </c>
      <c r="D87" s="523" t="s">
        <v>3627</v>
      </c>
      <c r="E87" s="523" t="s">
        <v>3628</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2557</v>
      </c>
      <c r="B89" s="528" t="s">
        <v>2594</v>
      </c>
      <c r="C89" s="573" t="s">
        <v>2595</v>
      </c>
      <c r="D89" s="573" t="s">
        <v>2596</v>
      </c>
      <c r="E89" s="573" t="s">
        <v>2597</v>
      </c>
      <c r="F89" s="573" t="s">
        <v>2598</v>
      </c>
      <c r="G89" s="573" t="s">
        <v>2599</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2782</v>
      </c>
      <c r="C91" s="578" t="s">
        <v>2595</v>
      </c>
      <c r="D91" s="578" t="s">
        <v>2596</v>
      </c>
      <c r="E91" s="578" t="s">
        <v>2597</v>
      </c>
      <c r="F91" s="578" t="s">
        <v>2598</v>
      </c>
      <c r="G91" s="578" t="s">
        <v>2599</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2695</v>
      </c>
      <c r="C93" s="578" t="s">
        <v>2595</v>
      </c>
      <c r="D93" s="578" t="s">
        <v>2596</v>
      </c>
      <c r="E93" s="578" t="s">
        <v>2597</v>
      </c>
      <c r="F93" s="578" t="s">
        <v>2598</v>
      </c>
      <c r="G93" s="578" t="s">
        <v>2599</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2600</v>
      </c>
      <c r="C95" s="578" t="s">
        <v>2595</v>
      </c>
      <c r="D95" s="578" t="s">
        <v>2596</v>
      </c>
      <c r="E95" s="578" t="s">
        <v>2597</v>
      </c>
      <c r="F95" s="578" t="s">
        <v>2598</v>
      </c>
      <c r="G95" s="578" t="s">
        <v>2599</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2783</v>
      </c>
      <c r="C97" s="578" t="s">
        <v>2595</v>
      </c>
      <c r="D97" s="578" t="s">
        <v>2596</v>
      </c>
      <c r="E97" s="578" t="s">
        <v>2597</v>
      </c>
      <c r="F97" s="578" t="s">
        <v>2598</v>
      </c>
      <c r="G97" s="578" t="s">
        <v>2599</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2784</v>
      </c>
      <c r="C99" s="573" t="s">
        <v>2595</v>
      </c>
      <c r="D99" s="573" t="s">
        <v>2596</v>
      </c>
      <c r="E99" s="573" t="s">
        <v>2597</v>
      </c>
      <c r="F99" s="573" t="s">
        <v>2598</v>
      </c>
      <c r="G99" s="573" t="s">
        <v>2599</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2652</v>
      </c>
      <c r="C101" s="573" t="s">
        <v>2595</v>
      </c>
      <c r="D101" s="573" t="s">
        <v>2596</v>
      </c>
      <c r="E101" s="573" t="s">
        <v>2597</v>
      </c>
      <c r="F101" s="573" t="s">
        <v>2598</v>
      </c>
      <c r="G101" s="573" t="s">
        <v>2599</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2653</v>
      </c>
      <c r="C103" s="660" t="s">
        <v>2673</v>
      </c>
      <c r="D103" s="660" t="s">
        <v>2674</v>
      </c>
      <c r="E103" s="660" t="s">
        <v>2675</v>
      </c>
      <c r="F103" s="660" t="s">
        <v>2676</v>
      </c>
      <c r="G103" s="660" t="s">
        <v>2677</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2785</v>
      </c>
      <c r="D105" s="539" t="s">
        <v>2786</v>
      </c>
      <c r="E105" s="539" t="s">
        <v>2787</v>
      </c>
      <c r="F105" s="539" t="s">
        <v>2788</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2689</v>
      </c>
      <c r="C107" s="2974" t="s">
        <v>3639</v>
      </c>
      <c r="D107" s="2974" t="s">
        <v>3640</v>
      </c>
      <c r="E107" s="2974" t="s">
        <v>3642</v>
      </c>
      <c r="F107" s="2974" t="s">
        <v>3643</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2748</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14.4">
      <c r="A117" s="527" t="s">
        <v>2561</v>
      </c>
      <c r="B117" s="528" t="s">
        <v>2789</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2790</v>
      </c>
      <c r="C120" s="2975" t="s">
        <v>3605</v>
      </c>
      <c r="D120" s="2975" t="s">
        <v>3607</v>
      </c>
      <c r="E120" s="2975" t="s">
        <v>3609</v>
      </c>
      <c r="F120" s="2975" t="s">
        <v>3610</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2791</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2792</v>
      </c>
      <c r="C124" s="2974" t="s">
        <v>3616</v>
      </c>
      <c r="D124" s="2974" t="s">
        <v>3617</v>
      </c>
      <c r="E124" s="2974" t="s">
        <v>3619</v>
      </c>
      <c r="F124" s="2974" t="s">
        <v>3620</v>
      </c>
      <c r="G124" s="2974" t="s">
        <v>3621</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2793</v>
      </c>
      <c r="C126" s="2974" t="s">
        <v>3611</v>
      </c>
      <c r="D126" s="2974" t="s">
        <v>3612</v>
      </c>
      <c r="E126" s="2975" t="s">
        <v>3613</v>
      </c>
      <c r="F126" s="2975" t="s">
        <v>3614</v>
      </c>
      <c r="G126" s="2975" t="s">
        <v>3615</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V48:W48"/>
    <mergeCell ref="P49:Q49"/>
    <mergeCell ref="R49:W49"/>
    <mergeCell ref="G56:H57"/>
    <mergeCell ref="G58:G61"/>
    <mergeCell ref="P48:Q48"/>
    <mergeCell ref="R48:S48"/>
    <mergeCell ref="T48:U48"/>
    <mergeCell ref="P16:P36"/>
    <mergeCell ref="Y16:Y36"/>
    <mergeCell ref="P37:P46"/>
    <mergeCell ref="Y37:Y46"/>
    <mergeCell ref="P47:Q47"/>
    <mergeCell ref="R47:S47"/>
    <mergeCell ref="T47:U47"/>
    <mergeCell ref="V47:W47"/>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30" zoomScale="85" zoomScaleNormal="85" workbookViewId="0">
      <selection activeCell="N88" sqref="N88"/>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3137</v>
      </c>
      <c r="B1" s="1634" t="s">
        <v>3138</v>
      </c>
      <c r="C1" s="1634" t="s">
        <v>3139</v>
      </c>
      <c r="D1" s="1634" t="s">
        <v>3140</v>
      </c>
      <c r="E1" s="1634" t="s">
        <v>3141</v>
      </c>
      <c r="F1" s="1634" t="s">
        <v>3142</v>
      </c>
      <c r="G1" s="1634" t="s">
        <v>3143</v>
      </c>
      <c r="H1" s="1634" t="s">
        <v>3144</v>
      </c>
      <c r="I1" s="1634" t="s">
        <v>3145</v>
      </c>
      <c r="J1" s="1634" t="s">
        <v>3146</v>
      </c>
      <c r="K1" s="1634" t="s">
        <v>3147</v>
      </c>
      <c r="L1" s="1634" t="s">
        <v>3148</v>
      </c>
      <c r="M1" s="1634" t="s">
        <v>3149</v>
      </c>
      <c r="N1" s="1634" t="s">
        <v>3150</v>
      </c>
      <c r="O1" s="1634" t="s">
        <v>3151</v>
      </c>
      <c r="P1" s="1634" t="s">
        <v>3152</v>
      </c>
      <c r="Q1" s="1634" t="s">
        <v>3153</v>
      </c>
      <c r="R1" s="1634" t="s">
        <v>3154</v>
      </c>
      <c r="S1" s="1634" t="s">
        <v>3155</v>
      </c>
      <c r="T1" s="1634" t="s">
        <v>3156</v>
      </c>
      <c r="U1" s="1634" t="s">
        <v>3157</v>
      </c>
      <c r="V1" s="1634" t="s">
        <v>3158</v>
      </c>
      <c r="W1" s="1634" t="s">
        <v>3159</v>
      </c>
      <c r="X1" s="1634" t="s">
        <v>3160</v>
      </c>
      <c r="Y1" s="1634" t="s">
        <v>3161</v>
      </c>
      <c r="Z1" s="1634" t="s">
        <v>3162</v>
      </c>
      <c r="AA1" s="1634" t="s">
        <v>3163</v>
      </c>
      <c r="AB1" s="1634" t="s">
        <v>3164</v>
      </c>
      <c r="AC1" s="1634" t="s">
        <v>3165</v>
      </c>
      <c r="AD1" s="1634" t="s">
        <v>3166</v>
      </c>
      <c r="AE1" s="1634" t="s">
        <v>3167</v>
      </c>
      <c r="AF1" s="1634" t="s">
        <v>3168</v>
      </c>
      <c r="AG1" s="1634" t="s">
        <v>3169</v>
      </c>
      <c r="AH1" s="1634" t="s">
        <v>3170</v>
      </c>
      <c r="AI1" s="1634" t="s">
        <v>3171</v>
      </c>
      <c r="AJ1" s="1634" t="s">
        <v>3172</v>
      </c>
      <c r="AK1" s="1634" t="s">
        <v>3173</v>
      </c>
      <c r="AL1" s="1634" t="s">
        <v>3174</v>
      </c>
      <c r="AM1" s="1634" t="s">
        <v>3175</v>
      </c>
      <c r="AN1" s="1634" t="s">
        <v>3176</v>
      </c>
      <c r="AO1" s="1634" t="s">
        <v>3177</v>
      </c>
      <c r="AP1" s="1634" t="s">
        <v>3178</v>
      </c>
      <c r="AQ1" s="1634" t="s">
        <v>3179</v>
      </c>
      <c r="AR1" s="1634" t="s">
        <v>3180</v>
      </c>
      <c r="AS1" s="1634" t="s">
        <v>3181</v>
      </c>
    </row>
    <row r="2" spans="1:45">
      <c r="A2" s="1634" t="s">
        <v>3182</v>
      </c>
      <c r="B2" s="1634" t="s">
        <v>3095</v>
      </c>
      <c r="C2" s="1634" t="s">
        <v>3183</v>
      </c>
      <c r="D2" s="1634" t="s">
        <v>3184</v>
      </c>
      <c r="E2" s="1634" t="s">
        <v>1327</v>
      </c>
      <c r="F2" s="1634" t="s">
        <v>3185</v>
      </c>
      <c r="G2" s="1634" t="s">
        <v>3186</v>
      </c>
      <c r="H2" s="1634" t="s">
        <v>3187</v>
      </c>
      <c r="I2" s="1634" t="s">
        <v>3188</v>
      </c>
      <c r="J2" s="1634">
        <v>121729.8</v>
      </c>
      <c r="K2" s="1634">
        <v>327948</v>
      </c>
      <c r="L2" s="1634">
        <v>2.69</v>
      </c>
      <c r="M2" s="1634" t="s">
        <v>1327</v>
      </c>
      <c r="N2" s="1634" t="s">
        <v>3189</v>
      </c>
      <c r="O2" s="1634" t="s">
        <v>3190</v>
      </c>
      <c r="P2" s="1634" t="s">
        <v>1327</v>
      </c>
      <c r="Q2" s="1634" t="s">
        <v>1327</v>
      </c>
      <c r="R2" s="1634" t="s">
        <v>1327</v>
      </c>
      <c r="S2" s="1634" t="s">
        <v>1327</v>
      </c>
      <c r="T2" s="1634" t="s">
        <v>3191</v>
      </c>
      <c r="U2" s="1634" t="s">
        <v>3192</v>
      </c>
      <c r="V2" s="1634" t="s">
        <v>1327</v>
      </c>
      <c r="W2" s="1634" t="s">
        <v>3193</v>
      </c>
      <c r="X2" s="1634" t="s">
        <v>3194</v>
      </c>
      <c r="Y2" s="1634" t="s">
        <v>3195</v>
      </c>
      <c r="Z2" s="1634" t="s">
        <v>3196</v>
      </c>
      <c r="AA2" s="1634" t="s">
        <v>3196</v>
      </c>
      <c r="AB2" s="1634" t="s">
        <v>3187</v>
      </c>
      <c r="AC2" s="1634" t="s">
        <v>3197</v>
      </c>
      <c r="AD2" s="1634" t="s">
        <v>3198</v>
      </c>
      <c r="AE2" s="1634">
        <v>121900</v>
      </c>
      <c r="AF2" s="1634">
        <v>609400</v>
      </c>
      <c r="AG2" s="1634">
        <v>690000</v>
      </c>
      <c r="AH2" s="1634">
        <v>3337.45</v>
      </c>
      <c r="AI2" s="1634">
        <v>3778.86</v>
      </c>
      <c r="AJ2" s="1634">
        <v>18582.21</v>
      </c>
      <c r="AK2" s="1634">
        <v>21039.91</v>
      </c>
      <c r="AL2" s="1634" t="s">
        <v>1327</v>
      </c>
      <c r="AM2" s="1634" t="s">
        <v>1327</v>
      </c>
      <c r="AN2" s="1634">
        <v>13.23</v>
      </c>
      <c r="AO2" s="1634" t="s">
        <v>3199</v>
      </c>
      <c r="AP2" s="1634" t="s">
        <v>1327</v>
      </c>
      <c r="AQ2" s="1634" t="s">
        <v>1327</v>
      </c>
      <c r="AR2" s="1634" t="s">
        <v>1327</v>
      </c>
      <c r="AS2" s="1634" t="s">
        <v>3200</v>
      </c>
    </row>
    <row r="3" spans="1:45">
      <c r="A3" s="1634" t="s">
        <v>3201</v>
      </c>
      <c r="B3" s="1634" t="s">
        <v>3095</v>
      </c>
      <c r="C3" s="1634" t="s">
        <v>3202</v>
      </c>
      <c r="D3" s="1634" t="s">
        <v>3184</v>
      </c>
      <c r="E3" s="1634" t="s">
        <v>1327</v>
      </c>
      <c r="F3" s="1634" t="s">
        <v>3185</v>
      </c>
      <c r="G3" s="1634" t="s">
        <v>3186</v>
      </c>
      <c r="H3" s="1634" t="s">
        <v>3203</v>
      </c>
      <c r="I3" s="1634" t="s">
        <v>3204</v>
      </c>
      <c r="J3" s="1634">
        <v>28622.32</v>
      </c>
      <c r="K3" s="1634">
        <v>71556</v>
      </c>
      <c r="L3" s="1634">
        <v>2.5</v>
      </c>
      <c r="M3" s="1634" t="s">
        <v>1327</v>
      </c>
      <c r="N3" s="1634" t="s">
        <v>3205</v>
      </c>
      <c r="O3" s="1634" t="s">
        <v>3206</v>
      </c>
      <c r="P3" s="1634" t="s">
        <v>1327</v>
      </c>
      <c r="Q3" s="1634" t="s">
        <v>1327</v>
      </c>
      <c r="R3" s="1634" t="s">
        <v>1327</v>
      </c>
      <c r="S3" s="1634" t="s">
        <v>1327</v>
      </c>
      <c r="T3" s="1634" t="s">
        <v>3207</v>
      </c>
      <c r="U3" s="1634" t="s">
        <v>3207</v>
      </c>
      <c r="V3" s="1634" t="s">
        <v>1327</v>
      </c>
      <c r="W3" s="1634" t="s">
        <v>3193</v>
      </c>
      <c r="X3" s="1634" t="s">
        <v>3208</v>
      </c>
      <c r="Y3" s="1634" t="s">
        <v>3209</v>
      </c>
      <c r="Z3" s="1634" t="s">
        <v>3194</v>
      </c>
      <c r="AA3" s="1634" t="s">
        <v>3194</v>
      </c>
      <c r="AB3" s="1634" t="s">
        <v>3203</v>
      </c>
      <c r="AC3" s="1634" t="s">
        <v>3197</v>
      </c>
      <c r="AD3" s="1634" t="s">
        <v>3210</v>
      </c>
      <c r="AE3" s="1634">
        <v>26400</v>
      </c>
      <c r="AF3" s="1634">
        <v>132000</v>
      </c>
      <c r="AG3" s="1634">
        <v>132000</v>
      </c>
      <c r="AH3" s="1634">
        <v>3074.52</v>
      </c>
      <c r="AI3" s="1634">
        <v>3074.52</v>
      </c>
      <c r="AJ3" s="1634">
        <v>18447.09</v>
      </c>
      <c r="AK3" s="1634">
        <v>18447.09</v>
      </c>
      <c r="AL3" s="1634" t="s">
        <v>1327</v>
      </c>
      <c r="AM3" s="1634" t="s">
        <v>1327</v>
      </c>
      <c r="AN3" s="1634">
        <v>0</v>
      </c>
      <c r="AO3" s="1634" t="s">
        <v>3211</v>
      </c>
      <c r="AP3" s="1634" t="s">
        <v>1327</v>
      </c>
      <c r="AQ3" s="1634" t="s">
        <v>1327</v>
      </c>
      <c r="AR3" s="1634" t="s">
        <v>1327</v>
      </c>
      <c r="AS3" s="1634" t="s">
        <v>3212</v>
      </c>
    </row>
    <row r="4" spans="1:45" s="2959" customFormat="1">
      <c r="A4" s="2959" t="s">
        <v>3213</v>
      </c>
      <c r="B4" s="2959" t="s">
        <v>3095</v>
      </c>
      <c r="C4" s="3317" t="s">
        <v>3622</v>
      </c>
      <c r="D4" s="2959" t="s">
        <v>3184</v>
      </c>
      <c r="E4" s="2959" t="s">
        <v>1327</v>
      </c>
      <c r="F4" s="2959" t="s">
        <v>3214</v>
      </c>
      <c r="G4" s="2959" t="s">
        <v>3186</v>
      </c>
      <c r="H4" s="2959" t="s">
        <v>3215</v>
      </c>
      <c r="I4" s="2959" t="s">
        <v>3216</v>
      </c>
      <c r="J4" s="2959">
        <v>97107.81</v>
      </c>
      <c r="K4" s="2959">
        <v>194226</v>
      </c>
      <c r="L4" s="2959">
        <v>2</v>
      </c>
      <c r="M4" s="2959" t="s">
        <v>1327</v>
      </c>
      <c r="N4" s="2959" t="s">
        <v>3190</v>
      </c>
      <c r="O4" s="2959" t="s">
        <v>3190</v>
      </c>
      <c r="P4" s="2959" t="s">
        <v>1327</v>
      </c>
      <c r="Q4" s="2959" t="s">
        <v>1327</v>
      </c>
      <c r="R4" s="2959" t="s">
        <v>1327</v>
      </c>
      <c r="S4" s="2959" t="s">
        <v>1327</v>
      </c>
      <c r="T4" s="2959" t="s">
        <v>3191</v>
      </c>
      <c r="U4" s="2959" t="s">
        <v>3192</v>
      </c>
      <c r="V4" s="2959" t="s">
        <v>1327</v>
      </c>
      <c r="W4" s="2959" t="s">
        <v>3193</v>
      </c>
      <c r="X4" s="2959" t="s">
        <v>3217</v>
      </c>
      <c r="Y4" s="2959" t="s">
        <v>3209</v>
      </c>
      <c r="Z4" s="2959" t="s">
        <v>3194</v>
      </c>
      <c r="AA4" s="2959" t="s">
        <v>3194</v>
      </c>
      <c r="AB4" s="2959" t="s">
        <v>3215</v>
      </c>
      <c r="AC4" s="2959" t="s">
        <v>3197</v>
      </c>
      <c r="AD4" s="2959" t="s">
        <v>3218</v>
      </c>
      <c r="AE4" s="2959">
        <v>81200</v>
      </c>
      <c r="AF4" s="2959">
        <v>406000</v>
      </c>
      <c r="AG4" s="2959">
        <v>410000</v>
      </c>
      <c r="AH4" s="2959">
        <v>2787.28</v>
      </c>
      <c r="AI4" s="2959">
        <v>2814.74</v>
      </c>
      <c r="AJ4" s="2959">
        <v>20903.48</v>
      </c>
      <c r="AK4" s="2959">
        <v>21109.43</v>
      </c>
      <c r="AL4" s="2959" t="s">
        <v>1327</v>
      </c>
      <c r="AM4" s="2959" t="s">
        <v>1327</v>
      </c>
      <c r="AN4" s="2959">
        <v>0.99</v>
      </c>
      <c r="AO4" s="2959" t="s">
        <v>3199</v>
      </c>
      <c r="AP4" s="2959" t="s">
        <v>1327</v>
      </c>
      <c r="AQ4" s="2959" t="s">
        <v>1327</v>
      </c>
      <c r="AR4" s="2959" t="s">
        <v>1327</v>
      </c>
      <c r="AS4" s="2959" t="s">
        <v>3219</v>
      </c>
    </row>
    <row r="5" spans="1:45" s="2959" customFormat="1">
      <c r="A5" s="2959" t="s">
        <v>3220</v>
      </c>
      <c r="B5" s="2959" t="s">
        <v>3095</v>
      </c>
      <c r="C5" s="2959" t="s">
        <v>3183</v>
      </c>
      <c r="D5" s="2959" t="s">
        <v>3184</v>
      </c>
      <c r="E5" s="2959" t="s">
        <v>1327</v>
      </c>
      <c r="F5" s="2959" t="s">
        <v>3221</v>
      </c>
      <c r="G5" s="2959" t="s">
        <v>3186</v>
      </c>
      <c r="H5" s="2959" t="s">
        <v>3222</v>
      </c>
      <c r="I5" s="2959" t="s">
        <v>3223</v>
      </c>
      <c r="J5" s="2959">
        <v>46848.3</v>
      </c>
      <c r="K5" s="2959">
        <v>137272</v>
      </c>
      <c r="L5" s="2959">
        <v>2.93</v>
      </c>
      <c r="M5" s="2959" t="s">
        <v>1327</v>
      </c>
      <c r="N5" s="2959" t="s">
        <v>3224</v>
      </c>
      <c r="O5" s="2959" t="s">
        <v>3225</v>
      </c>
      <c r="P5" s="2959" t="s">
        <v>1327</v>
      </c>
      <c r="Q5" s="2959" t="s">
        <v>1327</v>
      </c>
      <c r="R5" s="2959" t="s">
        <v>1327</v>
      </c>
      <c r="S5" s="2959" t="s">
        <v>1327</v>
      </c>
      <c r="T5" s="2959" t="s">
        <v>3226</v>
      </c>
      <c r="U5" s="2959" t="s">
        <v>3227</v>
      </c>
      <c r="V5" s="2959" t="s">
        <v>1327</v>
      </c>
      <c r="W5" s="2959" t="s">
        <v>3193</v>
      </c>
      <c r="X5" s="2959" t="s">
        <v>3228</v>
      </c>
      <c r="Y5" s="2959" t="s">
        <v>3217</v>
      </c>
      <c r="Z5" s="2959" t="s">
        <v>3229</v>
      </c>
      <c r="AA5" s="2959" t="s">
        <v>3229</v>
      </c>
      <c r="AB5" s="2959" t="s">
        <v>3222</v>
      </c>
      <c r="AC5" s="2959" t="s">
        <v>3197</v>
      </c>
      <c r="AD5" s="2959" t="s">
        <v>3230</v>
      </c>
      <c r="AE5" s="2959">
        <v>53200</v>
      </c>
      <c r="AF5" s="2959">
        <v>265700</v>
      </c>
      <c r="AG5" s="2959">
        <v>265700</v>
      </c>
      <c r="AH5" s="2959">
        <v>3781</v>
      </c>
      <c r="AI5" s="2959">
        <v>3781</v>
      </c>
      <c r="AJ5" s="2959">
        <v>19355.73</v>
      </c>
      <c r="AK5" s="2959">
        <v>19355.72</v>
      </c>
      <c r="AL5" s="2959" t="s">
        <v>1327</v>
      </c>
      <c r="AM5" s="2959" t="s">
        <v>1327</v>
      </c>
      <c r="AN5" s="2959">
        <v>0</v>
      </c>
      <c r="AO5" s="2959" t="s">
        <v>3199</v>
      </c>
      <c r="AP5" s="2959" t="s">
        <v>1327</v>
      </c>
      <c r="AQ5" s="2959" t="s">
        <v>1327</v>
      </c>
      <c r="AR5" s="2959" t="s">
        <v>1327</v>
      </c>
      <c r="AS5" s="2959" t="s">
        <v>3212</v>
      </c>
    </row>
    <row r="6" spans="1:45">
      <c r="A6" s="1634" t="s">
        <v>3231</v>
      </c>
      <c r="B6" s="1634" t="s">
        <v>3095</v>
      </c>
      <c r="C6" s="1634" t="s">
        <v>3183</v>
      </c>
      <c r="D6" s="1634" t="s">
        <v>3184</v>
      </c>
      <c r="E6" s="1634" t="s">
        <v>1327</v>
      </c>
      <c r="F6" s="1634" t="s">
        <v>3221</v>
      </c>
      <c r="G6" s="1634" t="s">
        <v>3186</v>
      </c>
      <c r="H6" s="1634" t="s">
        <v>3232</v>
      </c>
      <c r="I6" s="1634" t="s">
        <v>3233</v>
      </c>
      <c r="J6" s="1634">
        <v>175114.7</v>
      </c>
      <c r="K6" s="1634">
        <v>299579</v>
      </c>
      <c r="L6" s="1634">
        <v>1.7</v>
      </c>
      <c r="M6" s="1634" t="s">
        <v>1327</v>
      </c>
      <c r="N6" s="1634" t="s">
        <v>3234</v>
      </c>
      <c r="O6" s="1634" t="s">
        <v>3235</v>
      </c>
      <c r="P6" s="1634" t="s">
        <v>1327</v>
      </c>
      <c r="Q6" s="1634" t="s">
        <v>1327</v>
      </c>
      <c r="R6" s="1634" t="s">
        <v>1327</v>
      </c>
      <c r="S6" s="1634" t="s">
        <v>1327</v>
      </c>
      <c r="T6" s="1634" t="s">
        <v>3236</v>
      </c>
      <c r="U6" s="1634" t="s">
        <v>3237</v>
      </c>
      <c r="V6" s="1634" t="s">
        <v>1327</v>
      </c>
      <c r="W6" s="1634" t="s">
        <v>3238</v>
      </c>
      <c r="X6" s="1634" t="s">
        <v>3239</v>
      </c>
      <c r="Y6" s="1634" t="s">
        <v>3240</v>
      </c>
      <c r="Z6" s="1634" t="s">
        <v>3241</v>
      </c>
      <c r="AA6" s="1634" t="s">
        <v>3241</v>
      </c>
      <c r="AB6" s="1634" t="s">
        <v>3232</v>
      </c>
      <c r="AC6" s="1634" t="s">
        <v>3197</v>
      </c>
      <c r="AD6" s="1634" t="s">
        <v>3242</v>
      </c>
      <c r="AE6" s="1634">
        <v>136000</v>
      </c>
      <c r="AF6" s="1634">
        <v>453000</v>
      </c>
      <c r="AG6" s="1634">
        <v>545000</v>
      </c>
      <c r="AH6" s="1634">
        <v>1724.58</v>
      </c>
      <c r="AI6" s="1634">
        <v>2074.83</v>
      </c>
      <c r="AJ6" s="1634">
        <v>15121.21</v>
      </c>
      <c r="AK6" s="1634">
        <v>18192.2</v>
      </c>
      <c r="AL6" s="1634" t="s">
        <v>1327</v>
      </c>
      <c r="AM6" s="1634" t="s">
        <v>1327</v>
      </c>
      <c r="AN6" s="1634">
        <v>20.309999999999999</v>
      </c>
      <c r="AO6" s="1634" t="s">
        <v>3199</v>
      </c>
      <c r="AP6" s="1634" t="s">
        <v>1327</v>
      </c>
      <c r="AQ6" s="1634" t="s">
        <v>1327</v>
      </c>
      <c r="AR6" s="1634" t="s">
        <v>1327</v>
      </c>
      <c r="AS6" s="1634" t="s">
        <v>3200</v>
      </c>
    </row>
    <row r="7" spans="1:45">
      <c r="A7" s="1634" t="s">
        <v>3243</v>
      </c>
      <c r="B7" s="1634" t="s">
        <v>3095</v>
      </c>
      <c r="C7" s="1634" t="s">
        <v>3183</v>
      </c>
      <c r="D7" s="1634" t="s">
        <v>3184</v>
      </c>
      <c r="E7" s="1634" t="s">
        <v>1327</v>
      </c>
      <c r="F7" s="1634" t="s">
        <v>3244</v>
      </c>
      <c r="G7" s="1634" t="s">
        <v>3186</v>
      </c>
      <c r="H7" s="1634" t="s">
        <v>3245</v>
      </c>
      <c r="I7" s="1634" t="s">
        <v>3246</v>
      </c>
      <c r="J7" s="1634">
        <v>122262</v>
      </c>
      <c r="K7" s="1634">
        <v>285496</v>
      </c>
      <c r="L7" s="1634">
        <v>2.335</v>
      </c>
      <c r="M7" s="1634" t="s">
        <v>1327</v>
      </c>
      <c r="N7" s="1634" t="s">
        <v>3247</v>
      </c>
      <c r="O7" s="1634" t="s">
        <v>3248</v>
      </c>
      <c r="P7" s="1634" t="s">
        <v>1327</v>
      </c>
      <c r="Q7" s="1634" t="s">
        <v>1327</v>
      </c>
      <c r="R7" s="1634" t="s">
        <v>1327</v>
      </c>
      <c r="S7" s="1634" t="s">
        <v>3249</v>
      </c>
      <c r="T7" s="1634" t="s">
        <v>3250</v>
      </c>
      <c r="U7" s="1634" t="s">
        <v>3250</v>
      </c>
      <c r="V7" s="1634" t="s">
        <v>1327</v>
      </c>
      <c r="W7" s="1634" t="s">
        <v>3238</v>
      </c>
      <c r="X7" s="1634" t="s">
        <v>3251</v>
      </c>
      <c r="Y7" s="1634" t="s">
        <v>3252</v>
      </c>
      <c r="Z7" s="1634" t="s">
        <v>3253</v>
      </c>
      <c r="AA7" s="1634" t="s">
        <v>3253</v>
      </c>
      <c r="AB7" s="1634" t="s">
        <v>3245</v>
      </c>
      <c r="AC7" s="1634" t="s">
        <v>3197</v>
      </c>
      <c r="AD7" s="1634" t="s">
        <v>3254</v>
      </c>
      <c r="AE7" s="1634">
        <v>99000</v>
      </c>
      <c r="AF7" s="1634">
        <v>328500</v>
      </c>
      <c r="AG7" s="1634">
        <v>328500</v>
      </c>
      <c r="AH7" s="1634">
        <v>1791.24</v>
      </c>
      <c r="AI7" s="1634">
        <v>1791.24</v>
      </c>
      <c r="AJ7" s="1634">
        <v>11506.29</v>
      </c>
      <c r="AK7" s="1634">
        <v>11506.29</v>
      </c>
      <c r="AL7" s="1634" t="s">
        <v>1327</v>
      </c>
      <c r="AM7" s="1634" t="s">
        <v>1327</v>
      </c>
      <c r="AN7" s="1634">
        <v>0</v>
      </c>
      <c r="AO7" s="1634" t="s">
        <v>3199</v>
      </c>
      <c r="AP7" s="1634" t="s">
        <v>1327</v>
      </c>
      <c r="AQ7" s="1634" t="s">
        <v>1327</v>
      </c>
      <c r="AR7" s="1634" t="s">
        <v>1327</v>
      </c>
      <c r="AS7" s="1634" t="s">
        <v>3219</v>
      </c>
    </row>
    <row r="8" spans="1:45">
      <c r="A8" s="1634" t="s">
        <v>3255</v>
      </c>
      <c r="B8" s="1634" t="s">
        <v>3095</v>
      </c>
      <c r="C8" s="1634" t="s">
        <v>3183</v>
      </c>
      <c r="D8" s="1634" t="s">
        <v>3184</v>
      </c>
      <c r="E8" s="1634" t="s">
        <v>1327</v>
      </c>
      <c r="F8" s="1634" t="s">
        <v>3256</v>
      </c>
      <c r="G8" s="1634" t="s">
        <v>3186</v>
      </c>
      <c r="H8" s="1634" t="s">
        <v>3257</v>
      </c>
      <c r="I8" s="1634" t="s">
        <v>3258</v>
      </c>
      <c r="J8" s="1634">
        <v>71022.78</v>
      </c>
      <c r="K8" s="1634">
        <v>170414</v>
      </c>
      <c r="L8" s="1634">
        <v>2.4</v>
      </c>
      <c r="M8" s="1634" t="s">
        <v>1327</v>
      </c>
      <c r="N8" s="1634" t="s">
        <v>3259</v>
      </c>
      <c r="O8" s="1634" t="s">
        <v>3260</v>
      </c>
      <c r="P8" s="1634" t="s">
        <v>1327</v>
      </c>
      <c r="Q8" s="1634" t="s">
        <v>1327</v>
      </c>
      <c r="R8" s="1634" t="s">
        <v>1327</v>
      </c>
      <c r="S8" s="1634" t="s">
        <v>1327</v>
      </c>
      <c r="T8" s="1634" t="s">
        <v>3191</v>
      </c>
      <c r="U8" s="1634" t="s">
        <v>3261</v>
      </c>
      <c r="V8" s="1634" t="s">
        <v>1327</v>
      </c>
      <c r="W8" s="1634" t="s">
        <v>3262</v>
      </c>
      <c r="X8" s="1634" t="s">
        <v>3263</v>
      </c>
      <c r="Y8" s="1634" t="s">
        <v>3264</v>
      </c>
      <c r="Z8" s="1634" t="s">
        <v>3265</v>
      </c>
      <c r="AA8" s="1634" t="s">
        <v>3265</v>
      </c>
      <c r="AB8" s="1634" t="s">
        <v>3257</v>
      </c>
      <c r="AC8" s="1634" t="s">
        <v>3197</v>
      </c>
      <c r="AD8" s="1634" t="s">
        <v>3266</v>
      </c>
      <c r="AE8" s="1634">
        <v>135000</v>
      </c>
      <c r="AF8" s="1634">
        <v>450000</v>
      </c>
      <c r="AG8" s="1634">
        <v>648000</v>
      </c>
      <c r="AH8" s="1634">
        <v>4224</v>
      </c>
      <c r="AI8" s="1634">
        <v>6082.56</v>
      </c>
      <c r="AJ8" s="1634">
        <v>26406.28</v>
      </c>
      <c r="AK8" s="1634">
        <v>38025.040000000001</v>
      </c>
      <c r="AL8" s="1634" t="s">
        <v>1327</v>
      </c>
      <c r="AM8" s="1634" t="s">
        <v>1327</v>
      </c>
      <c r="AN8" s="1634">
        <v>44</v>
      </c>
      <c r="AO8" s="1634" t="s">
        <v>3199</v>
      </c>
      <c r="AP8" s="1634" t="s">
        <v>1327</v>
      </c>
      <c r="AQ8" s="1634">
        <v>3</v>
      </c>
      <c r="AR8" s="1634" t="s">
        <v>1327</v>
      </c>
      <c r="AS8" s="1634" t="s">
        <v>3212</v>
      </c>
    </row>
    <row r="9" spans="1:45">
      <c r="A9" s="1634" t="s">
        <v>3267</v>
      </c>
      <c r="B9" s="1634" t="s">
        <v>3095</v>
      </c>
      <c r="C9" s="1634" t="s">
        <v>3268</v>
      </c>
      <c r="D9" s="1634" t="s">
        <v>3184</v>
      </c>
      <c r="E9" s="1634" t="s">
        <v>1327</v>
      </c>
      <c r="F9" s="1634" t="s">
        <v>3269</v>
      </c>
      <c r="G9" s="1634" t="s">
        <v>3186</v>
      </c>
      <c r="H9" s="1634" t="s">
        <v>3270</v>
      </c>
      <c r="I9" s="1634" t="s">
        <v>3271</v>
      </c>
      <c r="J9" s="1634">
        <v>66465.42</v>
      </c>
      <c r="K9" s="1634">
        <v>99698</v>
      </c>
      <c r="L9" s="1634">
        <v>1.5</v>
      </c>
      <c r="M9" s="1634" t="s">
        <v>1327</v>
      </c>
      <c r="N9" s="1634" t="s">
        <v>3272</v>
      </c>
      <c r="O9" s="1634" t="s">
        <v>3273</v>
      </c>
      <c r="P9" s="1634" t="s">
        <v>1327</v>
      </c>
      <c r="Q9" s="1634" t="s">
        <v>1327</v>
      </c>
      <c r="R9" s="1634" t="s">
        <v>1327</v>
      </c>
      <c r="S9" s="1634" t="s">
        <v>3274</v>
      </c>
      <c r="T9" s="1634" t="s">
        <v>3250</v>
      </c>
      <c r="U9" s="1634" t="s">
        <v>3250</v>
      </c>
      <c r="V9" s="1634" t="s">
        <v>1327</v>
      </c>
      <c r="W9" s="1634" t="s">
        <v>3238</v>
      </c>
      <c r="X9" s="1634" t="s">
        <v>3275</v>
      </c>
      <c r="Y9" s="1634" t="s">
        <v>3276</v>
      </c>
      <c r="Z9" s="1634" t="s">
        <v>3277</v>
      </c>
      <c r="AA9" s="1634" t="s">
        <v>3277</v>
      </c>
      <c r="AB9" s="1634" t="s">
        <v>3270</v>
      </c>
      <c r="AC9" s="1634" t="s">
        <v>3197</v>
      </c>
      <c r="AD9" s="1634" t="s">
        <v>3254</v>
      </c>
      <c r="AE9" s="1634">
        <v>56000</v>
      </c>
      <c r="AF9" s="1634">
        <v>185000</v>
      </c>
      <c r="AG9" s="1634">
        <v>190000</v>
      </c>
      <c r="AH9" s="1634">
        <v>1855.6</v>
      </c>
      <c r="AI9" s="1634">
        <v>1905.75</v>
      </c>
      <c r="AJ9" s="1634">
        <v>18556.04</v>
      </c>
      <c r="AK9" s="1634">
        <v>19057.54</v>
      </c>
      <c r="AL9" s="1634" t="s">
        <v>1327</v>
      </c>
      <c r="AM9" s="1634" t="s">
        <v>1327</v>
      </c>
      <c r="AN9" s="1634">
        <v>2.7</v>
      </c>
      <c r="AO9" s="1634" t="s">
        <v>3199</v>
      </c>
      <c r="AP9" s="1634" t="s">
        <v>1327</v>
      </c>
      <c r="AQ9" s="1634" t="s">
        <v>1327</v>
      </c>
      <c r="AR9" s="1634" t="s">
        <v>1327</v>
      </c>
      <c r="AS9" s="1634" t="s">
        <v>3219</v>
      </c>
    </row>
    <row r="10" spans="1:45">
      <c r="A10" s="1634" t="s">
        <v>3278</v>
      </c>
      <c r="B10" s="1634" t="s">
        <v>3095</v>
      </c>
      <c r="C10" s="1634" t="s">
        <v>3268</v>
      </c>
      <c r="D10" s="1634" t="s">
        <v>3184</v>
      </c>
      <c r="E10" s="1634" t="s">
        <v>1327</v>
      </c>
      <c r="F10" s="1634" t="s">
        <v>3279</v>
      </c>
      <c r="G10" s="1634" t="s">
        <v>3186</v>
      </c>
      <c r="H10" s="1634" t="s">
        <v>3280</v>
      </c>
      <c r="I10" s="1634" t="s">
        <v>3271</v>
      </c>
      <c r="J10" s="1634">
        <v>30890.99</v>
      </c>
      <c r="K10" s="1634">
        <v>67960</v>
      </c>
      <c r="L10" s="1634">
        <v>2.2000000000000002</v>
      </c>
      <c r="M10" s="1634" t="s">
        <v>1327</v>
      </c>
      <c r="N10" s="1634" t="s">
        <v>3272</v>
      </c>
      <c r="O10" s="1634" t="s">
        <v>3281</v>
      </c>
      <c r="P10" s="1634" t="s">
        <v>1327</v>
      </c>
      <c r="Q10" s="1634" t="s">
        <v>1327</v>
      </c>
      <c r="R10" s="1634" t="s">
        <v>1327</v>
      </c>
      <c r="S10" s="1634" t="s">
        <v>1327</v>
      </c>
      <c r="T10" s="1634" t="s">
        <v>3191</v>
      </c>
      <c r="U10" s="1634" t="s">
        <v>3261</v>
      </c>
      <c r="V10" s="1634" t="s">
        <v>1327</v>
      </c>
      <c r="W10" s="1634" t="s">
        <v>3238</v>
      </c>
      <c r="X10" s="1634" t="s">
        <v>3282</v>
      </c>
      <c r="Y10" s="1634" t="s">
        <v>3283</v>
      </c>
      <c r="Z10" s="1634" t="s">
        <v>3284</v>
      </c>
      <c r="AA10" s="1634" t="s">
        <v>3284</v>
      </c>
      <c r="AB10" s="1634" t="s">
        <v>3280</v>
      </c>
      <c r="AC10" s="1634" t="s">
        <v>3197</v>
      </c>
      <c r="AD10" s="1634" t="s">
        <v>3285</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3199</v>
      </c>
      <c r="AP10" s="1634" t="s">
        <v>1327</v>
      </c>
      <c r="AQ10" s="1634">
        <v>15</v>
      </c>
      <c r="AR10" s="1634" t="s">
        <v>1327</v>
      </c>
      <c r="AS10" s="1634" t="s">
        <v>3200</v>
      </c>
    </row>
    <row r="11" spans="1:45" s="2959" customFormat="1">
      <c r="A11" s="2959" t="s">
        <v>3286</v>
      </c>
      <c r="B11" s="2959" t="s">
        <v>3095</v>
      </c>
      <c r="C11" s="2959" t="s">
        <v>3183</v>
      </c>
      <c r="D11" s="2959" t="s">
        <v>3184</v>
      </c>
      <c r="E11" s="2959" t="s">
        <v>1327</v>
      </c>
      <c r="F11" s="2959" t="s">
        <v>3244</v>
      </c>
      <c r="G11" s="2959" t="s">
        <v>3186</v>
      </c>
      <c r="H11" s="2959" t="s">
        <v>3287</v>
      </c>
      <c r="I11" s="2959" t="s">
        <v>3288</v>
      </c>
      <c r="J11" s="2959">
        <v>101259.5</v>
      </c>
      <c r="K11" s="2959">
        <v>202324</v>
      </c>
      <c r="L11" s="2959">
        <v>2</v>
      </c>
      <c r="M11" s="2959" t="s">
        <v>1327</v>
      </c>
      <c r="N11" s="2959" t="s">
        <v>3289</v>
      </c>
      <c r="O11" s="2959" t="s">
        <v>3289</v>
      </c>
      <c r="P11" s="2959" t="s">
        <v>1327</v>
      </c>
      <c r="Q11" s="2959" t="s">
        <v>1327</v>
      </c>
      <c r="R11" s="2959" t="s">
        <v>1327</v>
      </c>
      <c r="S11" s="2959" t="s">
        <v>1327</v>
      </c>
      <c r="T11" s="2959" t="s">
        <v>3226</v>
      </c>
      <c r="U11" s="2959" t="s">
        <v>3227</v>
      </c>
      <c r="V11" s="2959" t="s">
        <v>1327</v>
      </c>
      <c r="W11" s="2959" t="s">
        <v>3238</v>
      </c>
      <c r="X11" s="2959" t="s">
        <v>3290</v>
      </c>
      <c r="Y11" s="2959" t="s">
        <v>3291</v>
      </c>
      <c r="Z11" s="2959" t="s">
        <v>3292</v>
      </c>
      <c r="AA11" s="2959" t="s">
        <v>3292</v>
      </c>
      <c r="AB11" s="2959" t="s">
        <v>3287</v>
      </c>
      <c r="AC11" s="2959" t="s">
        <v>3197</v>
      </c>
      <c r="AD11" s="2959" t="s">
        <v>3293</v>
      </c>
      <c r="AE11" s="2959">
        <v>110000</v>
      </c>
      <c r="AF11" s="2959">
        <v>370000</v>
      </c>
      <c r="AG11" s="2959">
        <v>395000</v>
      </c>
      <c r="AH11" s="2959">
        <v>2435.9899999999998</v>
      </c>
      <c r="AI11" s="2959">
        <v>2600.58</v>
      </c>
      <c r="AJ11" s="2959">
        <v>18287.5</v>
      </c>
      <c r="AK11" s="2959">
        <v>19523.13</v>
      </c>
      <c r="AL11" s="2959" t="s">
        <v>1327</v>
      </c>
      <c r="AM11" s="2959" t="s">
        <v>1327</v>
      </c>
      <c r="AN11" s="2959">
        <v>6.76</v>
      </c>
      <c r="AO11" s="2959" t="s">
        <v>3199</v>
      </c>
      <c r="AP11" s="2959" t="s">
        <v>1327</v>
      </c>
      <c r="AQ11" s="2959" t="s">
        <v>1327</v>
      </c>
      <c r="AR11" s="2959" t="s">
        <v>1327</v>
      </c>
      <c r="AS11" s="2959" t="s">
        <v>3200</v>
      </c>
    </row>
    <row r="12" spans="1:45">
      <c r="A12" s="1634" t="s">
        <v>3294</v>
      </c>
      <c r="B12" s="1634" t="s">
        <v>3095</v>
      </c>
      <c r="C12" s="1634" t="s">
        <v>3268</v>
      </c>
      <c r="D12" s="1634" t="s">
        <v>3184</v>
      </c>
      <c r="E12" s="1634" t="s">
        <v>1327</v>
      </c>
      <c r="F12" s="1634" t="s">
        <v>3244</v>
      </c>
      <c r="G12" s="1634" t="s">
        <v>3186</v>
      </c>
      <c r="H12" s="1634" t="s">
        <v>3295</v>
      </c>
      <c r="I12" s="1634" t="s">
        <v>3271</v>
      </c>
      <c r="J12" s="1634">
        <v>44353.34</v>
      </c>
      <c r="K12" s="1634">
        <v>97577</v>
      </c>
      <c r="L12" s="1634">
        <v>2.2000000000000002</v>
      </c>
      <c r="M12" s="1634" t="s">
        <v>1327</v>
      </c>
      <c r="N12" s="1634" t="s">
        <v>3272</v>
      </c>
      <c r="O12" s="1634" t="s">
        <v>3296</v>
      </c>
      <c r="P12" s="1634" t="s">
        <v>1327</v>
      </c>
      <c r="Q12" s="1634" t="s">
        <v>1327</v>
      </c>
      <c r="R12" s="1634" t="s">
        <v>1327</v>
      </c>
      <c r="S12" s="1634" t="s">
        <v>3297</v>
      </c>
      <c r="T12" s="1634" t="s">
        <v>3250</v>
      </c>
      <c r="U12" s="1634" t="s">
        <v>3250</v>
      </c>
      <c r="V12" s="1634" t="s">
        <v>1327</v>
      </c>
      <c r="W12" s="1634" t="s">
        <v>3238</v>
      </c>
      <c r="X12" s="1634" t="s">
        <v>3298</v>
      </c>
      <c r="Y12" s="1634" t="s">
        <v>3299</v>
      </c>
      <c r="Z12" s="1634" t="s">
        <v>3300</v>
      </c>
      <c r="AA12" s="1634" t="s">
        <v>3300</v>
      </c>
      <c r="AB12" s="1634" t="s">
        <v>3295</v>
      </c>
      <c r="AC12" s="1634" t="s">
        <v>3197</v>
      </c>
      <c r="AD12" s="1634" t="s">
        <v>3301</v>
      </c>
      <c r="AE12" s="1634">
        <v>53000</v>
      </c>
      <c r="AF12" s="1634">
        <v>175000</v>
      </c>
      <c r="AG12" s="1634">
        <v>222000</v>
      </c>
      <c r="AH12" s="1634">
        <v>2630.39</v>
      </c>
      <c r="AI12" s="1634">
        <v>3336.84</v>
      </c>
      <c r="AJ12" s="1634">
        <v>17934.55</v>
      </c>
      <c r="AK12" s="1634">
        <v>22751.25</v>
      </c>
      <c r="AL12" s="1634" t="s">
        <v>1327</v>
      </c>
      <c r="AM12" s="1634" t="s">
        <v>1327</v>
      </c>
      <c r="AN12" s="1634">
        <v>26.86</v>
      </c>
      <c r="AO12" s="1634" t="s">
        <v>3199</v>
      </c>
      <c r="AP12" s="1634" t="s">
        <v>1327</v>
      </c>
      <c r="AQ12" s="1634" t="s">
        <v>1327</v>
      </c>
      <c r="AR12" s="1634" t="s">
        <v>1327</v>
      </c>
      <c r="AS12" s="1634" t="s">
        <v>3200</v>
      </c>
    </row>
    <row r="13" spans="1:45">
      <c r="A13" s="1634" t="s">
        <v>3302</v>
      </c>
      <c r="B13" s="1634" t="s">
        <v>3095</v>
      </c>
      <c r="C13" s="1634" t="s">
        <v>3183</v>
      </c>
      <c r="D13" s="1634" t="s">
        <v>3184</v>
      </c>
      <c r="E13" s="1634" t="s">
        <v>1327</v>
      </c>
      <c r="F13" s="1634" t="s">
        <v>3303</v>
      </c>
      <c r="G13" s="1634" t="s">
        <v>3186</v>
      </c>
      <c r="H13" s="1634" t="s">
        <v>3304</v>
      </c>
      <c r="I13" s="1634" t="s">
        <v>3305</v>
      </c>
      <c r="J13" s="1634">
        <v>89347.09</v>
      </c>
      <c r="K13" s="1634">
        <v>178694</v>
      </c>
      <c r="L13" s="1634">
        <v>2</v>
      </c>
      <c r="M13" s="1634" t="s">
        <v>1327</v>
      </c>
      <c r="N13" s="1634" t="s">
        <v>1327</v>
      </c>
      <c r="O13" s="1634" t="s">
        <v>1327</v>
      </c>
      <c r="P13" s="1634" t="s">
        <v>3306</v>
      </c>
      <c r="Q13" s="1634">
        <v>37500</v>
      </c>
      <c r="R13" s="1634">
        <v>57500</v>
      </c>
      <c r="S13" s="1634" t="s">
        <v>1327</v>
      </c>
      <c r="T13" s="1634" t="s">
        <v>1327</v>
      </c>
      <c r="U13" s="1634" t="s">
        <v>1327</v>
      </c>
      <c r="V13" s="1634" t="s">
        <v>1327</v>
      </c>
      <c r="W13" s="1634" t="s">
        <v>3262</v>
      </c>
      <c r="X13" s="1634" t="s">
        <v>3307</v>
      </c>
      <c r="Y13" s="1634" t="s">
        <v>3308</v>
      </c>
      <c r="Z13" s="1634" t="s">
        <v>3309</v>
      </c>
      <c r="AA13" s="1634" t="s">
        <v>3309</v>
      </c>
      <c r="AB13" s="1634" t="s">
        <v>3304</v>
      </c>
      <c r="AC13" s="1634" t="s">
        <v>3197</v>
      </c>
      <c r="AD13" s="1634" t="s">
        <v>3310</v>
      </c>
      <c r="AE13" s="1634">
        <v>64000</v>
      </c>
      <c r="AF13" s="1634">
        <v>213000</v>
      </c>
      <c r="AG13" s="1634">
        <v>319500</v>
      </c>
      <c r="AH13" s="1634">
        <v>1589.31</v>
      </c>
      <c r="AI13" s="1634">
        <v>2383.96</v>
      </c>
      <c r="AJ13" s="1634">
        <v>11919.81</v>
      </c>
      <c r="AK13" s="1634">
        <v>17879.72</v>
      </c>
      <c r="AL13" s="1634">
        <v>15086</v>
      </c>
      <c r="AM13" s="1634">
        <v>26363</v>
      </c>
      <c r="AN13" s="1634">
        <v>50</v>
      </c>
      <c r="AO13" s="1634" t="s">
        <v>3199</v>
      </c>
      <c r="AP13" s="1634" t="s">
        <v>1327</v>
      </c>
      <c r="AQ13" s="1634" t="s">
        <v>1327</v>
      </c>
      <c r="AR13" s="1634" t="s">
        <v>1327</v>
      </c>
      <c r="AS13" s="1634" t="s">
        <v>3200</v>
      </c>
    </row>
    <row r="14" spans="1:45">
      <c r="A14" s="1634" t="s">
        <v>3311</v>
      </c>
      <c r="B14" s="1634" t="s">
        <v>3095</v>
      </c>
      <c r="C14" s="1634" t="s">
        <v>3183</v>
      </c>
      <c r="D14" s="1634" t="s">
        <v>3184</v>
      </c>
      <c r="E14" s="1634" t="s">
        <v>1327</v>
      </c>
      <c r="F14" s="1634" t="s">
        <v>3303</v>
      </c>
      <c r="G14" s="1634" t="s">
        <v>3186</v>
      </c>
      <c r="H14" s="1634" t="s">
        <v>3312</v>
      </c>
      <c r="I14" s="1634" t="s">
        <v>3305</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3262</v>
      </c>
      <c r="X14" s="1634" t="s">
        <v>3307</v>
      </c>
      <c r="Y14" s="1634" t="s">
        <v>3308</v>
      </c>
      <c r="Z14" s="1634" t="s">
        <v>3309</v>
      </c>
      <c r="AA14" s="1634" t="s">
        <v>3309</v>
      </c>
      <c r="AB14" s="1634" t="s">
        <v>3312</v>
      </c>
      <c r="AC14" s="1634" t="s">
        <v>3197</v>
      </c>
      <c r="AD14" s="1634" t="s">
        <v>3310</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3199</v>
      </c>
      <c r="AP14" s="1634" t="s">
        <v>1327</v>
      </c>
      <c r="AQ14" s="1634" t="s">
        <v>1327</v>
      </c>
      <c r="AR14" s="1634" t="s">
        <v>1327</v>
      </c>
      <c r="AS14" s="1634" t="s">
        <v>3200</v>
      </c>
    </row>
    <row r="15" spans="1:45">
      <c r="A15" s="1634" t="s">
        <v>3313</v>
      </c>
      <c r="B15" s="1634" t="s">
        <v>3095</v>
      </c>
      <c r="C15" s="1634" t="s">
        <v>3183</v>
      </c>
      <c r="D15" s="1634" t="s">
        <v>3184</v>
      </c>
      <c r="E15" s="1634" t="s">
        <v>1327</v>
      </c>
      <c r="F15" s="1634" t="s">
        <v>3314</v>
      </c>
      <c r="G15" s="1634" t="s">
        <v>3186</v>
      </c>
      <c r="H15" s="1634" t="s">
        <v>3315</v>
      </c>
      <c r="I15" s="1634" t="s">
        <v>3316</v>
      </c>
      <c r="J15" s="1634">
        <v>52140.02</v>
      </c>
      <c r="K15" s="1634">
        <v>83940</v>
      </c>
      <c r="L15" s="1634">
        <v>1.6</v>
      </c>
      <c r="M15" s="1634" t="s">
        <v>1327</v>
      </c>
      <c r="N15" s="1634" t="s">
        <v>1327</v>
      </c>
      <c r="O15" s="1634" t="s">
        <v>1327</v>
      </c>
      <c r="P15" s="1634" t="s">
        <v>3317</v>
      </c>
      <c r="Q15" s="1634" t="s">
        <v>1327</v>
      </c>
      <c r="R15" s="1634" t="s">
        <v>1327</v>
      </c>
      <c r="S15" s="1634" t="s">
        <v>1327</v>
      </c>
      <c r="T15" s="1634" t="s">
        <v>1327</v>
      </c>
      <c r="U15" s="1634" t="s">
        <v>1327</v>
      </c>
      <c r="V15" s="1634" t="s">
        <v>1327</v>
      </c>
      <c r="W15" s="1634" t="s">
        <v>3262</v>
      </c>
      <c r="X15" s="1634" t="s">
        <v>3318</v>
      </c>
      <c r="Y15" s="1634" t="s">
        <v>3319</v>
      </c>
      <c r="Z15" s="1634" t="s">
        <v>3320</v>
      </c>
      <c r="AA15" s="1634" t="s">
        <v>3320</v>
      </c>
      <c r="AB15" s="1634" t="s">
        <v>3315</v>
      </c>
      <c r="AC15" s="1634" t="s">
        <v>3197</v>
      </c>
      <c r="AD15" s="1634" t="s">
        <v>3321</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3199</v>
      </c>
      <c r="AP15" s="1634" t="s">
        <v>1327</v>
      </c>
      <c r="AQ15" s="1634" t="s">
        <v>1327</v>
      </c>
      <c r="AR15" s="1634" t="s">
        <v>1327</v>
      </c>
      <c r="AS15" s="1634" t="s">
        <v>3212</v>
      </c>
    </row>
    <row r="16" spans="1:45">
      <c r="A16" s="1634" t="s">
        <v>3322</v>
      </c>
      <c r="B16" s="1634" t="s">
        <v>3095</v>
      </c>
      <c r="C16" s="1634" t="s">
        <v>3183</v>
      </c>
      <c r="D16" s="1634" t="s">
        <v>3184</v>
      </c>
      <c r="E16" s="1634" t="s">
        <v>1327</v>
      </c>
      <c r="F16" s="1634" t="s">
        <v>3323</v>
      </c>
      <c r="G16" s="1634" t="s">
        <v>3186</v>
      </c>
      <c r="H16" s="1634" t="s">
        <v>3324</v>
      </c>
      <c r="I16" s="1634" t="s">
        <v>3325</v>
      </c>
      <c r="J16" s="1634">
        <v>42685.77</v>
      </c>
      <c r="K16" s="1634">
        <v>124350</v>
      </c>
      <c r="L16" s="1634">
        <v>2.91</v>
      </c>
      <c r="M16" s="1634" t="s">
        <v>1327</v>
      </c>
      <c r="N16" s="1634" t="s">
        <v>1327</v>
      </c>
      <c r="O16" s="1634" t="s">
        <v>1327</v>
      </c>
      <c r="P16" s="1634" t="s">
        <v>3306</v>
      </c>
      <c r="Q16" s="1634">
        <v>17400</v>
      </c>
      <c r="R16" s="1634">
        <v>17400</v>
      </c>
      <c r="S16" s="1634" t="s">
        <v>1327</v>
      </c>
      <c r="T16" s="1634" t="s">
        <v>1327</v>
      </c>
      <c r="U16" s="1634" t="s">
        <v>1327</v>
      </c>
      <c r="V16" s="1634" t="s">
        <v>1327</v>
      </c>
      <c r="W16" s="1634" t="s">
        <v>3262</v>
      </c>
      <c r="X16" s="1634" t="s">
        <v>3326</v>
      </c>
      <c r="Y16" s="1634" t="s">
        <v>3327</v>
      </c>
      <c r="Z16" s="1634" t="s">
        <v>3328</v>
      </c>
      <c r="AA16" s="1634" t="s">
        <v>3328</v>
      </c>
      <c r="AB16" s="1634" t="s">
        <v>3324</v>
      </c>
      <c r="AC16" s="1634" t="s">
        <v>3197</v>
      </c>
      <c r="AD16" s="1634" t="s">
        <v>3329</v>
      </c>
      <c r="AE16" s="1634">
        <v>38000</v>
      </c>
      <c r="AF16" s="1634">
        <v>126100</v>
      </c>
      <c r="AG16" s="1634">
        <v>172000</v>
      </c>
      <c r="AH16" s="1634">
        <v>1969.43</v>
      </c>
      <c r="AI16" s="1634">
        <v>2686.3</v>
      </c>
      <c r="AJ16" s="1634">
        <v>10140.73</v>
      </c>
      <c r="AK16" s="1634">
        <v>13831.93</v>
      </c>
      <c r="AL16" s="1634">
        <v>11791</v>
      </c>
      <c r="AM16" s="1634">
        <v>16082</v>
      </c>
      <c r="AN16" s="1634">
        <v>36.4</v>
      </c>
      <c r="AO16" s="1634" t="s">
        <v>3199</v>
      </c>
      <c r="AP16" s="1634" t="s">
        <v>1327</v>
      </c>
      <c r="AQ16" s="1634" t="s">
        <v>1327</v>
      </c>
      <c r="AR16" s="1634" t="s">
        <v>1327</v>
      </c>
      <c r="AS16" s="1634" t="s">
        <v>3200</v>
      </c>
    </row>
    <row r="17" spans="1:45">
      <c r="A17" s="1634" t="s">
        <v>3330</v>
      </c>
      <c r="B17" s="1634" t="s">
        <v>3095</v>
      </c>
      <c r="C17" s="1634" t="s">
        <v>3183</v>
      </c>
      <c r="D17" s="1634" t="s">
        <v>3184</v>
      </c>
      <c r="E17" s="1634" t="s">
        <v>1327</v>
      </c>
      <c r="F17" s="1634" t="s">
        <v>3323</v>
      </c>
      <c r="G17" s="1634" t="s">
        <v>3186</v>
      </c>
      <c r="H17" s="1634" t="s">
        <v>3331</v>
      </c>
      <c r="I17" s="1634" t="s">
        <v>3332</v>
      </c>
      <c r="J17" s="1634">
        <v>90996.11</v>
      </c>
      <c r="K17" s="1634">
        <v>343161</v>
      </c>
      <c r="L17" s="1634">
        <v>3.77</v>
      </c>
      <c r="M17" s="1634" t="s">
        <v>1327</v>
      </c>
      <c r="N17" s="1634" t="s">
        <v>1327</v>
      </c>
      <c r="O17" s="1634" t="s">
        <v>1327</v>
      </c>
      <c r="P17" s="1634" t="s">
        <v>3306</v>
      </c>
      <c r="Q17" s="1634">
        <v>26300</v>
      </c>
      <c r="R17" s="1634">
        <v>26300</v>
      </c>
      <c r="S17" s="1634" t="s">
        <v>1327</v>
      </c>
      <c r="T17" s="1634" t="s">
        <v>1327</v>
      </c>
      <c r="U17" s="1634" t="s">
        <v>1327</v>
      </c>
      <c r="V17" s="1634" t="s">
        <v>1327</v>
      </c>
      <c r="W17" s="1634" t="s">
        <v>3262</v>
      </c>
      <c r="X17" s="1634" t="s">
        <v>3326</v>
      </c>
      <c r="Y17" s="1634" t="s">
        <v>3327</v>
      </c>
      <c r="Z17" s="1634" t="s">
        <v>3328</v>
      </c>
      <c r="AA17" s="1634" t="s">
        <v>3328</v>
      </c>
      <c r="AB17" s="1634" t="s">
        <v>3331</v>
      </c>
      <c r="AC17" s="1634" t="s">
        <v>3197</v>
      </c>
      <c r="AD17" s="1634" t="s">
        <v>3329</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3333</v>
      </c>
      <c r="AP17" s="1634" t="s">
        <v>1327</v>
      </c>
      <c r="AQ17" s="1634" t="s">
        <v>1327</v>
      </c>
      <c r="AR17" s="1634" t="s">
        <v>1327</v>
      </c>
      <c r="AS17" s="1634" t="s">
        <v>3200</v>
      </c>
    </row>
    <row r="18" spans="1:45">
      <c r="A18" s="1634" t="s">
        <v>3334</v>
      </c>
      <c r="B18" s="1634" t="s">
        <v>3095</v>
      </c>
      <c r="C18" s="1634" t="s">
        <v>3183</v>
      </c>
      <c r="D18" s="1634" t="s">
        <v>3184</v>
      </c>
      <c r="E18" s="1634" t="s">
        <v>1327</v>
      </c>
      <c r="F18" s="1634" t="s">
        <v>3244</v>
      </c>
      <c r="G18" s="1634" t="s">
        <v>3186</v>
      </c>
      <c r="H18" s="1634" t="s">
        <v>3335</v>
      </c>
      <c r="I18" s="1634" t="s">
        <v>3336</v>
      </c>
      <c r="J18" s="1634">
        <v>73293.58</v>
      </c>
      <c r="K18" s="1634">
        <v>143980</v>
      </c>
      <c r="L18" s="1634">
        <v>1.96</v>
      </c>
      <c r="M18" s="1634" t="s">
        <v>1327</v>
      </c>
      <c r="N18" s="1634" t="s">
        <v>1327</v>
      </c>
      <c r="O18" s="1634" t="s">
        <v>1327</v>
      </c>
      <c r="P18" s="1634" t="s">
        <v>3317</v>
      </c>
      <c r="Q18" s="1634">
        <v>34700</v>
      </c>
      <c r="R18" s="1634">
        <v>72700</v>
      </c>
      <c r="S18" s="1634" t="s">
        <v>1327</v>
      </c>
      <c r="T18" s="1634" t="s">
        <v>1327</v>
      </c>
      <c r="U18" s="1634" t="s">
        <v>1327</v>
      </c>
      <c r="V18" s="1634" t="s">
        <v>1327</v>
      </c>
      <c r="W18" s="1634" t="s">
        <v>3262</v>
      </c>
      <c r="X18" s="1634" t="s">
        <v>3337</v>
      </c>
      <c r="Y18" s="1634" t="s">
        <v>3338</v>
      </c>
      <c r="Z18" s="1634" t="s">
        <v>3339</v>
      </c>
      <c r="AA18" s="1634" t="s">
        <v>3339</v>
      </c>
      <c r="AB18" s="1634" t="s">
        <v>3335</v>
      </c>
      <c r="AC18" s="1634" t="s">
        <v>3197</v>
      </c>
      <c r="AD18" s="1634" t="s">
        <v>3340</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3333</v>
      </c>
      <c r="AP18" s="1634" t="s">
        <v>1327</v>
      </c>
      <c r="AQ18" s="1634" t="s">
        <v>1327</v>
      </c>
      <c r="AR18" s="1634" t="s">
        <v>1327</v>
      </c>
      <c r="AS18" s="1634" t="s">
        <v>3219</v>
      </c>
    </row>
    <row r="19" spans="1:45">
      <c r="A19" s="1634" t="s">
        <v>3341</v>
      </c>
      <c r="B19" s="1634" t="s">
        <v>3095</v>
      </c>
      <c r="C19" s="1634" t="s">
        <v>3183</v>
      </c>
      <c r="D19" s="1634" t="s">
        <v>3184</v>
      </c>
      <c r="E19" s="1634" t="s">
        <v>1327</v>
      </c>
      <c r="F19" s="1634" t="s">
        <v>3244</v>
      </c>
      <c r="G19" s="1634" t="s">
        <v>3186</v>
      </c>
      <c r="H19" s="1634" t="s">
        <v>3342</v>
      </c>
      <c r="I19" s="1634" t="s">
        <v>3343</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3262</v>
      </c>
      <c r="X19" s="1634" t="s">
        <v>3337</v>
      </c>
      <c r="Y19" s="1634" t="s">
        <v>3338</v>
      </c>
      <c r="Z19" s="1634" t="s">
        <v>3339</v>
      </c>
      <c r="AA19" s="1634" t="s">
        <v>3339</v>
      </c>
      <c r="AB19" s="1634" t="s">
        <v>3342</v>
      </c>
      <c r="AC19" s="1634" t="s">
        <v>3197</v>
      </c>
      <c r="AD19" s="1634" t="s">
        <v>3340</v>
      </c>
      <c r="AE19" s="1634">
        <v>51000</v>
      </c>
      <c r="AF19" s="1634">
        <v>168300</v>
      </c>
      <c r="AG19" s="1634">
        <v>252400</v>
      </c>
      <c r="AH19" s="1634">
        <v>1191.0999999999999</v>
      </c>
      <c r="AI19" s="1634">
        <v>1786.3</v>
      </c>
      <c r="AJ19" s="1634">
        <v>8976.9</v>
      </c>
      <c r="AK19" s="1634">
        <v>13462.7</v>
      </c>
      <c r="AL19" s="1634">
        <v>14779</v>
      </c>
      <c r="AM19" s="1634">
        <v>35114</v>
      </c>
      <c r="AN19" s="1634">
        <v>49.97</v>
      </c>
      <c r="AO19" s="1634" t="s">
        <v>3333</v>
      </c>
      <c r="AP19" s="1634" t="s">
        <v>1327</v>
      </c>
      <c r="AQ19" s="1634" t="s">
        <v>1327</v>
      </c>
      <c r="AR19" s="1634" t="s">
        <v>1327</v>
      </c>
      <c r="AS19" s="1634" t="s">
        <v>3219</v>
      </c>
    </row>
    <row r="20" spans="1:45">
      <c r="A20" s="1634" t="s">
        <v>3344</v>
      </c>
      <c r="B20" s="1634" t="s">
        <v>3095</v>
      </c>
      <c r="C20" s="1634" t="s">
        <v>3202</v>
      </c>
      <c r="D20" s="1634" t="s">
        <v>3184</v>
      </c>
      <c r="E20" s="1634" t="s">
        <v>1327</v>
      </c>
      <c r="F20" s="1634" t="s">
        <v>3244</v>
      </c>
      <c r="G20" s="1634" t="s">
        <v>3186</v>
      </c>
      <c r="H20" s="1634" t="s">
        <v>3345</v>
      </c>
      <c r="I20" s="1634" t="s">
        <v>3204</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3262</v>
      </c>
      <c r="X20" s="1634" t="s">
        <v>3337</v>
      </c>
      <c r="Y20" s="1634" t="s">
        <v>3338</v>
      </c>
      <c r="Z20" s="1634" t="s">
        <v>3339</v>
      </c>
      <c r="AA20" s="1634" t="s">
        <v>3339</v>
      </c>
      <c r="AB20" s="1634" t="s">
        <v>3345</v>
      </c>
      <c r="AC20" s="1634" t="s">
        <v>3197</v>
      </c>
      <c r="AD20" s="1634" t="s">
        <v>3346</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3211</v>
      </c>
      <c r="AP20" s="1634" t="s">
        <v>1327</v>
      </c>
      <c r="AQ20" s="1634" t="s">
        <v>1327</v>
      </c>
      <c r="AR20" s="1634" t="s">
        <v>1327</v>
      </c>
      <c r="AS20" s="1634" t="s">
        <v>3219</v>
      </c>
    </row>
    <row r="21" spans="1:45">
      <c r="A21" s="1634" t="s">
        <v>3347</v>
      </c>
      <c r="B21" s="1634" t="s">
        <v>3095</v>
      </c>
      <c r="C21" s="1634" t="s">
        <v>3183</v>
      </c>
      <c r="D21" s="1634" t="s">
        <v>3184</v>
      </c>
      <c r="E21" s="1634" t="s">
        <v>1327</v>
      </c>
      <c r="F21" s="1634" t="s">
        <v>3303</v>
      </c>
      <c r="G21" s="1634" t="s">
        <v>3186</v>
      </c>
      <c r="H21" s="1634" t="s">
        <v>3348</v>
      </c>
      <c r="I21" s="1634" t="s">
        <v>3305</v>
      </c>
      <c r="J21" s="1634">
        <v>48775.519999999997</v>
      </c>
      <c r="K21" s="1634">
        <v>121939</v>
      </c>
      <c r="L21" s="1634">
        <v>2.5</v>
      </c>
      <c r="M21" s="1634" t="s">
        <v>1327</v>
      </c>
      <c r="N21" s="1634" t="s">
        <v>1327</v>
      </c>
      <c r="O21" s="1634" t="s">
        <v>1327</v>
      </c>
      <c r="P21" s="1634" t="s">
        <v>3306</v>
      </c>
      <c r="Q21" s="1634">
        <v>25600</v>
      </c>
      <c r="R21" s="1634">
        <v>45600</v>
      </c>
      <c r="S21" s="1634" t="s">
        <v>1327</v>
      </c>
      <c r="T21" s="1634" t="s">
        <v>1327</v>
      </c>
      <c r="U21" s="1634" t="s">
        <v>1327</v>
      </c>
      <c r="V21" s="1634" t="s">
        <v>1327</v>
      </c>
      <c r="W21" s="1634" t="s">
        <v>3262</v>
      </c>
      <c r="X21" s="1634" t="s">
        <v>3349</v>
      </c>
      <c r="Y21" s="1634" t="s">
        <v>3350</v>
      </c>
      <c r="Z21" s="1634" t="s">
        <v>3351</v>
      </c>
      <c r="AA21" s="1634" t="s">
        <v>3351</v>
      </c>
      <c r="AB21" s="1634" t="s">
        <v>3348</v>
      </c>
      <c r="AC21" s="1634" t="s">
        <v>3197</v>
      </c>
      <c r="AD21" s="1634" t="s">
        <v>3352</v>
      </c>
      <c r="AE21" s="1634">
        <v>29000</v>
      </c>
      <c r="AF21" s="1634">
        <v>95000</v>
      </c>
      <c r="AG21" s="1634">
        <v>142500</v>
      </c>
      <c r="AH21" s="1634">
        <v>1298.47</v>
      </c>
      <c r="AI21" s="1634">
        <v>1947.7</v>
      </c>
      <c r="AJ21" s="1634">
        <v>7790.78</v>
      </c>
      <c r="AK21" s="1634">
        <v>11686.17</v>
      </c>
      <c r="AL21" s="1634">
        <v>9861</v>
      </c>
      <c r="AM21" s="1634">
        <v>18667</v>
      </c>
      <c r="AN21" s="1634">
        <v>50</v>
      </c>
      <c r="AO21" s="1634" t="s">
        <v>3333</v>
      </c>
      <c r="AP21" s="1634" t="s">
        <v>1327</v>
      </c>
      <c r="AQ21" s="1634" t="s">
        <v>1327</v>
      </c>
      <c r="AR21" s="1634" t="s">
        <v>1327</v>
      </c>
      <c r="AS21" s="1634" t="s">
        <v>3212</v>
      </c>
    </row>
    <row r="22" spans="1:45">
      <c r="A22" s="1634" t="s">
        <v>3353</v>
      </c>
      <c r="B22" s="1634" t="s">
        <v>3095</v>
      </c>
      <c r="C22" s="1634" t="s">
        <v>3183</v>
      </c>
      <c r="D22" s="1634" t="s">
        <v>3184</v>
      </c>
      <c r="E22" s="1634" t="s">
        <v>1327</v>
      </c>
      <c r="F22" s="1634" t="s">
        <v>3303</v>
      </c>
      <c r="G22" s="1634" t="s">
        <v>3186</v>
      </c>
      <c r="H22" s="1634" t="s">
        <v>3354</v>
      </c>
      <c r="I22" s="1634" t="s">
        <v>3305</v>
      </c>
      <c r="J22" s="1634">
        <v>83892.99</v>
      </c>
      <c r="K22" s="1634">
        <v>209732</v>
      </c>
      <c r="L22" s="1634">
        <v>2.5</v>
      </c>
      <c r="M22" s="1634" t="s">
        <v>1327</v>
      </c>
      <c r="N22" s="1634" t="s">
        <v>1327</v>
      </c>
      <c r="O22" s="1634" t="s">
        <v>1327</v>
      </c>
      <c r="P22" s="1634" t="s">
        <v>3317</v>
      </c>
      <c r="Q22" s="1634">
        <v>44000</v>
      </c>
      <c r="R22" s="1634">
        <v>49000</v>
      </c>
      <c r="S22" s="1634" t="s">
        <v>1327</v>
      </c>
      <c r="T22" s="1634" t="s">
        <v>1327</v>
      </c>
      <c r="U22" s="1634" t="s">
        <v>1327</v>
      </c>
      <c r="V22" s="1634" t="s">
        <v>1327</v>
      </c>
      <c r="W22" s="1634" t="s">
        <v>3262</v>
      </c>
      <c r="X22" s="1634" t="s">
        <v>3349</v>
      </c>
      <c r="Y22" s="1634" t="s">
        <v>3350</v>
      </c>
      <c r="Z22" s="1634" t="s">
        <v>3351</v>
      </c>
      <c r="AA22" s="1634" t="s">
        <v>3351</v>
      </c>
      <c r="AB22" s="1634" t="s">
        <v>3354</v>
      </c>
      <c r="AC22" s="1634" t="s">
        <v>3197</v>
      </c>
      <c r="AD22" s="1634" t="s">
        <v>3355</v>
      </c>
      <c r="AE22" s="1634">
        <v>56000</v>
      </c>
      <c r="AF22" s="1634">
        <v>185000</v>
      </c>
      <c r="AG22" s="1634">
        <v>277500</v>
      </c>
      <c r="AH22" s="1634">
        <v>1470.13</v>
      </c>
      <c r="AI22" s="1634">
        <v>2205.19</v>
      </c>
      <c r="AJ22" s="1634">
        <v>8820.7800000000007</v>
      </c>
      <c r="AK22" s="1634">
        <v>13231.17</v>
      </c>
      <c r="AL22" s="1634">
        <v>11163</v>
      </c>
      <c r="AM22" s="1634">
        <v>17265</v>
      </c>
      <c r="AN22" s="1634">
        <v>50</v>
      </c>
      <c r="AO22" s="1634" t="s">
        <v>3333</v>
      </c>
      <c r="AP22" s="1634" t="s">
        <v>1327</v>
      </c>
      <c r="AQ22" s="1634" t="s">
        <v>1327</v>
      </c>
      <c r="AR22" s="1634" t="s">
        <v>1327</v>
      </c>
      <c r="AS22" s="1634" t="s">
        <v>3212</v>
      </c>
    </row>
    <row r="23" spans="1:45" s="2960" customFormat="1" ht="13.2">
      <c r="A23" s="2960" t="s">
        <v>3356</v>
      </c>
      <c r="B23" s="2960" t="s">
        <v>3095</v>
      </c>
      <c r="C23" s="2960" t="s">
        <v>3183</v>
      </c>
      <c r="D23" s="2960" t="s">
        <v>3184</v>
      </c>
      <c r="E23" s="2960" t="s">
        <v>1327</v>
      </c>
      <c r="F23" s="2960" t="s">
        <v>3357</v>
      </c>
      <c r="G23" s="2960" t="s">
        <v>3186</v>
      </c>
      <c r="H23" s="2960" t="s">
        <v>3358</v>
      </c>
      <c r="I23" s="2960" t="s">
        <v>3223</v>
      </c>
      <c r="J23" s="2960">
        <v>23730.99</v>
      </c>
      <c r="K23" s="2960">
        <v>82887</v>
      </c>
      <c r="L23" s="2960">
        <v>3.49</v>
      </c>
      <c r="M23" s="2960" t="s">
        <v>1327</v>
      </c>
      <c r="N23" s="2960" t="s">
        <v>1327</v>
      </c>
      <c r="O23" s="2960" t="s">
        <v>1327</v>
      </c>
      <c r="P23" s="2960" t="s">
        <v>3306</v>
      </c>
      <c r="Q23" s="2960">
        <v>7600</v>
      </c>
      <c r="R23" s="2960">
        <v>7600</v>
      </c>
      <c r="S23" s="2960" t="s">
        <v>1327</v>
      </c>
      <c r="T23" s="2960" t="s">
        <v>1327</v>
      </c>
      <c r="U23" s="2960" t="s">
        <v>1327</v>
      </c>
      <c r="V23" s="2960" t="s">
        <v>1327</v>
      </c>
      <c r="W23" s="2960" t="s">
        <v>3262</v>
      </c>
      <c r="X23" s="2960" t="s">
        <v>3359</v>
      </c>
      <c r="Y23" s="2960" t="s">
        <v>3360</v>
      </c>
      <c r="Z23" s="2960" t="s">
        <v>3361</v>
      </c>
      <c r="AA23" s="2960" t="s">
        <v>3361</v>
      </c>
      <c r="AB23" s="2960" t="s">
        <v>3358</v>
      </c>
      <c r="AC23" s="2960" t="s">
        <v>3197</v>
      </c>
      <c r="AD23" s="2960" t="s">
        <v>3362</v>
      </c>
      <c r="AE23" s="2960">
        <v>28000</v>
      </c>
      <c r="AF23" s="2960">
        <v>92000</v>
      </c>
      <c r="AG23" s="2960">
        <v>95000</v>
      </c>
      <c r="AH23" s="2960">
        <v>2584.52</v>
      </c>
      <c r="AI23" s="2960">
        <v>2668.8</v>
      </c>
      <c r="AJ23" s="2960">
        <v>11099.44</v>
      </c>
      <c r="AK23" s="2960">
        <v>11461.38</v>
      </c>
      <c r="AL23" s="2960">
        <v>12220</v>
      </c>
      <c r="AM23" s="2960">
        <v>12618</v>
      </c>
      <c r="AN23" s="2960">
        <v>3.26</v>
      </c>
      <c r="AO23" s="2960" t="s">
        <v>3363</v>
      </c>
      <c r="AP23" s="2960" t="s">
        <v>1327</v>
      </c>
      <c r="AQ23" s="2960" t="s">
        <v>1327</v>
      </c>
      <c r="AR23" s="2960" t="s">
        <v>1327</v>
      </c>
      <c r="AS23" s="2960" t="s">
        <v>3219</v>
      </c>
    </row>
    <row r="24" spans="1:45">
      <c r="A24" s="1634" t="s">
        <v>3364</v>
      </c>
      <c r="B24" s="1634" t="s">
        <v>3095</v>
      </c>
      <c r="C24" s="1634" t="s">
        <v>3183</v>
      </c>
      <c r="D24" s="1634" t="s">
        <v>3184</v>
      </c>
      <c r="E24" s="1634" t="s">
        <v>1327</v>
      </c>
      <c r="F24" s="1634" t="s">
        <v>3244</v>
      </c>
      <c r="G24" s="1634" t="s">
        <v>3186</v>
      </c>
      <c r="H24" s="1634" t="s">
        <v>3365</v>
      </c>
      <c r="I24" s="1634" t="s">
        <v>3305</v>
      </c>
      <c r="J24" s="1634">
        <v>27393.33</v>
      </c>
      <c r="K24" s="1634">
        <v>86217</v>
      </c>
      <c r="L24" s="1634">
        <v>3.15</v>
      </c>
      <c r="M24" s="1634" t="s">
        <v>1327</v>
      </c>
      <c r="N24" s="1634" t="s">
        <v>1327</v>
      </c>
      <c r="O24" s="1634" t="s">
        <v>1327</v>
      </c>
      <c r="P24" s="1634" t="s">
        <v>3306</v>
      </c>
      <c r="Q24" s="1634">
        <v>18100</v>
      </c>
      <c r="R24" s="1634">
        <v>18100</v>
      </c>
      <c r="S24" s="1634" t="s">
        <v>3366</v>
      </c>
      <c r="T24" s="1634" t="s">
        <v>1327</v>
      </c>
      <c r="U24" s="1634" t="s">
        <v>1327</v>
      </c>
      <c r="V24" s="1634" t="s">
        <v>1327</v>
      </c>
      <c r="W24" s="1634" t="s">
        <v>3262</v>
      </c>
      <c r="X24" s="1634" t="s">
        <v>3359</v>
      </c>
      <c r="Y24" s="1634" t="s">
        <v>3360</v>
      </c>
      <c r="Z24" s="1634" t="s">
        <v>3361</v>
      </c>
      <c r="AA24" s="1634" t="s">
        <v>3361</v>
      </c>
      <c r="AB24" s="1634" t="s">
        <v>3365</v>
      </c>
      <c r="AC24" s="1634" t="s">
        <v>3197</v>
      </c>
      <c r="AD24" s="1634" t="s">
        <v>3367</v>
      </c>
      <c r="AE24" s="1634">
        <v>30000</v>
      </c>
      <c r="AF24" s="1634">
        <v>97600</v>
      </c>
      <c r="AG24" s="1634">
        <v>136600</v>
      </c>
      <c r="AH24" s="1634">
        <v>2375.27</v>
      </c>
      <c r="AI24" s="1634">
        <v>3324.41</v>
      </c>
      <c r="AJ24" s="1634">
        <v>11320.27</v>
      </c>
      <c r="AK24" s="1634">
        <v>15843.73</v>
      </c>
      <c r="AL24" s="1634">
        <v>14328</v>
      </c>
      <c r="AM24" s="1634">
        <v>20054</v>
      </c>
      <c r="AN24" s="1634">
        <v>39.96</v>
      </c>
      <c r="AO24" s="1634" t="s">
        <v>3363</v>
      </c>
      <c r="AP24" s="1634" t="s">
        <v>1327</v>
      </c>
      <c r="AQ24" s="1634" t="s">
        <v>1327</v>
      </c>
      <c r="AR24" s="1634" t="s">
        <v>1327</v>
      </c>
      <c r="AS24" s="1634" t="s">
        <v>3219</v>
      </c>
    </row>
    <row r="25" spans="1:45">
      <c r="A25" s="1634" t="s">
        <v>3368</v>
      </c>
      <c r="B25" s="1634" t="s">
        <v>3095</v>
      </c>
      <c r="C25" s="1634" t="s">
        <v>3183</v>
      </c>
      <c r="D25" s="1634" t="s">
        <v>3184</v>
      </c>
      <c r="E25" s="1634" t="s">
        <v>1327</v>
      </c>
      <c r="F25" s="1634" t="s">
        <v>3244</v>
      </c>
      <c r="G25" s="1634" t="s">
        <v>3369</v>
      </c>
      <c r="H25" s="1634" t="s">
        <v>3370</v>
      </c>
      <c r="I25" s="1634" t="s">
        <v>3371</v>
      </c>
      <c r="J25" s="1634">
        <v>255074.7</v>
      </c>
      <c r="K25" s="1634">
        <v>430883</v>
      </c>
      <c r="L25" s="1634">
        <v>1.69</v>
      </c>
      <c r="M25" s="1634" t="s">
        <v>1327</v>
      </c>
      <c r="N25" s="1634" t="s">
        <v>1327</v>
      </c>
      <c r="O25" s="1634" t="s">
        <v>1327</v>
      </c>
      <c r="P25" s="1634" t="s">
        <v>3317</v>
      </c>
      <c r="Q25" s="1634">
        <v>99600</v>
      </c>
      <c r="R25" s="1634">
        <v>99600</v>
      </c>
      <c r="S25" s="1634" t="s">
        <v>1327</v>
      </c>
      <c r="T25" s="1634" t="s">
        <v>1327</v>
      </c>
      <c r="U25" s="1634" t="s">
        <v>1327</v>
      </c>
      <c r="V25" s="1634" t="s">
        <v>1327</v>
      </c>
      <c r="W25" s="1634" t="s">
        <v>3262</v>
      </c>
      <c r="X25" s="1634" t="s">
        <v>3372</v>
      </c>
      <c r="Y25" s="1634" t="s">
        <v>3373</v>
      </c>
      <c r="Z25" s="1634" t="s">
        <v>3373</v>
      </c>
      <c r="AA25" s="1634" t="s">
        <v>3373</v>
      </c>
      <c r="AB25" s="1634" t="s">
        <v>3370</v>
      </c>
      <c r="AC25" s="1634" t="s">
        <v>3197</v>
      </c>
      <c r="AD25" s="1634" t="s">
        <v>3374</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3375</v>
      </c>
      <c r="AP25" s="1634" t="s">
        <v>1327</v>
      </c>
      <c r="AQ25" s="1634" t="s">
        <v>1327</v>
      </c>
      <c r="AR25" s="1634" t="s">
        <v>1327</v>
      </c>
      <c r="AS25" s="1634" t="s">
        <v>3212</v>
      </c>
    </row>
    <row r="26" spans="1:45">
      <c r="A26" s="1634" t="s">
        <v>3376</v>
      </c>
      <c r="B26" s="1634" t="s">
        <v>3095</v>
      </c>
      <c r="C26" s="1634" t="s">
        <v>3183</v>
      </c>
      <c r="D26" s="1634" t="s">
        <v>3184</v>
      </c>
      <c r="E26" s="1634" t="s">
        <v>1327</v>
      </c>
      <c r="F26" s="1634" t="s">
        <v>3244</v>
      </c>
      <c r="G26" s="1634" t="s">
        <v>3186</v>
      </c>
      <c r="H26" s="1634" t="s">
        <v>3377</v>
      </c>
      <c r="I26" s="1634" t="s">
        <v>3223</v>
      </c>
      <c r="J26" s="1634">
        <v>42900</v>
      </c>
      <c r="K26" s="1634">
        <v>156420</v>
      </c>
      <c r="L26" s="1634">
        <v>3.65</v>
      </c>
      <c r="M26" s="1634" t="s">
        <v>1327</v>
      </c>
      <c r="N26" s="1634" t="s">
        <v>1327</v>
      </c>
      <c r="O26" s="1634" t="s">
        <v>1327</v>
      </c>
      <c r="P26" s="1634" t="s">
        <v>3306</v>
      </c>
      <c r="Q26" s="1634">
        <v>13400</v>
      </c>
      <c r="R26" s="1634">
        <v>13400</v>
      </c>
      <c r="S26" s="1634" t="s">
        <v>1327</v>
      </c>
      <c r="T26" s="1634" t="s">
        <v>1327</v>
      </c>
      <c r="U26" s="1634" t="s">
        <v>1327</v>
      </c>
      <c r="V26" s="1634" t="s">
        <v>1327</v>
      </c>
      <c r="W26" s="1634" t="s">
        <v>3262</v>
      </c>
      <c r="X26" s="1634" t="s">
        <v>3378</v>
      </c>
      <c r="Y26" s="1634" t="s">
        <v>3379</v>
      </c>
      <c r="Z26" s="1634" t="s">
        <v>3380</v>
      </c>
      <c r="AA26" s="1634" t="s">
        <v>3380</v>
      </c>
      <c r="AB26" s="1634" t="s">
        <v>3377</v>
      </c>
      <c r="AC26" s="1634" t="s">
        <v>3197</v>
      </c>
      <c r="AD26" s="1634" t="s">
        <v>3367</v>
      </c>
      <c r="AE26" s="1634">
        <v>51000</v>
      </c>
      <c r="AF26" s="1634">
        <v>169400</v>
      </c>
      <c r="AG26" s="1634">
        <v>169400</v>
      </c>
      <c r="AH26" s="1634">
        <v>2632.48</v>
      </c>
      <c r="AI26" s="1634">
        <v>2632.48</v>
      </c>
      <c r="AJ26" s="1634">
        <v>10829.81</v>
      </c>
      <c r="AK26" s="1634">
        <v>10829.81</v>
      </c>
      <c r="AL26" s="1634">
        <v>11844</v>
      </c>
      <c r="AM26" s="1634">
        <v>11844</v>
      </c>
      <c r="AN26" s="1634">
        <v>0</v>
      </c>
      <c r="AO26" s="1634" t="s">
        <v>3363</v>
      </c>
      <c r="AP26" s="1634" t="s">
        <v>1327</v>
      </c>
      <c r="AQ26" s="1634" t="s">
        <v>1327</v>
      </c>
      <c r="AR26" s="1634" t="s">
        <v>1327</v>
      </c>
      <c r="AS26" s="1634" t="s">
        <v>3381</v>
      </c>
    </row>
    <row r="27" spans="1:45">
      <c r="A27" s="1634" t="s">
        <v>3382</v>
      </c>
      <c r="B27" s="1634" t="s">
        <v>3095</v>
      </c>
      <c r="C27" s="1634" t="s">
        <v>3202</v>
      </c>
      <c r="D27" s="1634" t="s">
        <v>3184</v>
      </c>
      <c r="E27" s="1634" t="s">
        <v>1327</v>
      </c>
      <c r="F27" s="1634" t="s">
        <v>3303</v>
      </c>
      <c r="G27" s="1634" t="s">
        <v>3186</v>
      </c>
      <c r="H27" s="1634" t="s">
        <v>3383</v>
      </c>
      <c r="I27" s="1634" t="s">
        <v>3384</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3262</v>
      </c>
      <c r="X27" s="1634" t="s">
        <v>3385</v>
      </c>
      <c r="Y27" s="1634" t="s">
        <v>3386</v>
      </c>
      <c r="Z27" s="1634" t="s">
        <v>3387</v>
      </c>
      <c r="AA27" s="1634" t="s">
        <v>3387</v>
      </c>
      <c r="AB27" s="1634" t="s">
        <v>3383</v>
      </c>
      <c r="AC27" s="1634" t="s">
        <v>3197</v>
      </c>
      <c r="AD27" s="1634" t="s">
        <v>3388</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3389</v>
      </c>
      <c r="AP27" s="1634" t="s">
        <v>1327</v>
      </c>
      <c r="AQ27" s="1634" t="s">
        <v>1327</v>
      </c>
      <c r="AR27" s="1634" t="s">
        <v>1327</v>
      </c>
      <c r="AS27" s="1634" t="s">
        <v>3212</v>
      </c>
    </row>
    <row r="28" spans="1:45">
      <c r="A28" s="1634" t="s">
        <v>3390</v>
      </c>
      <c r="B28" s="1634" t="s">
        <v>3095</v>
      </c>
      <c r="C28" s="1634" t="s">
        <v>3268</v>
      </c>
      <c r="D28" s="1634" t="s">
        <v>3184</v>
      </c>
      <c r="E28" s="1634" t="s">
        <v>1327</v>
      </c>
      <c r="F28" s="1634" t="s">
        <v>3391</v>
      </c>
      <c r="G28" s="1634" t="s">
        <v>3186</v>
      </c>
      <c r="H28" s="1634" t="s">
        <v>3392</v>
      </c>
      <c r="I28" s="1634" t="s">
        <v>3271</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3262</v>
      </c>
      <c r="X28" s="1634" t="s">
        <v>3393</v>
      </c>
      <c r="Y28" s="1634" t="s">
        <v>3394</v>
      </c>
      <c r="Z28" s="1634" t="s">
        <v>3395</v>
      </c>
      <c r="AA28" s="1634" t="s">
        <v>3395</v>
      </c>
      <c r="AB28" s="1634" t="s">
        <v>3392</v>
      </c>
      <c r="AC28" s="1634" t="s">
        <v>3197</v>
      </c>
      <c r="AD28" s="1634" t="s">
        <v>3396</v>
      </c>
      <c r="AE28" s="1634">
        <v>66000</v>
      </c>
      <c r="AF28" s="1634">
        <v>220000</v>
      </c>
      <c r="AG28" s="1634">
        <v>233000</v>
      </c>
      <c r="AH28" s="1634">
        <v>1860.93</v>
      </c>
      <c r="AI28" s="1634">
        <v>1970.89</v>
      </c>
      <c r="AJ28" s="1634">
        <v>26584.81</v>
      </c>
      <c r="AK28" s="1634">
        <v>28155.74</v>
      </c>
      <c r="AL28" s="1634" t="s">
        <v>1327</v>
      </c>
      <c r="AM28" s="1634" t="s">
        <v>1327</v>
      </c>
      <c r="AN28" s="1634">
        <v>5.91</v>
      </c>
      <c r="AO28" s="1634" t="s">
        <v>3363</v>
      </c>
      <c r="AP28" s="1634" t="s">
        <v>1327</v>
      </c>
      <c r="AQ28" s="1634" t="s">
        <v>1327</v>
      </c>
      <c r="AR28" s="1634" t="s">
        <v>1327</v>
      </c>
      <c r="AS28" s="1634" t="s">
        <v>3200</v>
      </c>
    </row>
    <row r="29" spans="1:45">
      <c r="A29" s="1634" t="s">
        <v>3397</v>
      </c>
      <c r="B29" s="1634" t="s">
        <v>3095</v>
      </c>
      <c r="C29" s="1634" t="s">
        <v>3183</v>
      </c>
      <c r="D29" s="1634" t="s">
        <v>3184</v>
      </c>
      <c r="E29" s="1634" t="s">
        <v>1327</v>
      </c>
      <c r="F29" s="1634" t="s">
        <v>3244</v>
      </c>
      <c r="G29" s="1634" t="s">
        <v>3369</v>
      </c>
      <c r="H29" s="1634" t="s">
        <v>3398</v>
      </c>
      <c r="I29" s="1634" t="s">
        <v>3399</v>
      </c>
      <c r="J29" s="1634">
        <v>216360.2</v>
      </c>
      <c r="K29" s="1634">
        <v>471796</v>
      </c>
      <c r="L29" s="1634">
        <v>2.1800000000000002</v>
      </c>
      <c r="M29" s="1634" t="s">
        <v>1327</v>
      </c>
      <c r="N29" s="1634" t="s">
        <v>1327</v>
      </c>
      <c r="O29" s="1634" t="s">
        <v>1327</v>
      </c>
      <c r="P29" s="1634" t="s">
        <v>1327</v>
      </c>
      <c r="Q29" s="1634" t="s">
        <v>1327</v>
      </c>
      <c r="R29" s="1634" t="s">
        <v>1327</v>
      </c>
      <c r="S29" s="1634" t="s">
        <v>3400</v>
      </c>
      <c r="T29" s="1634" t="s">
        <v>1327</v>
      </c>
      <c r="U29" s="1634" t="s">
        <v>1327</v>
      </c>
      <c r="V29" s="1634" t="s">
        <v>1327</v>
      </c>
      <c r="W29" s="1634" t="s">
        <v>3262</v>
      </c>
      <c r="X29" s="1634" t="s">
        <v>3401</v>
      </c>
      <c r="Y29" s="1634" t="s">
        <v>3402</v>
      </c>
      <c r="Z29" s="1634" t="s">
        <v>3403</v>
      </c>
      <c r="AA29" s="1634" t="s">
        <v>3403</v>
      </c>
      <c r="AB29" s="1634" t="s">
        <v>3398</v>
      </c>
      <c r="AC29" s="1634" t="s">
        <v>3197</v>
      </c>
      <c r="AD29" s="1634" t="s">
        <v>3404</v>
      </c>
      <c r="AE29" s="1634">
        <v>97500</v>
      </c>
      <c r="AF29" s="1634" t="s">
        <v>1327</v>
      </c>
      <c r="AG29" s="1634">
        <v>488180</v>
      </c>
      <c r="AH29" s="1634" t="s">
        <v>1327</v>
      </c>
      <c r="AI29" s="1634">
        <v>1504.22</v>
      </c>
      <c r="AJ29" s="1634" t="s">
        <v>1327</v>
      </c>
      <c r="AK29" s="1634">
        <v>10347.27</v>
      </c>
      <c r="AL29" s="1634" t="s">
        <v>1327</v>
      </c>
      <c r="AM29" s="1634" t="s">
        <v>1327</v>
      </c>
      <c r="AN29" s="1634" t="s">
        <v>1327</v>
      </c>
      <c r="AO29" s="1634" t="s">
        <v>3405</v>
      </c>
      <c r="AP29" s="1634" t="s">
        <v>1327</v>
      </c>
      <c r="AQ29" s="1634" t="s">
        <v>1327</v>
      </c>
      <c r="AR29" s="1634" t="s">
        <v>1327</v>
      </c>
      <c r="AS29" s="1634" t="s">
        <v>3212</v>
      </c>
    </row>
    <row r="30" spans="1:45">
      <c r="A30" s="1634" t="s">
        <v>3406</v>
      </c>
      <c r="B30" s="1634" t="s">
        <v>3095</v>
      </c>
      <c r="C30" s="1634" t="s">
        <v>3183</v>
      </c>
      <c r="D30" s="1634" t="s">
        <v>3184</v>
      </c>
      <c r="E30" s="1634" t="s">
        <v>1327</v>
      </c>
      <c r="F30" s="1634" t="s">
        <v>3185</v>
      </c>
      <c r="G30" s="1634" t="s">
        <v>3369</v>
      </c>
      <c r="H30" s="1634" t="s">
        <v>3407</v>
      </c>
      <c r="I30" s="1634" t="s">
        <v>3408</v>
      </c>
      <c r="J30" s="1634">
        <v>68943.539999999994</v>
      </c>
      <c r="K30" s="1634">
        <v>202777</v>
      </c>
      <c r="L30" s="1634">
        <v>2.94</v>
      </c>
      <c r="M30" s="1634" t="s">
        <v>1327</v>
      </c>
      <c r="N30" s="1634" t="s">
        <v>1327</v>
      </c>
      <c r="O30" s="1634" t="s">
        <v>1327</v>
      </c>
      <c r="P30" s="1634" t="s">
        <v>1327</v>
      </c>
      <c r="Q30" s="1634" t="s">
        <v>1327</v>
      </c>
      <c r="R30" s="1634" t="s">
        <v>1327</v>
      </c>
      <c r="S30" s="1634" t="s">
        <v>3409</v>
      </c>
      <c r="T30" s="1634" t="s">
        <v>1327</v>
      </c>
      <c r="U30" s="1634" t="s">
        <v>1327</v>
      </c>
      <c r="V30" s="1634" t="s">
        <v>1327</v>
      </c>
      <c r="W30" s="1634" t="s">
        <v>3262</v>
      </c>
      <c r="X30" s="1634" t="s">
        <v>3410</v>
      </c>
      <c r="Y30" s="1634" t="s">
        <v>3411</v>
      </c>
      <c r="Z30" s="1634" t="s">
        <v>3411</v>
      </c>
      <c r="AA30" s="1634" t="s">
        <v>3411</v>
      </c>
      <c r="AB30" s="1634" t="s">
        <v>3407</v>
      </c>
      <c r="AC30" s="1634" t="s">
        <v>3197</v>
      </c>
      <c r="AD30" s="1634" t="s">
        <v>3412</v>
      </c>
      <c r="AE30" s="1634">
        <v>50000</v>
      </c>
      <c r="AF30" s="1634" t="s">
        <v>1327</v>
      </c>
      <c r="AG30" s="1634">
        <v>360770</v>
      </c>
      <c r="AH30" s="1634" t="s">
        <v>1327</v>
      </c>
      <c r="AI30" s="1634">
        <v>3488.56</v>
      </c>
      <c r="AJ30" s="1634" t="s">
        <v>1327</v>
      </c>
      <c r="AK30" s="1634">
        <v>17791.47</v>
      </c>
      <c r="AL30" s="1634" t="s">
        <v>1327</v>
      </c>
      <c r="AM30" s="1634" t="s">
        <v>1327</v>
      </c>
      <c r="AN30" s="1634" t="s">
        <v>1327</v>
      </c>
      <c r="AO30" s="1634" t="s">
        <v>3405</v>
      </c>
      <c r="AP30" s="1634" t="s">
        <v>1327</v>
      </c>
      <c r="AQ30" s="1634" t="s">
        <v>1327</v>
      </c>
      <c r="AR30" s="1634" t="s">
        <v>1327</v>
      </c>
      <c r="AS30" s="1634" t="s">
        <v>3212</v>
      </c>
    </row>
    <row r="31" spans="1:45">
      <c r="A31" s="1634" t="s">
        <v>3413</v>
      </c>
      <c r="B31" s="1634" t="s">
        <v>3095</v>
      </c>
      <c r="C31" s="1634" t="s">
        <v>3183</v>
      </c>
      <c r="D31" s="1634" t="s">
        <v>3184</v>
      </c>
      <c r="E31" s="1634" t="s">
        <v>1327</v>
      </c>
      <c r="F31" s="1634" t="s">
        <v>3414</v>
      </c>
      <c r="G31" s="1634" t="s">
        <v>3369</v>
      </c>
      <c r="H31" s="1634" t="s">
        <v>3415</v>
      </c>
      <c r="I31" s="1634" t="s">
        <v>3223</v>
      </c>
      <c r="J31" s="1634">
        <v>47446.64</v>
      </c>
      <c r="K31" s="1634">
        <v>178966</v>
      </c>
      <c r="L31" s="1634">
        <v>3.77</v>
      </c>
      <c r="M31" s="1634" t="s">
        <v>1327</v>
      </c>
      <c r="N31" s="1634" t="s">
        <v>1327</v>
      </c>
      <c r="O31" s="1634" t="s">
        <v>1327</v>
      </c>
      <c r="P31" s="1634" t="s">
        <v>3306</v>
      </c>
      <c r="Q31" s="1634">
        <v>16200</v>
      </c>
      <c r="R31" s="1634">
        <v>16200</v>
      </c>
      <c r="S31" s="1634" t="s">
        <v>3416</v>
      </c>
      <c r="T31" s="1634" t="s">
        <v>1327</v>
      </c>
      <c r="U31" s="1634" t="s">
        <v>1327</v>
      </c>
      <c r="V31" s="1634" t="s">
        <v>1327</v>
      </c>
      <c r="W31" s="1634" t="s">
        <v>3262</v>
      </c>
      <c r="X31" s="1634" t="s">
        <v>3410</v>
      </c>
      <c r="Y31" s="1634" t="s">
        <v>3411</v>
      </c>
      <c r="Z31" s="1634" t="s">
        <v>3411</v>
      </c>
      <c r="AA31" s="1634" t="s">
        <v>3411</v>
      </c>
      <c r="AB31" s="1634" t="s">
        <v>3415</v>
      </c>
      <c r="AC31" s="1634" t="s">
        <v>3197</v>
      </c>
      <c r="AD31" s="1634" t="s">
        <v>3417</v>
      </c>
      <c r="AE31" s="1634">
        <v>40000</v>
      </c>
      <c r="AF31" s="1634" t="s">
        <v>1327</v>
      </c>
      <c r="AG31" s="1634">
        <v>235000</v>
      </c>
      <c r="AH31" s="1634" t="s">
        <v>1327</v>
      </c>
      <c r="AI31" s="1634">
        <v>3301.95</v>
      </c>
      <c r="AJ31" s="1634" t="s">
        <v>1327</v>
      </c>
      <c r="AK31" s="1634">
        <v>13130.98</v>
      </c>
      <c r="AL31" s="1634" t="s">
        <v>1327</v>
      </c>
      <c r="AM31" s="1634">
        <v>14438</v>
      </c>
      <c r="AN31" s="1634" t="s">
        <v>1327</v>
      </c>
      <c r="AO31" s="1634" t="s">
        <v>3405</v>
      </c>
      <c r="AP31" s="1634" t="s">
        <v>1327</v>
      </c>
      <c r="AQ31" s="1634" t="s">
        <v>1327</v>
      </c>
      <c r="AR31" s="1634" t="s">
        <v>1327</v>
      </c>
      <c r="AS31" s="1634" t="s">
        <v>3219</v>
      </c>
    </row>
    <row r="32" spans="1:45">
      <c r="A32" s="1634" t="s">
        <v>3418</v>
      </c>
      <c r="B32" s="1634" t="s">
        <v>3095</v>
      </c>
      <c r="C32" s="1634" t="s">
        <v>3202</v>
      </c>
      <c r="D32" s="1634" t="s">
        <v>3184</v>
      </c>
      <c r="E32" s="1634" t="s">
        <v>1327</v>
      </c>
      <c r="F32" s="1634" t="s">
        <v>3419</v>
      </c>
      <c r="G32" s="1634" t="s">
        <v>3369</v>
      </c>
      <c r="H32" s="1634" t="s">
        <v>3420</v>
      </c>
      <c r="I32" s="1634" t="s">
        <v>3421</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3262</v>
      </c>
      <c r="X32" s="1634" t="s">
        <v>3410</v>
      </c>
      <c r="Y32" s="1634" t="s">
        <v>3411</v>
      </c>
      <c r="Z32" s="1634" t="s">
        <v>3411</v>
      </c>
      <c r="AA32" s="1634" t="s">
        <v>3411</v>
      </c>
      <c r="AB32" s="1634" t="s">
        <v>3420</v>
      </c>
      <c r="AC32" s="1634" t="s">
        <v>3197</v>
      </c>
      <c r="AD32" s="1634" t="s">
        <v>3422</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3389</v>
      </c>
      <c r="AP32" s="1634" t="s">
        <v>1327</v>
      </c>
      <c r="AQ32" s="1634" t="s">
        <v>1327</v>
      </c>
      <c r="AR32" s="1634" t="s">
        <v>1327</v>
      </c>
      <c r="AS32" s="1634" t="s">
        <v>3219</v>
      </c>
    </row>
    <row r="33" spans="1:45">
      <c r="A33" s="1634" t="s">
        <v>3423</v>
      </c>
      <c r="B33" s="1634" t="s">
        <v>3095</v>
      </c>
      <c r="C33" s="1634" t="s">
        <v>3183</v>
      </c>
      <c r="D33" s="1634" t="s">
        <v>3184</v>
      </c>
      <c r="E33" s="1634" t="s">
        <v>1327</v>
      </c>
      <c r="F33" s="1634" t="s">
        <v>3221</v>
      </c>
      <c r="G33" s="1634" t="s">
        <v>3186</v>
      </c>
      <c r="H33" s="1634" t="s">
        <v>3424</v>
      </c>
      <c r="I33" s="1634" t="s">
        <v>3425</v>
      </c>
      <c r="J33" s="1634">
        <v>136680.29999999999</v>
      </c>
      <c r="K33" s="1634">
        <v>276965</v>
      </c>
      <c r="L33" s="1634">
        <v>2.0299999999999998</v>
      </c>
      <c r="M33" s="1634" t="s">
        <v>1327</v>
      </c>
      <c r="N33" s="1634" t="s">
        <v>1327</v>
      </c>
      <c r="O33" s="1634" t="s">
        <v>1327</v>
      </c>
      <c r="P33" s="1634" t="s">
        <v>3306</v>
      </c>
      <c r="Q33" s="1634">
        <v>57300</v>
      </c>
      <c r="R33" s="1634">
        <v>57300</v>
      </c>
      <c r="S33" s="1634" t="s">
        <v>1327</v>
      </c>
      <c r="T33" s="1634" t="s">
        <v>1327</v>
      </c>
      <c r="U33" s="1634" t="s">
        <v>1327</v>
      </c>
      <c r="V33" s="1634" t="s">
        <v>1327</v>
      </c>
      <c r="W33" s="1634" t="s">
        <v>3262</v>
      </c>
      <c r="X33" s="1634" t="s">
        <v>3426</v>
      </c>
      <c r="Y33" s="1634" t="s">
        <v>3427</v>
      </c>
      <c r="Z33" s="1634" t="s">
        <v>3428</v>
      </c>
      <c r="AA33" s="1634" t="s">
        <v>3428</v>
      </c>
      <c r="AB33" s="1634" t="s">
        <v>3424</v>
      </c>
      <c r="AC33" s="1634" t="s">
        <v>3197</v>
      </c>
      <c r="AD33" s="1634" t="s">
        <v>3429</v>
      </c>
      <c r="AE33" s="1634">
        <v>65000</v>
      </c>
      <c r="AF33" s="1634">
        <v>214000</v>
      </c>
      <c r="AG33" s="1634">
        <v>216000</v>
      </c>
      <c r="AH33" s="1634">
        <v>1043.8</v>
      </c>
      <c r="AI33" s="1634">
        <v>1053.55</v>
      </c>
      <c r="AJ33" s="1634">
        <v>7726.6</v>
      </c>
      <c r="AK33" s="1634">
        <v>7798.81</v>
      </c>
      <c r="AL33" s="1634">
        <v>9742</v>
      </c>
      <c r="AM33" s="1634">
        <v>9833</v>
      </c>
      <c r="AN33" s="1634">
        <v>0.93</v>
      </c>
      <c r="AO33" s="1634" t="s">
        <v>3363</v>
      </c>
      <c r="AP33" s="1634" t="s">
        <v>1327</v>
      </c>
      <c r="AQ33" s="1634" t="s">
        <v>1327</v>
      </c>
      <c r="AR33" s="1634" t="s">
        <v>1327</v>
      </c>
      <c r="AS33" s="1634" t="s">
        <v>3212</v>
      </c>
    </row>
    <row r="34" spans="1:45" hidden="1">
      <c r="A34" s="1634" t="s">
        <v>3430</v>
      </c>
      <c r="B34" s="1634" t="s">
        <v>3095</v>
      </c>
      <c r="C34" s="1634" t="s">
        <v>3202</v>
      </c>
      <c r="D34" s="1634" t="s">
        <v>3184</v>
      </c>
      <c r="E34" s="1634" t="s">
        <v>1327</v>
      </c>
      <c r="F34" s="1634" t="s">
        <v>3431</v>
      </c>
      <c r="G34" s="1634" t="s">
        <v>3186</v>
      </c>
      <c r="H34" s="1634" t="s">
        <v>3432</v>
      </c>
      <c r="I34" s="1634" t="s">
        <v>3433</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3262</v>
      </c>
      <c r="X34" s="1634" t="s">
        <v>3434</v>
      </c>
      <c r="Y34" s="1634" t="s">
        <v>3435</v>
      </c>
      <c r="Z34" s="1634" t="s">
        <v>3436</v>
      </c>
      <c r="AA34" s="1634" t="s">
        <v>3436</v>
      </c>
      <c r="AB34" s="1634" t="s">
        <v>3432</v>
      </c>
      <c r="AC34" s="1634" t="s">
        <v>3197</v>
      </c>
      <c r="AD34" s="1634" t="s">
        <v>3437</v>
      </c>
      <c r="AE34" s="1634">
        <v>14000</v>
      </c>
      <c r="AF34" s="1634">
        <v>44100</v>
      </c>
      <c r="AG34" s="1634">
        <v>85500</v>
      </c>
      <c r="AH34" s="1634">
        <v>784.21</v>
      </c>
      <c r="AI34" s="1634">
        <v>1520.41</v>
      </c>
      <c r="AJ34" s="1634">
        <v>6527.04</v>
      </c>
      <c r="AK34" s="1634">
        <v>12654.47</v>
      </c>
      <c r="AL34" s="1634" t="s">
        <v>1327</v>
      </c>
      <c r="AM34" s="1634" t="s">
        <v>1327</v>
      </c>
      <c r="AN34" s="1634">
        <v>93.88</v>
      </c>
      <c r="AO34" s="1634" t="s">
        <v>3438</v>
      </c>
      <c r="AP34" s="1634" t="s">
        <v>1327</v>
      </c>
      <c r="AQ34" s="1634" t="s">
        <v>1327</v>
      </c>
      <c r="AR34" s="1634" t="s">
        <v>1327</v>
      </c>
      <c r="AS34" s="1634" t="s">
        <v>3200</v>
      </c>
    </row>
    <row r="35" spans="1:45" hidden="1">
      <c r="A35" s="1634" t="s">
        <v>3439</v>
      </c>
      <c r="B35" s="1634" t="s">
        <v>3095</v>
      </c>
      <c r="C35" s="1634" t="s">
        <v>3183</v>
      </c>
      <c r="D35" s="1634" t="s">
        <v>3184</v>
      </c>
      <c r="E35" s="1634" t="s">
        <v>1327</v>
      </c>
      <c r="F35" s="1634" t="s">
        <v>3440</v>
      </c>
      <c r="G35" s="1634" t="s">
        <v>3186</v>
      </c>
      <c r="H35" s="1634" t="s">
        <v>3441</v>
      </c>
      <c r="I35" s="1634" t="s">
        <v>3442</v>
      </c>
      <c r="J35" s="1634">
        <v>118111</v>
      </c>
      <c r="K35" s="1634">
        <v>288137</v>
      </c>
      <c r="L35" s="1634">
        <v>2.44</v>
      </c>
      <c r="M35" s="1634" t="s">
        <v>1327</v>
      </c>
      <c r="N35" s="1634" t="s">
        <v>1327</v>
      </c>
      <c r="O35" s="1634" t="s">
        <v>1327</v>
      </c>
      <c r="P35" s="1634" t="s">
        <v>3317</v>
      </c>
      <c r="Q35" s="1634">
        <v>40000</v>
      </c>
      <c r="R35" s="1634">
        <v>40000</v>
      </c>
      <c r="S35" s="1634" t="s">
        <v>3443</v>
      </c>
      <c r="T35" s="1634" t="s">
        <v>1327</v>
      </c>
      <c r="U35" s="1634" t="s">
        <v>1327</v>
      </c>
      <c r="V35" s="1634" t="s">
        <v>1327</v>
      </c>
      <c r="W35" s="1634" t="s">
        <v>3262</v>
      </c>
      <c r="X35" s="1634" t="s">
        <v>3444</v>
      </c>
      <c r="Y35" s="1634" t="s">
        <v>3445</v>
      </c>
      <c r="Z35" s="1634" t="s">
        <v>3446</v>
      </c>
      <c r="AA35" s="1634" t="s">
        <v>3446</v>
      </c>
      <c r="AB35" s="1634" t="s">
        <v>3441</v>
      </c>
      <c r="AC35" s="1634" t="s">
        <v>3197</v>
      </c>
      <c r="AD35" s="1634" t="s">
        <v>3447</v>
      </c>
      <c r="AE35" s="1634">
        <v>40000</v>
      </c>
      <c r="AF35" s="1634">
        <v>129000</v>
      </c>
      <c r="AG35" s="1634">
        <v>154800</v>
      </c>
      <c r="AH35" s="1634">
        <v>728.13</v>
      </c>
      <c r="AI35" s="1634">
        <v>873.75</v>
      </c>
      <c r="AJ35" s="1634">
        <v>4477.03</v>
      </c>
      <c r="AK35" s="1634">
        <v>5372.43</v>
      </c>
      <c r="AL35" s="1634">
        <v>5199</v>
      </c>
      <c r="AM35" s="1634">
        <v>6238</v>
      </c>
      <c r="AN35" s="1634">
        <v>20</v>
      </c>
      <c r="AO35" s="1634" t="s">
        <v>3363</v>
      </c>
      <c r="AP35" s="1634" t="s">
        <v>1327</v>
      </c>
      <c r="AQ35" s="1634" t="s">
        <v>1327</v>
      </c>
      <c r="AR35" s="1634" t="s">
        <v>1327</v>
      </c>
      <c r="AS35" s="1634" t="s">
        <v>3200</v>
      </c>
    </row>
    <row r="36" spans="1:45" hidden="1">
      <c r="A36" s="1634" t="s">
        <v>3448</v>
      </c>
      <c r="B36" s="1634" t="s">
        <v>3095</v>
      </c>
      <c r="C36" s="1634" t="s">
        <v>3268</v>
      </c>
      <c r="D36" s="1634" t="s">
        <v>3184</v>
      </c>
      <c r="E36" s="1634" t="s">
        <v>1327</v>
      </c>
      <c r="F36" s="1634" t="s">
        <v>3221</v>
      </c>
      <c r="G36" s="1634" t="s">
        <v>3186</v>
      </c>
      <c r="H36" s="1634" t="s">
        <v>3449</v>
      </c>
      <c r="I36" s="1634" t="s">
        <v>3450</v>
      </c>
      <c r="J36" s="1634">
        <v>182569</v>
      </c>
      <c r="K36" s="1634">
        <v>511193</v>
      </c>
      <c r="L36" s="1634">
        <v>2.8</v>
      </c>
      <c r="M36" s="1634" t="s">
        <v>1327</v>
      </c>
      <c r="N36" s="1634" t="s">
        <v>1327</v>
      </c>
      <c r="O36" s="1634" t="s">
        <v>1327</v>
      </c>
      <c r="P36" s="1634" t="s">
        <v>3306</v>
      </c>
      <c r="Q36" s="1634">
        <v>511193</v>
      </c>
      <c r="R36" s="1634">
        <v>511193</v>
      </c>
      <c r="S36" s="1634" t="s">
        <v>1327</v>
      </c>
      <c r="T36" s="1634" t="s">
        <v>1327</v>
      </c>
      <c r="U36" s="1634" t="s">
        <v>1327</v>
      </c>
      <c r="V36" s="1634" t="s">
        <v>1327</v>
      </c>
      <c r="W36" s="1634" t="s">
        <v>3262</v>
      </c>
      <c r="X36" s="1634" t="s">
        <v>3451</v>
      </c>
      <c r="Y36" s="1634" t="s">
        <v>3452</v>
      </c>
      <c r="Z36" s="1634" t="s">
        <v>3453</v>
      </c>
      <c r="AA36" s="1634" t="s">
        <v>3453</v>
      </c>
      <c r="AB36" s="1634" t="s">
        <v>3449</v>
      </c>
      <c r="AC36" s="1634" t="s">
        <v>3197</v>
      </c>
      <c r="AD36" s="1634" t="s">
        <v>3454</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3363</v>
      </c>
      <c r="AP36" s="1634" t="s">
        <v>1327</v>
      </c>
      <c r="AQ36" s="1634" t="s">
        <v>1327</v>
      </c>
      <c r="AR36" s="1634" t="s">
        <v>1327</v>
      </c>
      <c r="AS36" s="1634" t="s">
        <v>3212</v>
      </c>
    </row>
    <row r="37" spans="1:45" hidden="1">
      <c r="A37" s="1634" t="s">
        <v>3455</v>
      </c>
      <c r="B37" s="1634" t="s">
        <v>3095</v>
      </c>
      <c r="C37" s="1634" t="s">
        <v>3183</v>
      </c>
      <c r="D37" s="1634" t="s">
        <v>3184</v>
      </c>
      <c r="E37" s="1634" t="s">
        <v>1327</v>
      </c>
      <c r="F37" s="1634" t="s">
        <v>3323</v>
      </c>
      <c r="G37" s="1634" t="s">
        <v>3369</v>
      </c>
      <c r="H37" s="1634" t="s">
        <v>3456</v>
      </c>
      <c r="I37" s="1634" t="s">
        <v>3457</v>
      </c>
      <c r="J37" s="1634">
        <v>55300.86</v>
      </c>
      <c r="K37" s="1634">
        <v>177941</v>
      </c>
      <c r="L37" s="1634">
        <v>3.22</v>
      </c>
      <c r="M37" s="1634" t="s">
        <v>1327</v>
      </c>
      <c r="N37" s="1634" t="s">
        <v>1327</v>
      </c>
      <c r="O37" s="1634" t="s">
        <v>1327</v>
      </c>
      <c r="P37" s="1634" t="s">
        <v>3458</v>
      </c>
      <c r="Q37" s="1634">
        <v>5600</v>
      </c>
      <c r="R37" s="1634">
        <v>5600</v>
      </c>
      <c r="S37" s="1634" t="s">
        <v>1327</v>
      </c>
      <c r="T37" s="1634" t="s">
        <v>1327</v>
      </c>
      <c r="U37" s="1634" t="s">
        <v>1327</v>
      </c>
      <c r="V37" s="1634" t="s">
        <v>1327</v>
      </c>
      <c r="W37" s="1634" t="s">
        <v>3262</v>
      </c>
      <c r="X37" s="1634" t="s">
        <v>3459</v>
      </c>
      <c r="Y37" s="1634" t="s">
        <v>3460</v>
      </c>
      <c r="Z37" s="1634" t="s">
        <v>3460</v>
      </c>
      <c r="AA37" s="1634" t="s">
        <v>3460</v>
      </c>
      <c r="AB37" s="1634" t="s">
        <v>3456</v>
      </c>
      <c r="AC37" s="1634" t="s">
        <v>3197</v>
      </c>
      <c r="AD37" s="1634" t="s">
        <v>3374</v>
      </c>
      <c r="AE37" s="1634">
        <v>35000</v>
      </c>
      <c r="AF37" s="1634" t="s">
        <v>1327</v>
      </c>
      <c r="AG37" s="1634">
        <v>118800</v>
      </c>
      <c r="AH37" s="1634" t="s">
        <v>1327</v>
      </c>
      <c r="AI37" s="1634">
        <v>1432.17</v>
      </c>
      <c r="AJ37" s="1634" t="s">
        <v>1327</v>
      </c>
      <c r="AK37" s="1634">
        <v>6676.36</v>
      </c>
      <c r="AL37" s="1634" t="s">
        <v>1327</v>
      </c>
      <c r="AM37" s="1634">
        <v>6893</v>
      </c>
      <c r="AN37" s="1634" t="s">
        <v>1327</v>
      </c>
      <c r="AO37" s="1634" t="s">
        <v>3405</v>
      </c>
      <c r="AP37" s="1634" t="s">
        <v>1327</v>
      </c>
      <c r="AQ37" s="1634" t="s">
        <v>1327</v>
      </c>
      <c r="AR37" s="1634" t="s">
        <v>1327</v>
      </c>
      <c r="AS37" s="1634" t="s">
        <v>3212</v>
      </c>
    </row>
    <row r="38" spans="1:45" hidden="1">
      <c r="A38" s="1634" t="s">
        <v>3461</v>
      </c>
      <c r="B38" s="1634" t="s">
        <v>3095</v>
      </c>
      <c r="C38" s="1634" t="s">
        <v>3183</v>
      </c>
      <c r="D38" s="1634" t="s">
        <v>3184</v>
      </c>
      <c r="E38" s="1634" t="s">
        <v>1327</v>
      </c>
      <c r="F38" s="1634" t="s">
        <v>3244</v>
      </c>
      <c r="G38" s="1634" t="s">
        <v>3369</v>
      </c>
      <c r="H38" s="1634" t="s">
        <v>3462</v>
      </c>
      <c r="I38" s="1634" t="s">
        <v>3223</v>
      </c>
      <c r="J38" s="1634">
        <v>68833.649999999994</v>
      </c>
      <c r="K38" s="1634">
        <v>172084</v>
      </c>
      <c r="L38" s="1634">
        <v>2.5</v>
      </c>
      <c r="M38" s="1634" t="s">
        <v>1327</v>
      </c>
      <c r="N38" s="1634" t="s">
        <v>1327</v>
      </c>
      <c r="O38" s="1634" t="s">
        <v>1327</v>
      </c>
      <c r="P38" s="1634" t="s">
        <v>3463</v>
      </c>
      <c r="Q38" s="1634">
        <v>20000</v>
      </c>
      <c r="R38" s="1634">
        <v>20000</v>
      </c>
      <c r="S38" s="1634" t="s">
        <v>1327</v>
      </c>
      <c r="T38" s="1634" t="s">
        <v>1327</v>
      </c>
      <c r="U38" s="1634" t="s">
        <v>1327</v>
      </c>
      <c r="V38" s="1634" t="s">
        <v>1327</v>
      </c>
      <c r="W38" s="1634" t="s">
        <v>3262</v>
      </c>
      <c r="X38" s="1634" t="s">
        <v>3459</v>
      </c>
      <c r="Y38" s="1634" t="s">
        <v>3460</v>
      </c>
      <c r="Z38" s="1634" t="s">
        <v>3460</v>
      </c>
      <c r="AA38" s="1634" t="s">
        <v>3460</v>
      </c>
      <c r="AB38" s="1634" t="s">
        <v>3462</v>
      </c>
      <c r="AC38" s="1634" t="s">
        <v>3197</v>
      </c>
      <c r="AD38" s="1634" t="s">
        <v>3464</v>
      </c>
      <c r="AE38" s="1634">
        <v>35000</v>
      </c>
      <c r="AF38" s="1634" t="s">
        <v>1327</v>
      </c>
      <c r="AG38" s="1634">
        <v>105080</v>
      </c>
      <c r="AH38" s="1634" t="s">
        <v>1327</v>
      </c>
      <c r="AI38" s="1634">
        <v>1017.72</v>
      </c>
      <c r="AJ38" s="1634" t="s">
        <v>1327</v>
      </c>
      <c r="AK38" s="1634">
        <v>6106.31</v>
      </c>
      <c r="AL38" s="1634" t="s">
        <v>1327</v>
      </c>
      <c r="AM38" s="1634">
        <v>6909</v>
      </c>
      <c r="AN38" s="1634" t="s">
        <v>1327</v>
      </c>
      <c r="AO38" s="1634" t="s">
        <v>3405</v>
      </c>
      <c r="AP38" s="1634" t="s">
        <v>1327</v>
      </c>
      <c r="AQ38" s="1634" t="s">
        <v>1327</v>
      </c>
      <c r="AR38" s="1634" t="s">
        <v>1327</v>
      </c>
      <c r="AS38" s="1634" t="s">
        <v>3200</v>
      </c>
    </row>
    <row r="39" spans="1:45" hidden="1">
      <c r="A39" s="1634" t="s">
        <v>3465</v>
      </c>
      <c r="B39" s="1634" t="s">
        <v>3095</v>
      </c>
      <c r="C39" s="1634" t="s">
        <v>3183</v>
      </c>
      <c r="D39" s="1634" t="s">
        <v>3184</v>
      </c>
      <c r="E39" s="1634" t="s">
        <v>1327</v>
      </c>
      <c r="F39" s="1634" t="s">
        <v>3431</v>
      </c>
      <c r="G39" s="1634" t="s">
        <v>3369</v>
      </c>
      <c r="H39" s="1634" t="s">
        <v>3466</v>
      </c>
      <c r="I39" s="1634" t="s">
        <v>3305</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3262</v>
      </c>
      <c r="X39" s="1634" t="s">
        <v>3467</v>
      </c>
      <c r="Y39" s="1634" t="s">
        <v>3468</v>
      </c>
      <c r="Z39" s="1634" t="s">
        <v>3468</v>
      </c>
      <c r="AA39" s="1634" t="s">
        <v>3468</v>
      </c>
      <c r="AB39" s="1634" t="s">
        <v>3466</v>
      </c>
      <c r="AC39" s="1634" t="s">
        <v>3197</v>
      </c>
      <c r="AD39" s="1634" t="s">
        <v>3469</v>
      </c>
      <c r="AE39" s="1634">
        <v>92000</v>
      </c>
      <c r="AF39" s="1634" t="s">
        <v>1327</v>
      </c>
      <c r="AG39" s="1634">
        <v>470000</v>
      </c>
      <c r="AH39" s="1634" t="s">
        <v>1327</v>
      </c>
      <c r="AI39" s="1634">
        <v>1207.97</v>
      </c>
      <c r="AJ39" s="1634" t="s">
        <v>1327</v>
      </c>
      <c r="AK39" s="1634">
        <v>9102.34</v>
      </c>
      <c r="AL39" s="1634" t="s">
        <v>1327</v>
      </c>
      <c r="AM39" s="1634" t="s">
        <v>1327</v>
      </c>
      <c r="AN39" s="1634" t="s">
        <v>1327</v>
      </c>
      <c r="AO39" s="1634" t="s">
        <v>3405</v>
      </c>
      <c r="AP39" s="1634" t="s">
        <v>1327</v>
      </c>
      <c r="AQ39" s="1634" t="s">
        <v>1327</v>
      </c>
      <c r="AR39" s="1634" t="s">
        <v>1327</v>
      </c>
      <c r="AS39" s="1634" t="s">
        <v>3219</v>
      </c>
    </row>
    <row r="40" spans="1:45" hidden="1">
      <c r="A40" s="1634" t="s">
        <v>3470</v>
      </c>
      <c r="B40" s="1634" t="s">
        <v>3095</v>
      </c>
      <c r="C40" s="1634" t="s">
        <v>3183</v>
      </c>
      <c r="D40" s="1634" t="s">
        <v>3184</v>
      </c>
      <c r="E40" s="1634" t="s">
        <v>1327</v>
      </c>
      <c r="F40" s="1634" t="s">
        <v>3303</v>
      </c>
      <c r="G40" s="1634" t="s">
        <v>3186</v>
      </c>
      <c r="H40" s="1634" t="s">
        <v>3471</v>
      </c>
      <c r="I40" s="1634" t="s">
        <v>3305</v>
      </c>
      <c r="J40" s="1634">
        <v>76854</v>
      </c>
      <c r="K40" s="1634">
        <v>169079</v>
      </c>
      <c r="L40" s="1634">
        <v>2.2000000000000002</v>
      </c>
      <c r="M40" s="1634" t="s">
        <v>1327</v>
      </c>
      <c r="N40" s="1634" t="s">
        <v>1327</v>
      </c>
      <c r="O40" s="1634" t="s">
        <v>1327</v>
      </c>
      <c r="P40" s="1634" t="s">
        <v>3306</v>
      </c>
      <c r="Q40" s="1634">
        <v>35000</v>
      </c>
      <c r="R40" s="1634">
        <v>35000</v>
      </c>
      <c r="S40" s="1634" t="s">
        <v>1327</v>
      </c>
      <c r="T40" s="1634" t="s">
        <v>1327</v>
      </c>
      <c r="U40" s="1634" t="s">
        <v>1327</v>
      </c>
      <c r="V40" s="1634" t="s">
        <v>1327</v>
      </c>
      <c r="W40" s="1634" t="s">
        <v>3262</v>
      </c>
      <c r="X40" s="1634" t="s">
        <v>3472</v>
      </c>
      <c r="Y40" s="1634" t="s">
        <v>3473</v>
      </c>
      <c r="Z40" s="1634" t="s">
        <v>3474</v>
      </c>
      <c r="AA40" s="1634" t="s">
        <v>3474</v>
      </c>
      <c r="AB40" s="1634" t="s">
        <v>3471</v>
      </c>
      <c r="AC40" s="1634" t="s">
        <v>3197</v>
      </c>
      <c r="AD40" s="1634" t="s">
        <v>3475</v>
      </c>
      <c r="AE40" s="1634">
        <v>17000</v>
      </c>
      <c r="AF40" s="1634">
        <v>55000</v>
      </c>
      <c r="AG40" s="1634">
        <v>80000</v>
      </c>
      <c r="AH40" s="1634">
        <v>477.1</v>
      </c>
      <c r="AI40" s="1634">
        <v>693.96</v>
      </c>
      <c r="AJ40" s="1634">
        <v>3252.91</v>
      </c>
      <c r="AK40" s="1634">
        <v>4731.5200000000004</v>
      </c>
      <c r="AL40" s="1634">
        <v>4102</v>
      </c>
      <c r="AM40" s="1634">
        <v>5967</v>
      </c>
      <c r="AN40" s="1634">
        <v>45.45</v>
      </c>
      <c r="AO40" s="1634" t="s">
        <v>3405</v>
      </c>
      <c r="AP40" s="1634" t="s">
        <v>1327</v>
      </c>
      <c r="AQ40" s="1634" t="s">
        <v>1327</v>
      </c>
      <c r="AR40" s="1634" t="s">
        <v>1327</v>
      </c>
      <c r="AS40" s="1634" t="s">
        <v>3200</v>
      </c>
    </row>
    <row r="41" spans="1:45" hidden="1">
      <c r="A41" s="1634" t="s">
        <v>3476</v>
      </c>
      <c r="B41" s="1634" t="s">
        <v>3095</v>
      </c>
      <c r="C41" s="1634" t="s">
        <v>3183</v>
      </c>
      <c r="D41" s="1634" t="s">
        <v>3184</v>
      </c>
      <c r="E41" s="1634" t="s">
        <v>1327</v>
      </c>
      <c r="F41" s="1634" t="s">
        <v>3221</v>
      </c>
      <c r="G41" s="1634" t="s">
        <v>3186</v>
      </c>
      <c r="H41" s="1634" t="s">
        <v>3477</v>
      </c>
      <c r="I41" s="1634" t="s">
        <v>3478</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3262</v>
      </c>
      <c r="X41" s="1634" t="s">
        <v>1327</v>
      </c>
      <c r="Y41" s="1634" t="s">
        <v>3479</v>
      </c>
      <c r="Z41" s="1634" t="s">
        <v>3480</v>
      </c>
      <c r="AA41" s="1634" t="s">
        <v>3480</v>
      </c>
      <c r="AB41" s="1634" t="s">
        <v>1327</v>
      </c>
      <c r="AC41" s="1634" t="s">
        <v>3197</v>
      </c>
      <c r="AD41" s="1634" t="s">
        <v>3481</v>
      </c>
      <c r="AE41" s="1634">
        <v>27000</v>
      </c>
      <c r="AF41" s="1634">
        <v>90000</v>
      </c>
      <c r="AG41" s="1634">
        <v>128000</v>
      </c>
      <c r="AH41" s="1634">
        <v>782.53</v>
      </c>
      <c r="AI41" s="1634">
        <v>1112.94</v>
      </c>
      <c r="AJ41" s="1634">
        <v>5138.3</v>
      </c>
      <c r="AK41" s="1634">
        <v>7307.81</v>
      </c>
      <c r="AL41" s="1634" t="s">
        <v>1327</v>
      </c>
      <c r="AM41" s="1634" t="s">
        <v>1327</v>
      </c>
      <c r="AN41" s="1634">
        <v>42.22</v>
      </c>
      <c r="AO41" s="1634" t="s">
        <v>3482</v>
      </c>
      <c r="AP41" s="1634" t="s">
        <v>1327</v>
      </c>
      <c r="AQ41" s="1634" t="s">
        <v>1327</v>
      </c>
      <c r="AR41" s="1634" t="s">
        <v>1327</v>
      </c>
      <c r="AS41" s="1634" t="s">
        <v>3212</v>
      </c>
    </row>
    <row r="42" spans="1:45" hidden="1">
      <c r="A42" s="1634" t="s">
        <v>3483</v>
      </c>
      <c r="B42" s="1634" t="s">
        <v>3095</v>
      </c>
      <c r="C42" s="1634" t="s">
        <v>3183</v>
      </c>
      <c r="D42" s="1634" t="s">
        <v>3184</v>
      </c>
      <c r="E42" s="1634" t="s">
        <v>1327</v>
      </c>
      <c r="F42" s="1634" t="s">
        <v>3303</v>
      </c>
      <c r="G42" s="1634" t="s">
        <v>3186</v>
      </c>
      <c r="H42" s="1634" t="s">
        <v>3484</v>
      </c>
      <c r="I42" s="1634" t="s">
        <v>3485</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3262</v>
      </c>
      <c r="X42" s="1634" t="s">
        <v>1327</v>
      </c>
      <c r="Y42" s="1634" t="s">
        <v>3486</v>
      </c>
      <c r="Z42" s="1634" t="s">
        <v>3487</v>
      </c>
      <c r="AA42" s="1634" t="s">
        <v>3487</v>
      </c>
      <c r="AB42" s="1634" t="s">
        <v>1327</v>
      </c>
      <c r="AC42" s="1634" t="s">
        <v>3197</v>
      </c>
      <c r="AD42" s="1634" t="s">
        <v>3488</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3489</v>
      </c>
      <c r="AP42" s="1634" t="s">
        <v>1327</v>
      </c>
      <c r="AQ42" s="1634" t="s">
        <v>1327</v>
      </c>
      <c r="AR42" s="1634" t="s">
        <v>1327</v>
      </c>
      <c r="AS42" s="1634" t="s">
        <v>3200</v>
      </c>
    </row>
    <row r="43" spans="1:45" hidden="1">
      <c r="A43" s="1634" t="s">
        <v>3490</v>
      </c>
      <c r="B43" s="1634" t="s">
        <v>3095</v>
      </c>
      <c r="C43" s="1634" t="s">
        <v>3202</v>
      </c>
      <c r="D43" s="1634" t="s">
        <v>3184</v>
      </c>
      <c r="E43" s="1634" t="s">
        <v>1327</v>
      </c>
      <c r="F43" s="1634" t="s">
        <v>3323</v>
      </c>
      <c r="G43" s="1634" t="s">
        <v>3186</v>
      </c>
      <c r="H43" s="1634" t="s">
        <v>3491</v>
      </c>
      <c r="I43" s="1634" t="s">
        <v>3492</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3262</v>
      </c>
      <c r="X43" s="1634" t="s">
        <v>1327</v>
      </c>
      <c r="Y43" s="1634" t="s">
        <v>3493</v>
      </c>
      <c r="Z43" s="1634" t="s">
        <v>3494</v>
      </c>
      <c r="AA43" s="1634" t="s">
        <v>3494</v>
      </c>
      <c r="AB43" s="1634" t="s">
        <v>1327</v>
      </c>
      <c r="AC43" s="1634" t="s">
        <v>3197</v>
      </c>
      <c r="AD43" s="1634" t="s">
        <v>3495</v>
      </c>
      <c r="AE43" s="1634" t="s">
        <v>1327</v>
      </c>
      <c r="AF43" s="1634">
        <v>61650</v>
      </c>
      <c r="AG43" s="1634">
        <v>61650</v>
      </c>
      <c r="AH43" s="1634">
        <v>914.96</v>
      </c>
      <c r="AI43" s="1634">
        <v>914.96</v>
      </c>
      <c r="AJ43" s="1634">
        <v>5489.76</v>
      </c>
      <c r="AK43" s="1634">
        <v>5489.76</v>
      </c>
      <c r="AL43" s="1634" t="s">
        <v>1327</v>
      </c>
      <c r="AM43" s="1634" t="s">
        <v>1327</v>
      </c>
      <c r="AN43" s="1634">
        <v>0</v>
      </c>
      <c r="AO43" s="1634" t="s">
        <v>3496</v>
      </c>
      <c r="AP43" s="1634" t="s">
        <v>1327</v>
      </c>
      <c r="AQ43" s="1634" t="s">
        <v>1327</v>
      </c>
      <c r="AR43" s="1634" t="s">
        <v>1327</v>
      </c>
      <c r="AS43" s="1634" t="s">
        <v>3212</v>
      </c>
    </row>
    <row r="44" spans="1:45" hidden="1">
      <c r="A44" s="1634" t="s">
        <v>3497</v>
      </c>
      <c r="B44" s="1634" t="s">
        <v>3095</v>
      </c>
      <c r="C44" s="1634" t="s">
        <v>3268</v>
      </c>
      <c r="D44" s="1634" t="s">
        <v>3184</v>
      </c>
      <c r="E44" s="1634" t="s">
        <v>1327</v>
      </c>
      <c r="F44" s="1634" t="s">
        <v>3498</v>
      </c>
      <c r="G44" s="1634" t="s">
        <v>3369</v>
      </c>
      <c r="H44" s="1634" t="s">
        <v>3499</v>
      </c>
      <c r="I44" s="1634" t="s">
        <v>3271</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3262</v>
      </c>
      <c r="X44" s="1634" t="s">
        <v>1327</v>
      </c>
      <c r="Y44" s="1634" t="s">
        <v>3500</v>
      </c>
      <c r="Z44" s="1634" t="s">
        <v>3500</v>
      </c>
      <c r="AA44" s="1634" t="s">
        <v>3501</v>
      </c>
      <c r="AB44" s="1634" t="s">
        <v>1327</v>
      </c>
      <c r="AC44" s="1634" t="s">
        <v>3197</v>
      </c>
      <c r="AD44" s="1634" t="s">
        <v>3502</v>
      </c>
      <c r="AE44" s="1634">
        <v>15000</v>
      </c>
      <c r="AF44" s="1634" t="s">
        <v>1327</v>
      </c>
      <c r="AG44" s="1634">
        <v>88020</v>
      </c>
      <c r="AH44" s="1634" t="s">
        <v>1327</v>
      </c>
      <c r="AI44" s="1634">
        <v>1016.05</v>
      </c>
      <c r="AJ44" s="1634" t="s">
        <v>1327</v>
      </c>
      <c r="AK44" s="1634">
        <v>7620.38</v>
      </c>
      <c r="AL44" s="1634" t="s">
        <v>1327</v>
      </c>
      <c r="AM44" s="1634" t="s">
        <v>1327</v>
      </c>
      <c r="AN44" s="1634" t="s">
        <v>1327</v>
      </c>
      <c r="AO44" s="1634" t="s">
        <v>3363</v>
      </c>
      <c r="AP44" s="1634" t="s">
        <v>1327</v>
      </c>
      <c r="AQ44" s="1634" t="s">
        <v>1327</v>
      </c>
      <c r="AR44" s="1634" t="s">
        <v>1327</v>
      </c>
      <c r="AS44" s="1634" t="s">
        <v>3200</v>
      </c>
    </row>
    <row r="45" spans="1:45" hidden="1">
      <c r="A45" s="1634" t="s">
        <v>3503</v>
      </c>
      <c r="B45" s="1634" t="s">
        <v>3095</v>
      </c>
      <c r="C45" s="1634" t="s">
        <v>3268</v>
      </c>
      <c r="D45" s="1634" t="s">
        <v>3184</v>
      </c>
      <c r="E45" s="1634" t="s">
        <v>1327</v>
      </c>
      <c r="F45" s="1634" t="s">
        <v>3504</v>
      </c>
      <c r="G45" s="1634" t="s">
        <v>3369</v>
      </c>
      <c r="H45" s="1634" t="s">
        <v>3505</v>
      </c>
      <c r="I45" s="1634" t="s">
        <v>3271</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3262</v>
      </c>
      <c r="X45" s="1634" t="s">
        <v>1327</v>
      </c>
      <c r="Y45" s="1634" t="s">
        <v>3506</v>
      </c>
      <c r="Z45" s="1634" t="s">
        <v>3506</v>
      </c>
      <c r="AA45" s="1634" t="s">
        <v>3507</v>
      </c>
      <c r="AB45" s="1634" t="s">
        <v>1327</v>
      </c>
      <c r="AC45" s="1634" t="s">
        <v>3197</v>
      </c>
      <c r="AD45" s="1634" t="s">
        <v>3508</v>
      </c>
      <c r="AE45" s="1634">
        <v>11000</v>
      </c>
      <c r="AF45" s="1634">
        <v>59500</v>
      </c>
      <c r="AG45" s="1634">
        <v>95910</v>
      </c>
      <c r="AH45" s="1634">
        <v>620.37</v>
      </c>
      <c r="AI45" s="1634">
        <v>999.99</v>
      </c>
      <c r="AJ45" s="1634">
        <v>6203.66</v>
      </c>
      <c r="AK45" s="1634">
        <v>9999.89</v>
      </c>
      <c r="AL45" s="1634" t="s">
        <v>1327</v>
      </c>
      <c r="AM45" s="1634" t="s">
        <v>1327</v>
      </c>
      <c r="AN45" s="1634">
        <v>61.19</v>
      </c>
      <c r="AO45" s="1634" t="s">
        <v>3363</v>
      </c>
      <c r="AP45" s="1634" t="s">
        <v>1327</v>
      </c>
      <c r="AQ45" s="1634" t="s">
        <v>1327</v>
      </c>
      <c r="AR45" s="1634" t="s">
        <v>1327</v>
      </c>
      <c r="AS45" s="1634" t="s">
        <v>3212</v>
      </c>
    </row>
    <row r="46" spans="1:45" hidden="1">
      <c r="A46" s="1634" t="s">
        <v>3509</v>
      </c>
      <c r="B46" s="1634" t="s">
        <v>3095</v>
      </c>
      <c r="C46" s="1634" t="s">
        <v>3183</v>
      </c>
      <c r="D46" s="1634" t="s">
        <v>3184</v>
      </c>
      <c r="E46" s="1634" t="s">
        <v>1327</v>
      </c>
      <c r="F46" s="1634" t="s">
        <v>3510</v>
      </c>
      <c r="G46" s="1634" t="s">
        <v>3369</v>
      </c>
      <c r="H46" s="1634" t="s">
        <v>3511</v>
      </c>
      <c r="I46" s="1634" t="s">
        <v>3512</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3262</v>
      </c>
      <c r="X46" s="1634" t="s">
        <v>1327</v>
      </c>
      <c r="Y46" s="1634" t="s">
        <v>3506</v>
      </c>
      <c r="Z46" s="1634" t="s">
        <v>3506</v>
      </c>
      <c r="AA46" s="1634" t="s">
        <v>3507</v>
      </c>
      <c r="AB46" s="1634" t="s">
        <v>1327</v>
      </c>
      <c r="AC46" s="1634" t="s">
        <v>3197</v>
      </c>
      <c r="AD46" s="1634" t="s">
        <v>3513</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3363</v>
      </c>
      <c r="AP46" s="1634" t="s">
        <v>1327</v>
      </c>
      <c r="AQ46" s="1634" t="s">
        <v>1327</v>
      </c>
      <c r="AR46" s="1634" t="s">
        <v>1327</v>
      </c>
      <c r="AS46" s="1634" t="s">
        <v>3200</v>
      </c>
    </row>
    <row r="47" spans="1:45" hidden="1">
      <c r="A47" s="1634" t="s">
        <v>3514</v>
      </c>
      <c r="B47" s="1634" t="s">
        <v>3095</v>
      </c>
      <c r="C47" s="1634" t="s">
        <v>3183</v>
      </c>
      <c r="D47" s="1634" t="s">
        <v>3184</v>
      </c>
      <c r="E47" s="1634" t="s">
        <v>1327</v>
      </c>
      <c r="F47" s="1634" t="s">
        <v>3515</v>
      </c>
      <c r="G47" s="1634" t="s">
        <v>3369</v>
      </c>
      <c r="H47" s="1634" t="s">
        <v>3516</v>
      </c>
      <c r="I47" s="1634" t="s">
        <v>3271</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3262</v>
      </c>
      <c r="X47" s="1634" t="s">
        <v>1327</v>
      </c>
      <c r="Y47" s="1634" t="s">
        <v>3506</v>
      </c>
      <c r="Z47" s="1634" t="s">
        <v>3506</v>
      </c>
      <c r="AA47" s="1634" t="s">
        <v>3507</v>
      </c>
      <c r="AB47" s="1634" t="s">
        <v>1327</v>
      </c>
      <c r="AC47" s="1634" t="s">
        <v>3197</v>
      </c>
      <c r="AD47" s="1634" t="s">
        <v>3517</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3363</v>
      </c>
      <c r="AP47" s="1634" t="s">
        <v>1327</v>
      </c>
      <c r="AQ47" s="1634" t="s">
        <v>1327</v>
      </c>
      <c r="AR47" s="1634" t="s">
        <v>1327</v>
      </c>
      <c r="AS47" s="1634" t="s">
        <v>3212</v>
      </c>
    </row>
    <row r="48" spans="1:45" hidden="1">
      <c r="A48" s="1634" t="s">
        <v>3518</v>
      </c>
      <c r="B48" s="1634" t="s">
        <v>3095</v>
      </c>
      <c r="C48" s="1634" t="s">
        <v>3183</v>
      </c>
      <c r="D48" s="1634" t="s">
        <v>3184</v>
      </c>
      <c r="E48" s="1634" t="s">
        <v>1327</v>
      </c>
      <c r="F48" s="1634" t="s">
        <v>3519</v>
      </c>
      <c r="G48" s="1634" t="s">
        <v>3369</v>
      </c>
      <c r="H48" s="1634" t="s">
        <v>3520</v>
      </c>
      <c r="I48" s="1634" t="s">
        <v>3521</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3262</v>
      </c>
      <c r="X48" s="1634" t="s">
        <v>1327</v>
      </c>
      <c r="Y48" s="1634" t="s">
        <v>3522</v>
      </c>
      <c r="Z48" s="1634" t="s">
        <v>3522</v>
      </c>
      <c r="AA48" s="1634" t="s">
        <v>3523</v>
      </c>
      <c r="AB48" s="1634" t="s">
        <v>1327</v>
      </c>
      <c r="AC48" s="1634" t="s">
        <v>3197</v>
      </c>
      <c r="AD48" s="1634" t="s">
        <v>3524</v>
      </c>
      <c r="AE48" s="1634">
        <v>6000</v>
      </c>
      <c r="AF48" s="1634" t="s">
        <v>1327</v>
      </c>
      <c r="AG48" s="1634">
        <v>29026</v>
      </c>
      <c r="AH48" s="1634" t="s">
        <v>1327</v>
      </c>
      <c r="AI48" s="1634">
        <v>352.2</v>
      </c>
      <c r="AJ48" s="1634" t="s">
        <v>1327</v>
      </c>
      <c r="AK48" s="1634">
        <v>2790.84</v>
      </c>
      <c r="AL48" s="1634" t="s">
        <v>1327</v>
      </c>
      <c r="AM48" s="1634" t="s">
        <v>1327</v>
      </c>
      <c r="AN48" s="1634" t="s">
        <v>1327</v>
      </c>
      <c r="AO48" s="1634" t="s">
        <v>3405</v>
      </c>
      <c r="AP48" s="1634" t="s">
        <v>1327</v>
      </c>
      <c r="AQ48" s="1634" t="s">
        <v>1327</v>
      </c>
      <c r="AR48" s="1634" t="s">
        <v>1327</v>
      </c>
      <c r="AS48" s="1634" t="s">
        <v>3212</v>
      </c>
    </row>
    <row r="49" spans="1:45" hidden="1">
      <c r="A49" s="1634" t="s">
        <v>3525</v>
      </c>
      <c r="B49" s="1634" t="s">
        <v>3095</v>
      </c>
      <c r="C49" s="1634" t="s">
        <v>3268</v>
      </c>
      <c r="D49" s="1634" t="s">
        <v>3184</v>
      </c>
      <c r="E49" s="1634" t="s">
        <v>1327</v>
      </c>
      <c r="F49" s="1634" t="s">
        <v>3526</v>
      </c>
      <c r="G49" s="1634" t="s">
        <v>3369</v>
      </c>
      <c r="H49" s="1634" t="s">
        <v>3527</v>
      </c>
      <c r="I49" s="1634" t="s">
        <v>3528</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3262</v>
      </c>
      <c r="X49" s="1634" t="s">
        <v>1327</v>
      </c>
      <c r="Y49" s="1634" t="s">
        <v>3522</v>
      </c>
      <c r="Z49" s="1634" t="s">
        <v>3522</v>
      </c>
      <c r="AA49" s="1634" t="s">
        <v>3522</v>
      </c>
      <c r="AB49" s="1634" t="s">
        <v>1327</v>
      </c>
      <c r="AC49" s="1634" t="s">
        <v>3197</v>
      </c>
      <c r="AD49" s="1634" t="s">
        <v>3529</v>
      </c>
      <c r="AE49" s="1634">
        <v>6000</v>
      </c>
      <c r="AF49" s="1634" t="s">
        <v>1327</v>
      </c>
      <c r="AG49" s="1634">
        <v>32266</v>
      </c>
      <c r="AH49" s="1634" t="s">
        <v>1327</v>
      </c>
      <c r="AI49" s="1634">
        <v>442.97</v>
      </c>
      <c r="AJ49" s="1634" t="s">
        <v>1327</v>
      </c>
      <c r="AK49" s="1634">
        <v>3020.26</v>
      </c>
      <c r="AL49" s="1634" t="s">
        <v>1327</v>
      </c>
      <c r="AM49" s="1634" t="s">
        <v>1327</v>
      </c>
      <c r="AN49" s="1634" t="s">
        <v>1327</v>
      </c>
      <c r="AO49" s="1634" t="s">
        <v>3530</v>
      </c>
      <c r="AP49" s="1634" t="s">
        <v>1327</v>
      </c>
      <c r="AQ49" s="1634" t="s">
        <v>1327</v>
      </c>
      <c r="AR49" s="1634" t="s">
        <v>1327</v>
      </c>
      <c r="AS49" s="1634" t="s">
        <v>3212</v>
      </c>
    </row>
    <row r="50" spans="1:45" hidden="1">
      <c r="A50" s="1634" t="s">
        <v>3531</v>
      </c>
      <c r="B50" s="1634" t="s">
        <v>3095</v>
      </c>
      <c r="C50" s="1634" t="s">
        <v>3202</v>
      </c>
      <c r="D50" s="1634" t="s">
        <v>3184</v>
      </c>
      <c r="E50" s="1634" t="s">
        <v>1327</v>
      </c>
      <c r="F50" s="1634" t="s">
        <v>3532</v>
      </c>
      <c r="G50" s="1634" t="s">
        <v>3369</v>
      </c>
      <c r="H50" s="1634" t="s">
        <v>3533</v>
      </c>
      <c r="I50" s="1634" t="s">
        <v>3534</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3262</v>
      </c>
      <c r="X50" s="1634" t="s">
        <v>1327</v>
      </c>
      <c r="Y50" s="1634" t="s">
        <v>3535</v>
      </c>
      <c r="Z50" s="1634" t="s">
        <v>3535</v>
      </c>
      <c r="AA50" s="1634" t="s">
        <v>3536</v>
      </c>
      <c r="AB50" s="1634" t="s">
        <v>1327</v>
      </c>
      <c r="AC50" s="1634" t="s">
        <v>3197</v>
      </c>
      <c r="AD50" s="1634" t="s">
        <v>3537</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3389</v>
      </c>
      <c r="AP50" s="1634" t="s">
        <v>1327</v>
      </c>
      <c r="AQ50" s="1634" t="s">
        <v>1327</v>
      </c>
      <c r="AR50" s="1634" t="s">
        <v>1327</v>
      </c>
      <c r="AS50" s="1634" t="s">
        <v>3538</v>
      </c>
    </row>
    <row r="51" spans="1:45" hidden="1">
      <c r="A51" s="1634" t="s">
        <v>3539</v>
      </c>
      <c r="B51" s="1634" t="s">
        <v>3095</v>
      </c>
      <c r="C51" s="1634" t="s">
        <v>3202</v>
      </c>
      <c r="D51" s="1634" t="s">
        <v>3184</v>
      </c>
      <c r="E51" s="1634" t="s">
        <v>1327</v>
      </c>
      <c r="F51" s="1634" t="s">
        <v>3540</v>
      </c>
      <c r="G51" s="1634" t="s">
        <v>3186</v>
      </c>
      <c r="H51" s="1634" t="s">
        <v>3541</v>
      </c>
      <c r="I51" s="1634" t="s">
        <v>3542</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3262</v>
      </c>
      <c r="X51" s="1634" t="s">
        <v>1327</v>
      </c>
      <c r="Y51" s="1634" t="s">
        <v>3543</v>
      </c>
      <c r="Z51" s="1634" t="s">
        <v>3544</v>
      </c>
      <c r="AA51" s="1634" t="s">
        <v>3544</v>
      </c>
      <c r="AB51" s="1634" t="s">
        <v>1327</v>
      </c>
      <c r="AC51" s="1634" t="s">
        <v>3197</v>
      </c>
      <c r="AD51" s="1634" t="s">
        <v>3545</v>
      </c>
      <c r="AE51" s="1634">
        <v>3000</v>
      </c>
      <c r="AF51" s="1634">
        <v>23026</v>
      </c>
      <c r="AG51" s="1634">
        <v>23026</v>
      </c>
      <c r="AH51" s="1634">
        <v>1835.55</v>
      </c>
      <c r="AI51" s="1634">
        <v>1835.55</v>
      </c>
      <c r="AJ51" s="1634">
        <v>7866.48</v>
      </c>
      <c r="AK51" s="1634">
        <v>7866.48</v>
      </c>
      <c r="AL51" s="1634" t="s">
        <v>1327</v>
      </c>
      <c r="AM51" s="1634" t="s">
        <v>1327</v>
      </c>
      <c r="AN51" s="1634">
        <v>0</v>
      </c>
      <c r="AO51" s="1634" t="s">
        <v>3438</v>
      </c>
      <c r="AP51" s="1634" t="s">
        <v>1327</v>
      </c>
      <c r="AQ51" s="1634" t="s">
        <v>1327</v>
      </c>
      <c r="AR51" s="1634" t="s">
        <v>1327</v>
      </c>
      <c r="AS51" s="1634" t="s">
        <v>3200</v>
      </c>
    </row>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00" t="s">
        <v>2645</v>
      </c>
      <c r="S4" s="3201"/>
      <c r="T4" s="3200" t="s">
        <v>2646</v>
      </c>
      <c r="U4" s="3201"/>
      <c r="V4" s="3226" t="s">
        <v>2647</v>
      </c>
      <c r="W4" s="3226"/>
      <c r="X4" s="1812"/>
      <c r="Y4" s="3200" t="s">
        <v>2649</v>
      </c>
      <c r="Z4" s="3201"/>
      <c r="AA4" s="3195" t="s">
        <v>2645</v>
      </c>
      <c r="AB4" s="3196" t="s">
        <v>2646</v>
      </c>
      <c r="AC4" s="3195" t="s">
        <v>2647</v>
      </c>
    </row>
    <row r="5" spans="1:29">
      <c r="A5" s="404"/>
      <c r="B5" s="405"/>
      <c r="C5" s="3243" t="s">
        <v>2540</v>
      </c>
      <c r="D5" s="3207"/>
      <c r="E5" s="3242" t="s">
        <v>2541</v>
      </c>
      <c r="F5" s="3205"/>
      <c r="G5" s="3243" t="s">
        <v>2542</v>
      </c>
      <c r="H5" s="3207"/>
      <c r="I5" s="3243" t="s">
        <v>2543</v>
      </c>
      <c r="J5" s="3207"/>
      <c r="K5" s="610"/>
      <c r="L5" s="1130"/>
      <c r="M5" s="1131"/>
      <c r="N5" s="1131"/>
      <c r="O5" s="1131"/>
      <c r="P5" s="3220"/>
      <c r="Q5" s="3221"/>
      <c r="R5" s="3202"/>
      <c r="S5" s="3203"/>
      <c r="T5" s="3202"/>
      <c r="U5" s="3203"/>
      <c r="V5" s="3226"/>
      <c r="W5" s="3226"/>
      <c r="X5" s="1812"/>
      <c r="Y5" s="3202"/>
      <c r="Z5" s="3203"/>
      <c r="AA5" s="3196"/>
      <c r="AB5" s="3196"/>
      <c r="AC5" s="3196"/>
    </row>
    <row r="6" spans="1:29" ht="15" thickBot="1">
      <c r="A6" s="406"/>
      <c r="B6" s="407"/>
      <c r="C6" s="3264" t="s">
        <v>2795</v>
      </c>
      <c r="D6" s="3265"/>
      <c r="E6" s="3266" t="s">
        <v>2795</v>
      </c>
      <c r="F6" s="3267"/>
      <c r="G6" s="3264" t="s">
        <v>2795</v>
      </c>
      <c r="H6" s="3265"/>
      <c r="I6" s="3264" t="s">
        <v>2795</v>
      </c>
      <c r="J6" s="3265"/>
      <c r="K6" s="610" t="s">
        <v>2545</v>
      </c>
      <c r="L6" s="1130"/>
      <c r="M6" s="1131"/>
      <c r="N6" s="1131"/>
      <c r="O6" s="1131"/>
      <c r="P6" s="3222"/>
      <c r="Q6" s="3223"/>
      <c r="R6" s="3202"/>
      <c r="S6" s="3203"/>
      <c r="T6" s="3224"/>
      <c r="U6" s="3225"/>
      <c r="V6" s="3226"/>
      <c r="W6" s="3226"/>
      <c r="X6" s="1812"/>
      <c r="Y6" s="3224"/>
      <c r="Z6" s="3225"/>
      <c r="AA6" s="3197"/>
      <c r="AB6" s="3197"/>
      <c r="AC6" s="3197"/>
    </row>
    <row r="7" spans="1:29" s="117" customFormat="1" ht="15" thickBot="1">
      <c r="A7" s="408" t="s">
        <v>2546</v>
      </c>
      <c r="B7" s="409"/>
      <c r="C7" s="410">
        <f>'数据-取费表'!B2</f>
        <v>43627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98" t="s">
        <v>2547</v>
      </c>
      <c r="Q7" s="3227"/>
      <c r="R7" s="770" t="s">
        <v>17</v>
      </c>
      <c r="S7" s="771">
        <f t="shared" ref="S7:S15" si="0">F7</f>
        <v>0</v>
      </c>
      <c r="T7" s="770" t="s">
        <v>17</v>
      </c>
      <c r="U7" s="771">
        <f t="shared" ref="U7:U15" si="1">H7</f>
        <v>0</v>
      </c>
      <c r="V7" s="770" t="s">
        <v>17</v>
      </c>
      <c r="W7" s="771">
        <f t="shared" ref="W7:W15" si="2">J7</f>
        <v>0</v>
      </c>
      <c r="X7" s="772"/>
      <c r="Y7" s="3198" t="s">
        <v>2547</v>
      </c>
      <c r="Z7" s="3199"/>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8" t="s">
        <v>2550</v>
      </c>
      <c r="Q8" s="3199"/>
      <c r="R8" s="770" t="s">
        <v>17</v>
      </c>
      <c r="S8" s="771">
        <f t="shared" si="0"/>
        <v>0</v>
      </c>
      <c r="T8" s="770" t="s">
        <v>17</v>
      </c>
      <c r="U8" s="771">
        <f t="shared" si="1"/>
        <v>0</v>
      </c>
      <c r="V8" s="770" t="s">
        <v>17</v>
      </c>
      <c r="W8" s="771">
        <f t="shared" si="2"/>
        <v>0</v>
      </c>
      <c r="X8" s="772"/>
      <c r="Y8" s="3198" t="s">
        <v>2550</v>
      </c>
      <c r="Z8" s="3199"/>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1"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31"/>
      <c r="Q10" s="1794" t="str">
        <f t="shared" si="6"/>
        <v>土地使用年限（年）</v>
      </c>
      <c r="R10" s="770" t="s">
        <v>17</v>
      </c>
      <c r="S10" s="771">
        <f t="shared" si="0"/>
        <v>102</v>
      </c>
      <c r="T10" s="770" t="s">
        <v>17</v>
      </c>
      <c r="U10" s="771">
        <f t="shared" si="1"/>
        <v>102</v>
      </c>
      <c r="V10" s="770" t="s">
        <v>17</v>
      </c>
      <c r="W10" s="771">
        <f t="shared" si="2"/>
        <v>102</v>
      </c>
      <c r="X10" s="772"/>
      <c r="Y10" s="3045"/>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2558</v>
      </c>
      <c r="Q15" s="1809" t="str">
        <f t="shared" si="6"/>
        <v>产业集聚程度</v>
      </c>
      <c r="R15" s="774" t="s">
        <v>17</v>
      </c>
      <c r="S15" s="775">
        <f t="shared" si="0"/>
        <v>100</v>
      </c>
      <c r="T15" s="774" t="s">
        <v>17</v>
      </c>
      <c r="U15" s="775">
        <f t="shared" si="1"/>
        <v>100</v>
      </c>
      <c r="V15" s="774" t="s">
        <v>17</v>
      </c>
      <c r="W15" s="775">
        <f t="shared" si="2"/>
        <v>100</v>
      </c>
      <c r="X15" s="1812"/>
      <c r="Y15" s="3233"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34"/>
      <c r="Q16" s="1809"/>
      <c r="R16" s="774"/>
      <c r="S16" s="775"/>
      <c r="T16" s="774"/>
      <c r="U16" s="775"/>
      <c r="V16" s="774"/>
      <c r="W16" s="775"/>
      <c r="X16" s="1812"/>
      <c r="Y16" s="3234"/>
      <c r="Z16" s="1813"/>
      <c r="AA16" s="1810">
        <v>1</v>
      </c>
      <c r="AB16" s="1810">
        <v>1</v>
      </c>
      <c r="AC16" s="1810">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34"/>
      <c r="Q18" s="1809"/>
      <c r="R18" s="774"/>
      <c r="S18" s="775"/>
      <c r="T18" s="774"/>
      <c r="U18" s="775"/>
      <c r="V18" s="774"/>
      <c r="W18" s="775"/>
      <c r="X18" s="1812"/>
      <c r="Y18" s="3234"/>
      <c r="Z18" s="1813"/>
      <c r="AA18" s="1810">
        <v>1</v>
      </c>
      <c r="AB18" s="1810">
        <v>1</v>
      </c>
      <c r="AC18" s="1810">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09" t="str">
        <f t="shared" ref="Q19:Q33" si="8">B19</f>
        <v>区域土地利用方向</v>
      </c>
      <c r="R19" s="774" t="s">
        <v>17</v>
      </c>
      <c r="S19" s="775">
        <f>F19</f>
        <v>100</v>
      </c>
      <c r="T19" s="774" t="s">
        <v>17</v>
      </c>
      <c r="U19" s="775">
        <f>H19</f>
        <v>100</v>
      </c>
      <c r="V19" s="774" t="s">
        <v>17</v>
      </c>
      <c r="W19" s="775">
        <f>J19</f>
        <v>100</v>
      </c>
      <c r="X19" s="1812"/>
      <c r="Y19" s="3234"/>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34"/>
      <c r="Q20" s="1809"/>
      <c r="R20" s="774"/>
      <c r="S20" s="775"/>
      <c r="T20" s="774"/>
      <c r="U20" s="775"/>
      <c r="V20" s="774"/>
      <c r="W20" s="775"/>
      <c r="X20" s="1812"/>
      <c r="Y20" s="3234"/>
      <c r="Z20" s="1813"/>
      <c r="AA20" s="1810"/>
      <c r="AB20" s="1810"/>
      <c r="AC20" s="1810"/>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09" t="str">
        <f t="shared" si="8"/>
        <v>环境状况</v>
      </c>
      <c r="R21" s="774" t="s">
        <v>17</v>
      </c>
      <c r="S21" s="775">
        <f>F21</f>
        <v>100</v>
      </c>
      <c r="T21" s="774" t="s">
        <v>17</v>
      </c>
      <c r="U21" s="775">
        <f>H21</f>
        <v>100</v>
      </c>
      <c r="V21" s="774" t="s">
        <v>17</v>
      </c>
      <c r="W21" s="775">
        <f>J21</f>
        <v>100</v>
      </c>
      <c r="X21" s="1812"/>
      <c r="Y21" s="3234"/>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34"/>
      <c r="Q22" s="1809"/>
      <c r="R22" s="774"/>
      <c r="S22" s="775"/>
      <c r="T22" s="774"/>
      <c r="U22" s="775"/>
      <c r="V22" s="774"/>
      <c r="W22" s="775"/>
      <c r="X22" s="1812"/>
      <c r="Y22" s="3234"/>
      <c r="Z22" s="1813"/>
      <c r="AA22" s="1810">
        <v>1</v>
      </c>
      <c r="AB22" s="1810">
        <v>1</v>
      </c>
      <c r="AC22" s="1810">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4" t="str">
        <f t="shared" si="8"/>
        <v>公共配套设施</v>
      </c>
      <c r="R23" s="770" t="s">
        <v>17</v>
      </c>
      <c r="S23" s="771">
        <f>F23</f>
        <v>100</v>
      </c>
      <c r="T23" s="770" t="s">
        <v>17</v>
      </c>
      <c r="U23" s="771">
        <f>H23</f>
        <v>100</v>
      </c>
      <c r="V23" s="770" t="s">
        <v>17</v>
      </c>
      <c r="W23" s="771">
        <f>J23</f>
        <v>100</v>
      </c>
      <c r="X23" s="772"/>
      <c r="Y23" s="3234"/>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34"/>
      <c r="Q24" s="1794"/>
      <c r="R24" s="770"/>
      <c r="S24" s="771"/>
      <c r="T24" s="770"/>
      <c r="U24" s="771"/>
      <c r="V24" s="770"/>
      <c r="W24" s="771"/>
      <c r="X24" s="772"/>
      <c r="Y24" s="3234"/>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4"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34"/>
      <c r="Q26" s="1794"/>
      <c r="R26" s="770"/>
      <c r="S26" s="771"/>
      <c r="T26" s="770"/>
      <c r="U26" s="771"/>
      <c r="V26" s="770"/>
      <c r="W26" s="771"/>
      <c r="X26" s="772"/>
      <c r="Y26" s="323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4"/>
      <c r="Z27" s="1813" t="str">
        <f t="shared" ref="Z27:Z40" si="13">Q27</f>
        <v>临街状况</v>
      </c>
      <c r="AA27" s="1810">
        <f t="shared" si="3"/>
        <v>1</v>
      </c>
      <c r="AB27" s="1810">
        <f t="shared" si="4"/>
        <v>1</v>
      </c>
      <c r="AC27" s="1810">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09" t="str">
        <f t="shared" si="8"/>
        <v>毗邻道路的类型与等级</v>
      </c>
      <c r="R28" s="774" t="s">
        <v>17</v>
      </c>
      <c r="S28" s="775">
        <f t="shared" si="10"/>
        <v>100</v>
      </c>
      <c r="T28" s="774" t="s">
        <v>17</v>
      </c>
      <c r="U28" s="775">
        <f t="shared" si="11"/>
        <v>100</v>
      </c>
      <c r="V28" s="774" t="s">
        <v>17</v>
      </c>
      <c r="W28" s="775">
        <f t="shared" si="12"/>
        <v>100</v>
      </c>
      <c r="X28" s="1812"/>
      <c r="Y28" s="3234"/>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34"/>
      <c r="Q29" s="1809"/>
      <c r="R29" s="774"/>
      <c r="S29" s="775"/>
      <c r="T29" s="774"/>
      <c r="U29" s="775"/>
      <c r="V29" s="774"/>
      <c r="W29" s="775"/>
      <c r="X29" s="1812"/>
      <c r="Y29" s="3234"/>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09" t="str">
        <f t="shared" si="8"/>
        <v>土地级别</v>
      </c>
      <c r="R30" s="774" t="s">
        <v>17</v>
      </c>
      <c r="S30" s="775">
        <f t="shared" si="10"/>
        <v>100</v>
      </c>
      <c r="T30" s="774" t="s">
        <v>17</v>
      </c>
      <c r="U30" s="775">
        <f t="shared" si="11"/>
        <v>100</v>
      </c>
      <c r="V30" s="774" t="s">
        <v>17</v>
      </c>
      <c r="W30" s="775">
        <f t="shared" si="12"/>
        <v>100</v>
      </c>
      <c r="X30" s="1812"/>
      <c r="Y30" s="323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09">
        <f t="shared" si="8"/>
        <v>111</v>
      </c>
      <c r="R31" s="774" t="s">
        <v>17</v>
      </c>
      <c r="S31" s="775">
        <f t="shared" si="10"/>
        <v>100</v>
      </c>
      <c r="T31" s="774" t="s">
        <v>17</v>
      </c>
      <c r="U31" s="775">
        <f t="shared" si="11"/>
        <v>100</v>
      </c>
      <c r="V31" s="774" t="s">
        <v>17</v>
      </c>
      <c r="W31" s="775">
        <f t="shared" si="12"/>
        <v>100</v>
      </c>
      <c r="X31" s="1812"/>
      <c r="Y31" s="323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2563</v>
      </c>
      <c r="Q32" s="1809">
        <f t="shared" si="8"/>
        <v>111</v>
      </c>
      <c r="R32" s="774" t="s">
        <v>17</v>
      </c>
      <c r="S32" s="775">
        <f t="shared" si="10"/>
        <v>100</v>
      </c>
      <c r="T32" s="774" t="s">
        <v>17</v>
      </c>
      <c r="U32" s="775">
        <f t="shared" si="11"/>
        <v>100</v>
      </c>
      <c r="V32" s="774" t="s">
        <v>17</v>
      </c>
      <c r="W32" s="775">
        <f t="shared" si="12"/>
        <v>100</v>
      </c>
      <c r="X32" s="1812"/>
      <c r="Y32" s="3238" t="s">
        <v>2563</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8"/>
      <c r="Q33" s="1809">
        <f t="shared" si="8"/>
        <v>111</v>
      </c>
      <c r="R33" s="777" t="s">
        <v>17</v>
      </c>
      <c r="S33" s="778">
        <f t="shared" si="10"/>
        <v>100</v>
      </c>
      <c r="T33" s="777" t="s">
        <v>17</v>
      </c>
      <c r="U33" s="778">
        <f t="shared" si="11"/>
        <v>100</v>
      </c>
      <c r="V33" s="777" t="s">
        <v>17</v>
      </c>
      <c r="W33" s="778">
        <f t="shared" si="12"/>
        <v>100</v>
      </c>
      <c r="X33" s="779"/>
      <c r="Y33" s="3238"/>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8"/>
      <c r="Q34" s="1809" t="str">
        <f>B34</f>
        <v>宗地面积</v>
      </c>
      <c r="R34" s="774" t="s">
        <v>17</v>
      </c>
      <c r="S34" s="775" t="e">
        <f t="shared" si="10"/>
        <v>#N/A</v>
      </c>
      <c r="T34" s="774" t="s">
        <v>17</v>
      </c>
      <c r="U34" s="775" t="e">
        <f t="shared" si="11"/>
        <v>#N/A</v>
      </c>
      <c r="V34" s="774" t="s">
        <v>17</v>
      </c>
      <c r="W34" s="775" t="e">
        <f t="shared" si="12"/>
        <v>#N/A</v>
      </c>
      <c r="X34" s="1812"/>
      <c r="Y34" s="3238"/>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8"/>
      <c r="Q35" s="1809" t="str">
        <f t="shared" ref="Q35:Q40" si="14">B35</f>
        <v>宗地形状</v>
      </c>
      <c r="R35" s="774" t="s">
        <v>17</v>
      </c>
      <c r="S35" s="775">
        <f t="shared" si="10"/>
        <v>100</v>
      </c>
      <c r="T35" s="774" t="s">
        <v>17</v>
      </c>
      <c r="U35" s="775">
        <f t="shared" si="11"/>
        <v>100</v>
      </c>
      <c r="V35" s="774" t="s">
        <v>17</v>
      </c>
      <c r="W35" s="775">
        <f t="shared" si="12"/>
        <v>100</v>
      </c>
      <c r="X35" s="1812"/>
      <c r="Y35" s="3238"/>
      <c r="Z35" s="1813" t="str">
        <f t="shared" si="13"/>
        <v>宗地形状</v>
      </c>
      <c r="AA35" s="1810">
        <f t="shared" si="3"/>
        <v>1</v>
      </c>
      <c r="AB35" s="1810">
        <f t="shared" si="4"/>
        <v>1</v>
      </c>
      <c r="AC35" s="1810">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38"/>
      <c r="Q36" s="1809"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8" t="s">
        <v>2563</v>
      </c>
      <c r="Q37" s="1809" t="str">
        <f t="shared" si="14"/>
        <v>工程地质条件</v>
      </c>
      <c r="R37" s="774" t="s">
        <v>17</v>
      </c>
      <c r="S37" s="775">
        <f t="shared" si="10"/>
        <v>100</v>
      </c>
      <c r="T37" s="774" t="s">
        <v>17</v>
      </c>
      <c r="U37" s="775">
        <f t="shared" si="11"/>
        <v>100</v>
      </c>
      <c r="V37" s="774" t="s">
        <v>17</v>
      </c>
      <c r="W37" s="775">
        <f t="shared" si="12"/>
        <v>100</v>
      </c>
      <c r="X37" s="1812"/>
      <c r="Y37" s="3238"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8"/>
      <c r="Q38" s="1809">
        <f t="shared" si="14"/>
        <v>111</v>
      </c>
      <c r="R38" s="774" t="s">
        <v>17</v>
      </c>
      <c r="S38" s="775">
        <f t="shared" si="10"/>
        <v>100</v>
      </c>
      <c r="T38" s="774" t="s">
        <v>17</v>
      </c>
      <c r="U38" s="775">
        <f t="shared" si="11"/>
        <v>100</v>
      </c>
      <c r="V38" s="774" t="s">
        <v>17</v>
      </c>
      <c r="W38" s="775">
        <f t="shared" si="12"/>
        <v>100</v>
      </c>
      <c r="X38" s="1812"/>
      <c r="Y38" s="323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8"/>
      <c r="Q39" s="1809">
        <f t="shared" si="14"/>
        <v>111</v>
      </c>
      <c r="R39" s="774" t="s">
        <v>17</v>
      </c>
      <c r="S39" s="775">
        <f t="shared" si="10"/>
        <v>100</v>
      </c>
      <c r="T39" s="774" t="s">
        <v>17</v>
      </c>
      <c r="U39" s="775">
        <f t="shared" si="11"/>
        <v>100</v>
      </c>
      <c r="V39" s="774" t="s">
        <v>17</v>
      </c>
      <c r="W39" s="775">
        <f t="shared" si="12"/>
        <v>100</v>
      </c>
      <c r="X39" s="1812"/>
      <c r="Y39" s="3238"/>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8"/>
      <c r="Q40" s="1809">
        <f t="shared" si="14"/>
        <v>111</v>
      </c>
      <c r="R40" s="777" t="s">
        <v>17</v>
      </c>
      <c r="S40" s="778">
        <f t="shared" si="10"/>
        <v>100</v>
      </c>
      <c r="T40" s="777" t="s">
        <v>17</v>
      </c>
      <c r="U40" s="778">
        <f t="shared" si="11"/>
        <v>100</v>
      </c>
      <c r="V40" s="777" t="s">
        <v>17</v>
      </c>
      <c r="W40" s="778">
        <f t="shared" si="12"/>
        <v>100</v>
      </c>
      <c r="X40" s="779"/>
      <c r="Y40" s="3238"/>
      <c r="Z40" s="780">
        <f t="shared" si="13"/>
        <v>111</v>
      </c>
      <c r="AA40" s="1810">
        <f t="shared" si="3"/>
        <v>1</v>
      </c>
      <c r="AB40" s="1810">
        <f t="shared" si="4"/>
        <v>1</v>
      </c>
      <c r="AC40" s="1810">
        <f t="shared" si="5"/>
        <v>1</v>
      </c>
    </row>
    <row r="41" spans="1:29" ht="14.4">
      <c r="A41" s="479" t="s">
        <v>2718</v>
      </c>
      <c r="B41" s="2702" t="s">
        <v>2798</v>
      </c>
      <c r="C41" s="682" t="s">
        <v>1</v>
      </c>
      <c r="D41" s="481"/>
      <c r="E41" s="482"/>
      <c r="F41" s="483"/>
      <c r="G41" s="484"/>
      <c r="H41" s="485"/>
      <c r="I41" s="482"/>
      <c r="J41" s="485"/>
      <c r="K41" s="783"/>
      <c r="L41" s="1143"/>
      <c r="M41" s="1131"/>
      <c r="N41" s="1131"/>
      <c r="O41" s="1144"/>
      <c r="P41" s="3231" t="str">
        <f>A41</f>
        <v>成交单价</v>
      </c>
      <c r="Q41" s="3231"/>
      <c r="R41" s="3226">
        <f>E41</f>
        <v>0</v>
      </c>
      <c r="S41" s="3226"/>
      <c r="T41" s="3226">
        <f>G41</f>
        <v>0</v>
      </c>
      <c r="U41" s="3226"/>
      <c r="V41" s="3226">
        <f>I41</f>
        <v>0</v>
      </c>
      <c r="W41" s="3226"/>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31" t="str">
        <f>A42</f>
        <v>比较价值（元/平方米）</v>
      </c>
      <c r="Q42" s="323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28" t="str">
        <f>A43</f>
        <v>估价对象XX用房的比较价值（楼面单价，元/平方米）</v>
      </c>
      <c r="Q43" s="3229"/>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214" t="s">
        <v>2762</v>
      </c>
      <c r="H50" s="3262"/>
      <c r="I50" s="1813" t="s">
        <v>2799</v>
      </c>
      <c r="J50" s="1813">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72225.73</v>
      </c>
      <c r="F51" s="691" t="e">
        <f t="shared" ref="F51:F60" si="15">ROUND(B51*E51/10000,0)</f>
        <v>#DIV/0!</v>
      </c>
      <c r="G51" s="3213"/>
      <c r="H51" s="3231"/>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63" t="s">
        <v>2767</v>
      </c>
      <c r="H52" s="1104" t="str">
        <f>项目基本情况!B37</f>
        <v>七级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63"/>
      <c r="H53" s="1104" t="str">
        <f>项目基本情况!B37</f>
        <v>七级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63"/>
      <c r="H54" s="1104" t="str">
        <f>项目基本情况!B37</f>
        <v>七级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63"/>
      <c r="H55" s="1104" t="str">
        <f>项目基本情况!B37</f>
        <v>七级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7"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0.2</v>
      </c>
      <c r="D58" s="1164">
        <v>0.25</v>
      </c>
      <c r="E58" s="261">
        <f>'数据-汇总表'!E13</f>
        <v>17927.650000000001</v>
      </c>
      <c r="F58" s="691" t="e">
        <f t="shared" si="15"/>
        <v>#DIV/0!</v>
      </c>
      <c r="G58" s="1109" t="s">
        <v>2776</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七级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七级</v>
      </c>
      <c r="I60" s="942">
        <f>SUMIF(修正!A45:A56,H60,修正!H45:H56)</f>
        <v>0.2</v>
      </c>
      <c r="J60" s="943"/>
      <c r="K60" s="1144"/>
      <c r="L60" s="941"/>
      <c r="M60" s="941"/>
      <c r="N60" s="941"/>
      <c r="O60" s="941"/>
    </row>
    <row r="61" spans="1:17" s="692" customFormat="1" ht="14.4" thickBot="1">
      <c r="A61" s="695" t="s">
        <v>2779</v>
      </c>
      <c r="B61" s="696" t="s">
        <v>28</v>
      </c>
      <c r="C61" s="696" t="s">
        <v>29</v>
      </c>
      <c r="D61" s="696" t="s">
        <v>1026</v>
      </c>
      <c r="E61" s="696">
        <f>IF(B41="楼面地价",SUM(E51:E60),'数据-汇总表'!D3)</f>
        <v>20087.55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19" t="s">
        <v>2817</v>
      </c>
      <c r="D3" s="2720" t="s">
        <v>2818</v>
      </c>
      <c r="E3" s="2725"/>
      <c r="F3" s="2726" t="s">
        <v>2819</v>
      </c>
      <c r="G3" s="916">
        <f>IF(F3="宗地容积率",'数据-汇总表'!I4,IF(F3="估价对象容积率",'数据-汇总表'!I6,'数据-汇总表'!I7))</f>
        <v>3.79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4"/>
      <c r="B4" s="3285"/>
      <c r="C4" s="3285"/>
      <c r="D4" s="3286"/>
      <c r="E4" s="3286"/>
      <c r="F4" s="3286"/>
      <c r="G4" s="3286"/>
      <c r="H4" s="3286"/>
      <c r="I4" s="3286"/>
      <c r="J4" s="3287"/>
      <c r="K4" s="1370"/>
      <c r="L4" s="2724"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7" t="e">
        <f>ROUND(IF(E2="商业",C6*C7+C16,(IF(E2="住宅",C6*C12+C16,C6+C16))),0)</f>
        <v>#DIV/0!</v>
      </c>
      <c r="D5" s="1786" t="e">
        <f>ROUND(IF(F17="增加",C6+C16,C6-C16),0)</f>
        <v>#DIV/0!</v>
      </c>
      <c r="E5" s="1786"/>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1"/>
      <c r="L6" s="2724"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8" t="str">
        <f>IF(E2="商业",IF(C8="不临58条商业街","",2),"")</f>
        <v/>
      </c>
      <c r="B7" s="2743" t="s">
        <v>2830</v>
      </c>
      <c r="C7" s="919" t="e">
        <f>IF(C8="不临58条商业街",1,ROUND(1+(1.6*E8+1.2*E9+0.8*E10+0.4*E11)*C9,4))</f>
        <v>#DIV/0!</v>
      </c>
      <c r="D7" s="2744" t="s">
        <v>2831</v>
      </c>
      <c r="E7" s="945"/>
      <c r="F7" s="2745"/>
      <c r="G7" s="2746"/>
      <c r="H7" s="2746"/>
      <c r="I7" s="2746"/>
      <c r="J7" s="2747"/>
      <c r="K7" s="1841"/>
      <c r="L7" s="2724"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3.79</v>
      </c>
      <c r="AA7" s="1605"/>
      <c r="AB7" s="1605"/>
      <c r="AC7" s="1606"/>
      <c r="AD7" s="1607"/>
      <c r="AE7" s="1607"/>
      <c r="AF7" s="1607"/>
      <c r="AG7" s="1607"/>
      <c r="AH7" s="1607"/>
      <c r="AI7" s="1607"/>
      <c r="AJ7" s="1608"/>
    </row>
    <row r="8" spans="1:36" ht="15">
      <c r="A8" s="3288"/>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1" t="s">
        <v>2838</v>
      </c>
      <c r="X8" s="3282"/>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8"/>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3"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8"/>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88"/>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3" t="s">
        <v>2862</v>
      </c>
      <c r="X11" s="1613" t="s">
        <v>2863</v>
      </c>
      <c r="Y11" s="1614">
        <f>$G$3</f>
        <v>3.79</v>
      </c>
      <c r="Z11" s="1614">
        <f t="shared" ref="Z11:AJ11" si="3">$G$3</f>
        <v>3.79</v>
      </c>
      <c r="AA11" s="1614">
        <f t="shared" si="3"/>
        <v>3.79</v>
      </c>
      <c r="AB11" s="1614">
        <f t="shared" si="3"/>
        <v>3.79</v>
      </c>
      <c r="AC11" s="1614">
        <f t="shared" si="3"/>
        <v>3.79</v>
      </c>
      <c r="AD11" s="1614">
        <f t="shared" si="3"/>
        <v>3.79</v>
      </c>
      <c r="AE11" s="1614">
        <f t="shared" si="3"/>
        <v>3.79</v>
      </c>
      <c r="AF11" s="1614">
        <f t="shared" si="3"/>
        <v>3.79</v>
      </c>
      <c r="AG11" s="1614">
        <f t="shared" si="3"/>
        <v>3.79</v>
      </c>
      <c r="AH11" s="1614">
        <f t="shared" si="3"/>
        <v>3.79</v>
      </c>
      <c r="AI11" s="1614">
        <f t="shared" si="3"/>
        <v>3.79</v>
      </c>
      <c r="AJ11" s="1614">
        <f t="shared" si="3"/>
        <v>3.79</v>
      </c>
    </row>
    <row r="12" spans="1:36" ht="25.8" thickBot="1">
      <c r="A12" s="3268"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3"/>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9"/>
      <c r="B13" s="2762" t="s">
        <v>2869</v>
      </c>
      <c r="C13" s="2763" t="s">
        <v>2870</v>
      </c>
      <c r="D13" s="1807" t="s">
        <v>2871</v>
      </c>
      <c r="E13" s="1807" t="s">
        <v>2872</v>
      </c>
      <c r="F13" s="30" t="s">
        <v>2873</v>
      </c>
      <c r="G13" s="2764" t="s">
        <v>2874</v>
      </c>
      <c r="H13" s="2764" t="s">
        <v>2874</v>
      </c>
      <c r="I13" s="2764" t="s">
        <v>2874</v>
      </c>
      <c r="J13" s="2765" t="s">
        <v>2874</v>
      </c>
      <c r="K13" s="1370"/>
      <c r="L13" s="1370"/>
      <c r="M13" s="1370"/>
      <c r="N13" s="1370"/>
      <c r="O13" s="1370"/>
      <c r="P13" s="1370"/>
      <c r="Q13" s="1370"/>
      <c r="R13" s="1601">
        <v>12</v>
      </c>
      <c r="S13" s="1602"/>
      <c r="T13" s="1601" t="e">
        <f t="shared" si="0"/>
        <v>#DIV/0!</v>
      </c>
      <c r="U13" s="1602"/>
      <c r="V13" s="1601" t="e">
        <f t="shared" si="1"/>
        <v>#DIV/0!</v>
      </c>
      <c r="W13" s="3283"/>
      <c r="X13" s="1615"/>
      <c r="Y13" s="1612">
        <f>(-0.163*(Y12^2)-0.59*Y12+7617)*(10^(-4))/Y11</f>
        <v>0.20097625329815305</v>
      </c>
      <c r="Z13" s="1612">
        <f t="shared" ref="Z13:AJ13" si="5">(-0.163*(Z12^2)-0.59*Z12+7617)*(10^(-4))/Z11</f>
        <v>0.20097625329815305</v>
      </c>
      <c r="AA13" s="1612">
        <f t="shared" si="5"/>
        <v>0.20097625329815305</v>
      </c>
      <c r="AB13" s="1612">
        <f t="shared" si="5"/>
        <v>0.20097625329815305</v>
      </c>
      <c r="AC13" s="1612">
        <f t="shared" si="5"/>
        <v>0.20097625329815305</v>
      </c>
      <c r="AD13" s="1612">
        <f t="shared" si="5"/>
        <v>0.20097625329815305</v>
      </c>
      <c r="AE13" s="1612">
        <f t="shared" si="5"/>
        <v>0.20097625329815305</v>
      </c>
      <c r="AF13" s="1612">
        <f t="shared" si="5"/>
        <v>0.20097625329815305</v>
      </c>
      <c r="AG13" s="1612">
        <f t="shared" si="5"/>
        <v>0.20097625329815305</v>
      </c>
      <c r="AH13" s="1612">
        <f t="shared" si="5"/>
        <v>0.20097625329815305</v>
      </c>
      <c r="AI13" s="1612">
        <f t="shared" si="5"/>
        <v>0.20097625329815305</v>
      </c>
      <c r="AJ13" s="1612">
        <f t="shared" si="5"/>
        <v>0.20097625329815305</v>
      </c>
    </row>
    <row r="14" spans="1:36" ht="15">
      <c r="A14" s="3289"/>
      <c r="B14" s="2766"/>
      <c r="C14" s="2767"/>
      <c r="D14" s="2768"/>
      <c r="E14" s="2768"/>
      <c r="F14" s="2769"/>
      <c r="G14" s="2770" t="s">
        <v>2875</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0"/>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8" t="s">
        <v>2881</v>
      </c>
      <c r="B16" s="2743" t="s">
        <v>2882</v>
      </c>
      <c r="C16" s="2933" t="e">
        <f>ROUND(IF(F17="与级别开发程度一致",0,(G17-E17)/C17),0)</f>
        <v>#DIV/0!</v>
      </c>
      <c r="D16" s="3279" t="s">
        <v>2886</v>
      </c>
      <c r="E16" s="3280"/>
      <c r="F16" s="3279" t="s">
        <v>2883</v>
      </c>
      <c r="G16" s="3280"/>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69"/>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43627</v>
      </c>
      <c r="H19" s="2788" t="s">
        <v>2892</v>
      </c>
      <c r="I19" s="927" t="str">
        <f>IF(H19="季度增幅（自定义）",SUMIF(N21:N24,E2,O21:O24),"")</f>
        <v/>
      </c>
      <c r="J19" s="2785"/>
      <c r="K19" s="1377"/>
      <c r="L19" s="2789" t="s">
        <v>2893</v>
      </c>
      <c r="M19" s="1733">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2895</v>
      </c>
      <c r="C20" s="929" t="e">
        <f>ROUND(POWER(1+G20,J20-I20)*(POWER(1+G20,I20)-1)/(POWER(1+G20,J20)-1),4)</f>
        <v>#DIV/0!</v>
      </c>
      <c r="D20" s="2796" t="s">
        <v>2896</v>
      </c>
      <c r="E20" s="1767">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4">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2904</v>
      </c>
      <c r="B22" s="2806" t="s">
        <v>2905</v>
      </c>
      <c r="C22" s="1809" t="s">
        <v>2906</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76"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7"/>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7"/>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278"/>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2937</v>
      </c>
      <c r="M38" s="2856">
        <v>0.25</v>
      </c>
      <c r="N38" s="1370"/>
      <c r="O38" s="1370"/>
      <c r="P38" s="1370"/>
      <c r="Q38" s="1370"/>
      <c r="R38" s="1370"/>
      <c r="S38" s="1370"/>
      <c r="T38" s="1370"/>
      <c r="U38" s="1370"/>
      <c r="V38" s="1370"/>
      <c r="W38" s="1370"/>
      <c r="X38" s="1370"/>
      <c r="Y38" s="1370"/>
      <c r="Z38" s="1371"/>
    </row>
    <row r="39" spans="1:37" ht="13.8"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2941</v>
      </c>
      <c r="B47" s="1808" t="s">
        <v>2942</v>
      </c>
      <c r="C47" s="1808" t="s">
        <v>2943</v>
      </c>
      <c r="D47" s="1808" t="s">
        <v>2944</v>
      </c>
      <c r="E47" s="819" t="s">
        <v>2945</v>
      </c>
      <c r="F47" s="2869" t="s">
        <v>2946</v>
      </c>
      <c r="G47" s="1808" t="s">
        <v>754</v>
      </c>
      <c r="H47" s="2870" t="s">
        <v>2947</v>
      </c>
      <c r="I47" s="1808"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2950</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2957</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2958</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2959</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2941</v>
      </c>
      <c r="B58" s="1808"/>
      <c r="C58" s="1808" t="s">
        <v>2943</v>
      </c>
      <c r="D58" s="1808" t="s">
        <v>2944</v>
      </c>
      <c r="E58" s="819" t="s">
        <v>2945</v>
      </c>
      <c r="F58" s="2869" t="s">
        <v>2961</v>
      </c>
      <c r="G58" s="1808" t="s">
        <v>754</v>
      </c>
      <c r="H58" s="2870" t="s">
        <v>2947</v>
      </c>
      <c r="I58" s="1808"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2950</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2957</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2958</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2959</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2941</v>
      </c>
      <c r="B69" s="1808"/>
      <c r="C69" s="1808" t="s">
        <v>2943</v>
      </c>
      <c r="D69" s="1808" t="s">
        <v>2944</v>
      </c>
      <c r="E69" s="819" t="s">
        <v>2945</v>
      </c>
      <c r="F69" s="2869" t="s">
        <v>2961</v>
      </c>
      <c r="G69" s="1808" t="s">
        <v>754</v>
      </c>
      <c r="H69" s="2870" t="s">
        <v>2947</v>
      </c>
      <c r="I69" s="1808"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2964</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2950</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2965</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2957</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2958</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2959</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2967</v>
      </c>
      <c r="B79" s="2865">
        <f>1+E81</f>
        <v>1</v>
      </c>
      <c r="C79" s="814"/>
      <c r="D79" s="814"/>
      <c r="E79" s="815"/>
      <c r="F79" s="2867"/>
      <c r="G79" s="6"/>
      <c r="H79" s="6"/>
      <c r="I79" s="6"/>
      <c r="J79" s="7"/>
      <c r="K79" s="7"/>
      <c r="L79" s="7"/>
      <c r="M79" s="7"/>
      <c r="N79" s="7"/>
      <c r="Z79" s="2718"/>
      <c r="AA79" s="2786"/>
      <c r="AG79" s="1372"/>
      <c r="AK79" s="2786"/>
    </row>
    <row r="80" spans="1:37" ht="25.2">
      <c r="A80" s="2868" t="s">
        <v>2941</v>
      </c>
      <c r="B80" s="1808"/>
      <c r="C80" s="1808" t="s">
        <v>2943</v>
      </c>
      <c r="D80" s="1808" t="s">
        <v>2944</v>
      </c>
      <c r="E80" s="819" t="s">
        <v>2945</v>
      </c>
      <c r="F80" s="2869" t="s">
        <v>2961</v>
      </c>
      <c r="G80" s="1808" t="s">
        <v>754</v>
      </c>
      <c r="H80" s="2870" t="s">
        <v>2947</v>
      </c>
      <c r="I80" s="1808" t="s">
        <v>2948</v>
      </c>
      <c r="J80" s="603" t="s">
        <v>2595</v>
      </c>
      <c r="K80" s="603" t="s">
        <v>2596</v>
      </c>
      <c r="L80" s="603" t="s">
        <v>2597</v>
      </c>
      <c r="M80" s="603" t="s">
        <v>2598</v>
      </c>
      <c r="N80" s="603" t="s">
        <v>2599</v>
      </c>
      <c r="Z80" s="2718"/>
      <c r="AA80" s="2786"/>
      <c r="AG80" s="1372"/>
      <c r="AK80" s="2786"/>
    </row>
    <row r="81" spans="1:37" ht="39.6">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2957</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2958</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70" t="s">
        <v>2971</v>
      </c>
      <c r="B90" s="3270"/>
      <c r="C90" s="3270"/>
      <c r="D90" s="3270"/>
      <c r="E90" s="3270"/>
      <c r="F90" s="3270"/>
      <c r="G90" s="3270"/>
      <c r="H90" s="3270"/>
      <c r="I90" s="3270"/>
      <c r="J90" s="3270"/>
      <c r="K90" s="2882"/>
      <c r="L90" s="2882"/>
      <c r="M90" s="2882"/>
      <c r="N90" s="2882"/>
    </row>
    <row r="91" spans="1:37">
      <c r="A91" s="3272" t="s">
        <v>2972</v>
      </c>
      <c r="B91" s="3272" t="s">
        <v>2973</v>
      </c>
      <c r="C91" s="2836" t="s">
        <v>2974</v>
      </c>
      <c r="D91" s="2837"/>
      <c r="E91" s="2837"/>
      <c r="F91" s="2837"/>
      <c r="G91" s="2837"/>
      <c r="H91" s="2837"/>
      <c r="I91" s="2837"/>
      <c r="J91" s="2883"/>
      <c r="K91" s="2884"/>
      <c r="L91" s="2884"/>
      <c r="M91" s="2884"/>
      <c r="N91" s="2884"/>
    </row>
    <row r="92" spans="1:37">
      <c r="A92" s="3272"/>
      <c r="B92" s="327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3"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4"/>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3" t="s">
        <v>2976</v>
      </c>
      <c r="B101" s="2889" t="s">
        <v>2977</v>
      </c>
      <c r="C101" s="2890">
        <f>$G$3</f>
        <v>3.79</v>
      </c>
      <c r="D101" s="2890">
        <f t="shared" ref="D101:N101" si="31">$G$3</f>
        <v>3.79</v>
      </c>
      <c r="E101" s="2890">
        <f t="shared" si="31"/>
        <v>3.79</v>
      </c>
      <c r="F101" s="2890">
        <f t="shared" si="31"/>
        <v>3.79</v>
      </c>
      <c r="G101" s="2890">
        <f t="shared" si="31"/>
        <v>3.79</v>
      </c>
      <c r="H101" s="2890">
        <f t="shared" si="31"/>
        <v>3.79</v>
      </c>
      <c r="I101" s="2890">
        <f t="shared" si="31"/>
        <v>3.79</v>
      </c>
      <c r="J101" s="2890">
        <f t="shared" si="31"/>
        <v>3.79</v>
      </c>
      <c r="K101" s="2890">
        <f t="shared" si="31"/>
        <v>3.79</v>
      </c>
      <c r="L101" s="2890">
        <f t="shared" si="31"/>
        <v>3.79</v>
      </c>
      <c r="M101" s="2890">
        <f t="shared" si="31"/>
        <v>3.79</v>
      </c>
      <c r="N101" s="2890">
        <f t="shared" si="31"/>
        <v>3.79</v>
      </c>
    </row>
    <row r="102" spans="1:14">
      <c r="A102" s="3274"/>
      <c r="B102" s="2885">
        <v>1</v>
      </c>
      <c r="C102" s="2886">
        <f>1.9362/C101</f>
        <v>0.51087071240105542</v>
      </c>
      <c r="D102" s="2886">
        <f>1.9362/D101</f>
        <v>0.51087071240105542</v>
      </c>
      <c r="E102" s="2886">
        <f>1.8629/E101</f>
        <v>0.49153034300791554</v>
      </c>
      <c r="F102" s="2886">
        <f>1.8629/F101</f>
        <v>0.49153034300791554</v>
      </c>
      <c r="G102" s="2886">
        <f>1.8629/G101</f>
        <v>0.49153034300791554</v>
      </c>
      <c r="H102" s="2886">
        <f>1.8629/H101</f>
        <v>0.49153034300791554</v>
      </c>
      <c r="I102" s="2886">
        <f>1.8629/I101</f>
        <v>0.49153034300791554</v>
      </c>
      <c r="J102" s="2886">
        <f>1.942/J101</f>
        <v>0.51240105540897096</v>
      </c>
      <c r="K102" s="2886">
        <f>1.942/K101</f>
        <v>0.51240105540897096</v>
      </c>
      <c r="L102" s="2886">
        <f>1.942/L101</f>
        <v>0.51240105540897096</v>
      </c>
      <c r="M102" s="2886">
        <f>1.942/M101</f>
        <v>0.51240105540897096</v>
      </c>
      <c r="N102" s="2886">
        <f>1.942/N101</f>
        <v>0.51240105540897096</v>
      </c>
    </row>
    <row r="103" spans="1:14">
      <c r="A103" s="3274"/>
      <c r="B103" s="2885">
        <v>2</v>
      </c>
      <c r="C103" s="2886">
        <f>1.4198/C101</f>
        <v>0.37461741424802109</v>
      </c>
      <c r="D103" s="2886">
        <f>1.4198/D101</f>
        <v>0.37461741424802109</v>
      </c>
      <c r="E103" s="2886">
        <f>1.3372/E101</f>
        <v>0.35282321899736147</v>
      </c>
      <c r="F103" s="2886">
        <f>1.3372/F101</f>
        <v>0.35282321899736147</v>
      </c>
      <c r="G103" s="2886">
        <f>1.3372/G101</f>
        <v>0.35282321899736147</v>
      </c>
      <c r="H103" s="2886">
        <f>1.3372/H101</f>
        <v>0.35282321899736147</v>
      </c>
      <c r="I103" s="2886">
        <f>1.3372/I101</f>
        <v>0.35282321899736147</v>
      </c>
      <c r="J103" s="2886">
        <f>1.2799/J101</f>
        <v>0.33770448548812665</v>
      </c>
      <c r="K103" s="2886">
        <f>1.2799/K101</f>
        <v>0.33770448548812665</v>
      </c>
      <c r="L103" s="2886">
        <f>1.2799/L101</f>
        <v>0.33770448548812665</v>
      </c>
      <c r="M103" s="2886">
        <f>1.2799/M101</f>
        <v>0.33770448548812665</v>
      </c>
      <c r="N103" s="2886">
        <f>1.2799/N101</f>
        <v>0.33770448548812665</v>
      </c>
    </row>
    <row r="104" spans="1:14">
      <c r="A104" s="3274"/>
      <c r="B104" s="2885">
        <v>3</v>
      </c>
      <c r="C104" s="2886">
        <f>1.1594/C101</f>
        <v>0.30591029023746702</v>
      </c>
      <c r="D104" s="2886">
        <f>1.1594/D101</f>
        <v>0.30591029023746702</v>
      </c>
      <c r="E104" s="2886">
        <f>1.0788/E101</f>
        <v>0.28464379947229551</v>
      </c>
      <c r="F104" s="2886">
        <f>1.0788/F101</f>
        <v>0.28464379947229551</v>
      </c>
      <c r="G104" s="2886">
        <f>1.0788/G101</f>
        <v>0.28464379947229551</v>
      </c>
      <c r="H104" s="2886">
        <f>1.0788/H101</f>
        <v>0.28464379947229551</v>
      </c>
      <c r="I104" s="2886">
        <f>1.0788/I101</f>
        <v>0.28464379947229551</v>
      </c>
      <c r="J104" s="2886">
        <f>1.0072/J101</f>
        <v>0.26575197889182062</v>
      </c>
      <c r="K104" s="2886">
        <f>1.0072/K101</f>
        <v>0.26575197889182062</v>
      </c>
      <c r="L104" s="2886">
        <f>1.0072/L101</f>
        <v>0.26575197889182062</v>
      </c>
      <c r="M104" s="2886">
        <f>1.0072/M101</f>
        <v>0.26575197889182062</v>
      </c>
      <c r="N104" s="2886">
        <f>1.0072/N101</f>
        <v>0.26575197889182062</v>
      </c>
    </row>
    <row r="105" spans="1:14">
      <c r="A105" s="3274"/>
      <c r="B105" s="2885">
        <v>4</v>
      </c>
      <c r="C105" s="2886">
        <f>0.9622/C101</f>
        <v>0.25387862796833777</v>
      </c>
      <c r="D105" s="2886">
        <f>0.9622/D101</f>
        <v>0.25387862796833777</v>
      </c>
      <c r="E105" s="2886">
        <f>0.8656/E101</f>
        <v>0.22839050131926122</v>
      </c>
      <c r="F105" s="2886">
        <f>0.8656/F101</f>
        <v>0.22839050131926122</v>
      </c>
      <c r="G105" s="2886">
        <f>0.8656/G101</f>
        <v>0.22839050131926122</v>
      </c>
      <c r="H105" s="2886">
        <f>0.8656/H101</f>
        <v>0.22839050131926122</v>
      </c>
      <c r="I105" s="2886">
        <f>0.8656/I101</f>
        <v>0.22839050131926122</v>
      </c>
      <c r="J105" s="2886">
        <f>0.7525/J101</f>
        <v>0.19854881266490765</v>
      </c>
      <c r="K105" s="2886">
        <f>0.7525/K101</f>
        <v>0.19854881266490765</v>
      </c>
      <c r="L105" s="2886">
        <f>0.7525/L101</f>
        <v>0.19854881266490765</v>
      </c>
      <c r="M105" s="2886">
        <f>0.7525/M101</f>
        <v>0.19854881266490765</v>
      </c>
      <c r="N105" s="2886">
        <f>0.7525/N101</f>
        <v>0.19854881266490765</v>
      </c>
    </row>
    <row r="106" spans="1:14">
      <c r="A106" s="3274"/>
      <c r="B106" s="2885">
        <v>5</v>
      </c>
      <c r="C106" s="2886">
        <f>0.8417/C101</f>
        <v>0.22208443271767811</v>
      </c>
      <c r="D106" s="2886">
        <f>0.8417/D101</f>
        <v>0.22208443271767811</v>
      </c>
      <c r="E106" s="2886">
        <f>0.7371/E101</f>
        <v>0.19448548812664906</v>
      </c>
      <c r="F106" s="2886">
        <f>0.7371/F101</f>
        <v>0.19448548812664906</v>
      </c>
      <c r="G106" s="2886">
        <f>0.7371/G101</f>
        <v>0.19448548812664906</v>
      </c>
      <c r="H106" s="2886">
        <f>0.7371/H101</f>
        <v>0.19448548812664906</v>
      </c>
      <c r="I106" s="2886">
        <f>0.7371/I101</f>
        <v>0.19448548812664906</v>
      </c>
      <c r="J106" s="2886">
        <f>0.5659/J101</f>
        <v>0.14931398416886543</v>
      </c>
      <c r="K106" s="2886">
        <f>0.5659/K101</f>
        <v>0.14931398416886543</v>
      </c>
      <c r="L106" s="2886">
        <f>0.5659/L101</f>
        <v>0.14931398416886543</v>
      </c>
      <c r="M106" s="2886">
        <f>0.5659/M101</f>
        <v>0.14931398416886543</v>
      </c>
      <c r="N106" s="2886">
        <f>0.5659/N101</f>
        <v>0.14931398416886543</v>
      </c>
    </row>
    <row r="107" spans="1:14">
      <c r="A107" s="3274"/>
      <c r="B107" s="2885">
        <v>6</v>
      </c>
      <c r="C107" s="2886">
        <f>0.7608/C101</f>
        <v>0.20073878627968339</v>
      </c>
      <c r="D107" s="2886">
        <f>0.7608/D101</f>
        <v>0.20073878627968339</v>
      </c>
      <c r="E107" s="2886">
        <f>0.6482/E101</f>
        <v>0.17102902374670184</v>
      </c>
      <c r="F107" s="2886">
        <f>0.6482/F101</f>
        <v>0.17102902374670184</v>
      </c>
      <c r="G107" s="2886">
        <f>0.6482/G101</f>
        <v>0.17102902374670184</v>
      </c>
      <c r="H107" s="2886">
        <f>0.6482/H101</f>
        <v>0.17102902374670184</v>
      </c>
      <c r="I107" s="2886">
        <f>0.6482/I101</f>
        <v>0.17102902374670184</v>
      </c>
      <c r="J107" s="2886">
        <f>0.4525/J101</f>
        <v>0.11939313984168866</v>
      </c>
      <c r="K107" s="2886">
        <f>0.4525/K101</f>
        <v>0.11939313984168866</v>
      </c>
      <c r="L107" s="2886">
        <f>0.4525/L101</f>
        <v>0.11939313984168866</v>
      </c>
      <c r="M107" s="2886">
        <f>0.4525/M101</f>
        <v>0.11939313984168866</v>
      </c>
      <c r="N107" s="2886">
        <f>0.4525/N101</f>
        <v>0.11939313984168866</v>
      </c>
    </row>
    <row r="108" spans="1:14">
      <c r="A108" s="3274"/>
      <c r="B108" s="3099"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5"/>
      <c r="B109" s="3100"/>
      <c r="C109" s="2888">
        <f>(-0.163*(C108^2)-0.59*C108+7617)*(10^(-4))/C101</f>
        <v>0.20097625329815305</v>
      </c>
      <c r="D109" s="2888">
        <f>(-0.163*(D108^2)-0.59*D108+7617)*(10^(-4))/D101</f>
        <v>0.20097625329815305</v>
      </c>
      <c r="E109" s="2888">
        <f>(-0.161*(E108^2)-7.509*E108+6533)*(10^(-4))/E101</f>
        <v>0.17237467018469657</v>
      </c>
      <c r="F109" s="2888">
        <f>(-0.161*(F108^2)-7.509*F108+6533)*(10^(-4))/F101</f>
        <v>0.17237467018469657</v>
      </c>
      <c r="G109" s="2888">
        <f>(-0.161*(G108^2)-7.509*G108+6533)*(10^(-4))/G101</f>
        <v>0.17237467018469657</v>
      </c>
      <c r="H109" s="2888">
        <f>(-0.161*(H108^2)-7.509*H108+6533)*(10^(-4))/H101</f>
        <v>0.17237467018469657</v>
      </c>
      <c r="I109" s="2888">
        <f>(-0.161*(I108^2)-7.509*I108+6533)*(10^(-4))/I101</f>
        <v>0.17237467018469657</v>
      </c>
      <c r="J109" s="2888">
        <f>(-0.214*(J108^2)-21.991*J108+4665)*(10^(-4))/J101</f>
        <v>0.12308707124010555</v>
      </c>
      <c r="K109" s="2888">
        <f>(-0.214*(K108^2)-21.991*K108+4665)*(10^(-4))/K101</f>
        <v>0.12308707124010555</v>
      </c>
      <c r="L109" s="2888">
        <f>(-0.214*(L108^2)-21.991*L108+4665)*(10^(-4))/L101</f>
        <v>0.12308707124010555</v>
      </c>
      <c r="M109" s="2888">
        <f>(-0.214*(M108^2)-21.991*M108+4665)*(10^(-4))/M101</f>
        <v>0.12308707124010555</v>
      </c>
      <c r="N109" s="2888">
        <f>(-0.214*(N108^2)-21.991*N108+4665)*(10^(-4))/N101</f>
        <v>0.12308707124010555</v>
      </c>
    </row>
    <row r="110" spans="1:14">
      <c r="A110" s="3271" t="s">
        <v>2979</v>
      </c>
      <c r="B110" s="3271"/>
      <c r="C110" s="3271"/>
      <c r="D110" s="3271"/>
      <c r="E110" s="3271"/>
      <c r="F110" s="3271"/>
      <c r="G110" s="3271"/>
      <c r="H110" s="3271"/>
      <c r="I110" s="3271"/>
      <c r="J110" s="3271"/>
      <c r="K110" s="2891"/>
      <c r="L110" s="2891"/>
      <c r="M110" s="2891"/>
      <c r="N110" s="2891"/>
    </row>
    <row r="112" spans="1:14" ht="13.8" thickBot="1"/>
    <row r="113" spans="1:13" ht="25.8" thickBot="1">
      <c r="A113" s="903" t="s">
        <v>2980</v>
      </c>
      <c r="B113" s="1287">
        <f>G3</f>
        <v>3.79</v>
      </c>
      <c r="C113" s="904" t="s">
        <v>2981</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f>ROUND(0.9335-0.0094*B113,4)</f>
        <v>0.89790000000000003</v>
      </c>
      <c r="C115" s="910">
        <f>B115</f>
        <v>0.89790000000000003</v>
      </c>
      <c r="D115" s="910">
        <f>ROUND(0.8331-0.0109*B113,4)</f>
        <v>0.79179999999999995</v>
      </c>
      <c r="E115" s="910">
        <f>D115</f>
        <v>0.79179999999999995</v>
      </c>
      <c r="F115" s="910">
        <f>E115</f>
        <v>0.79179999999999995</v>
      </c>
      <c r="G115" s="910">
        <f>F115</f>
        <v>0.79179999999999995</v>
      </c>
      <c r="H115" s="910">
        <f>G115</f>
        <v>0.79179999999999995</v>
      </c>
      <c r="I115" s="910">
        <f>ROUND(0.689-0.0155*B113,4)</f>
        <v>0.63029999999999997</v>
      </c>
      <c r="J115" s="910">
        <f t="shared" ref="J115:M118" si="33">I115</f>
        <v>0.63029999999999997</v>
      </c>
      <c r="K115" s="910">
        <f t="shared" si="33"/>
        <v>0.63029999999999997</v>
      </c>
      <c r="L115" s="910">
        <f t="shared" si="33"/>
        <v>0.63029999999999997</v>
      </c>
      <c r="M115" s="911">
        <f t="shared" si="33"/>
        <v>0.63029999999999997</v>
      </c>
    </row>
    <row r="116" spans="1:13">
      <c r="A116" s="909" t="s">
        <v>2878</v>
      </c>
      <c r="B116" s="910">
        <f>ROUND(0.949-0.012*B113,4)</f>
        <v>0.90349999999999997</v>
      </c>
      <c r="C116" s="910">
        <f>B116</f>
        <v>0.90349999999999997</v>
      </c>
      <c r="D116" s="910">
        <f>ROUND(0.8567-0.013*B113,4)</f>
        <v>0.80740000000000001</v>
      </c>
      <c r="E116" s="910">
        <f t="shared" ref="E116:H117" si="34">D116</f>
        <v>0.80740000000000001</v>
      </c>
      <c r="F116" s="910">
        <f t="shared" si="34"/>
        <v>0.80740000000000001</v>
      </c>
      <c r="G116" s="910">
        <f t="shared" si="34"/>
        <v>0.80740000000000001</v>
      </c>
      <c r="H116" s="910">
        <f t="shared" si="34"/>
        <v>0.80740000000000001</v>
      </c>
      <c r="I116" s="910">
        <f>ROUND(0.7694-0.014*B113,4)</f>
        <v>0.71630000000000005</v>
      </c>
      <c r="J116" s="910">
        <f t="shared" si="33"/>
        <v>0.71630000000000005</v>
      </c>
      <c r="K116" s="910">
        <f t="shared" si="33"/>
        <v>0.71630000000000005</v>
      </c>
      <c r="L116" s="910">
        <f t="shared" si="33"/>
        <v>0.71630000000000005</v>
      </c>
      <c r="M116" s="911">
        <f t="shared" si="33"/>
        <v>0.71630000000000005</v>
      </c>
    </row>
    <row r="117" spans="1:13">
      <c r="A117" s="909" t="s">
        <v>2879</v>
      </c>
      <c r="B117" s="910">
        <f>ROUND(0.8808-0.006*B113,4)</f>
        <v>0.85809999999999997</v>
      </c>
      <c r="C117" s="910">
        <f>B117</f>
        <v>0.85809999999999997</v>
      </c>
      <c r="D117" s="910">
        <f>ROUND(0.8748-0.008*B113,4)</f>
        <v>0.84450000000000003</v>
      </c>
      <c r="E117" s="910">
        <f t="shared" si="34"/>
        <v>0.84450000000000003</v>
      </c>
      <c r="F117" s="910">
        <f t="shared" si="34"/>
        <v>0.84450000000000003</v>
      </c>
      <c r="G117" s="910">
        <f t="shared" si="34"/>
        <v>0.84450000000000003</v>
      </c>
      <c r="H117" s="910">
        <f t="shared" si="34"/>
        <v>0.84450000000000003</v>
      </c>
      <c r="I117" s="910">
        <f>ROUND(0.7412-0.0095*B113,4)</f>
        <v>0.70520000000000005</v>
      </c>
      <c r="J117" s="910">
        <f t="shared" si="33"/>
        <v>0.70520000000000005</v>
      </c>
      <c r="K117" s="910">
        <f t="shared" si="33"/>
        <v>0.70520000000000005</v>
      </c>
      <c r="L117" s="910">
        <f t="shared" si="33"/>
        <v>0.70520000000000005</v>
      </c>
      <c r="M117" s="911">
        <f t="shared" si="33"/>
        <v>0.70520000000000005</v>
      </c>
    </row>
    <row r="118" spans="1:13" ht="13.8" thickBot="1">
      <c r="A118" s="714" t="s">
        <v>2880</v>
      </c>
      <c r="B118" s="912">
        <f>ROUND(0.7275-0.01*B113,4)</f>
        <v>0.68959999999999999</v>
      </c>
      <c r="C118" s="912">
        <f>B118</f>
        <v>0.68959999999999999</v>
      </c>
      <c r="D118" s="912">
        <f>ROUND(0.7043-0.012*B113,4)</f>
        <v>0.65880000000000005</v>
      </c>
      <c r="E118" s="912">
        <f>D118</f>
        <v>0.65880000000000005</v>
      </c>
      <c r="F118" s="912">
        <f>E118</f>
        <v>0.65880000000000005</v>
      </c>
      <c r="G118" s="912">
        <f>ROUND(0.6299-0.0122*B113,4)</f>
        <v>0.5837</v>
      </c>
      <c r="H118" s="912">
        <f>G118</f>
        <v>0.5837</v>
      </c>
      <c r="I118" s="912">
        <f>ROUND(0.5667-0.0136*B113,4)</f>
        <v>0.51519999999999999</v>
      </c>
      <c r="J118" s="912">
        <f t="shared" si="33"/>
        <v>0.51519999999999999</v>
      </c>
      <c r="K118" s="912">
        <f t="shared" si="33"/>
        <v>0.51519999999999999</v>
      </c>
      <c r="L118" s="912">
        <f t="shared" si="33"/>
        <v>0.51519999999999999</v>
      </c>
      <c r="M118" s="913">
        <f t="shared" si="33"/>
        <v>0.51519999999999999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1" t="s">
        <v>614</v>
      </c>
      <c r="C61" s="818" t="s">
        <v>615</v>
      </c>
      <c r="D61" s="818" t="s">
        <v>616</v>
      </c>
      <c r="E61" s="895">
        <v>0.5</v>
      </c>
      <c r="F61" s="882">
        <v>80</v>
      </c>
    </row>
    <row r="62" spans="1:8" s="878" customFormat="1" ht="36">
      <c r="A62" s="882">
        <v>2</v>
      </c>
      <c r="B62" s="3291"/>
      <c r="C62" s="818" t="s">
        <v>617</v>
      </c>
      <c r="D62" s="818" t="s">
        <v>618</v>
      </c>
      <c r="E62" s="895">
        <v>0.5</v>
      </c>
      <c r="F62" s="882">
        <v>80</v>
      </c>
    </row>
    <row r="63" spans="1:8" s="878" customFormat="1" ht="48">
      <c r="A63" s="882">
        <v>3</v>
      </c>
      <c r="B63" s="3291"/>
      <c r="C63" s="818" t="s">
        <v>619</v>
      </c>
      <c r="D63" s="818" t="s">
        <v>620</v>
      </c>
      <c r="E63" s="895">
        <v>0.5</v>
      </c>
      <c r="F63" s="882">
        <v>80</v>
      </c>
    </row>
    <row r="64" spans="1:8" s="878" customFormat="1" ht="48">
      <c r="A64" s="882">
        <v>4</v>
      </c>
      <c r="B64" s="3291"/>
      <c r="C64" s="818" t="s">
        <v>621</v>
      </c>
      <c r="D64" s="818" t="s">
        <v>622</v>
      </c>
      <c r="E64" s="895">
        <v>0.4</v>
      </c>
      <c r="F64" s="882">
        <v>60</v>
      </c>
    </row>
    <row r="65" spans="1:6" s="878" customFormat="1" ht="48">
      <c r="A65" s="882">
        <v>5</v>
      </c>
      <c r="B65" s="3291"/>
      <c r="C65" s="818" t="s">
        <v>623</v>
      </c>
      <c r="D65" s="818" t="s">
        <v>624</v>
      </c>
      <c r="E65" s="895">
        <v>0.2</v>
      </c>
      <c r="F65" s="882">
        <v>30</v>
      </c>
    </row>
    <row r="66" spans="1:6" s="878" customFormat="1" ht="48">
      <c r="A66" s="882">
        <v>6</v>
      </c>
      <c r="B66" s="3291"/>
      <c r="C66" s="818" t="s">
        <v>625</v>
      </c>
      <c r="D66" s="818" t="s">
        <v>626</v>
      </c>
      <c r="E66" s="895">
        <v>0.3</v>
      </c>
      <c r="F66" s="882">
        <v>50</v>
      </c>
    </row>
    <row r="67" spans="1:6" s="878" customFormat="1" ht="48">
      <c r="A67" s="882">
        <v>7</v>
      </c>
      <c r="B67" s="3291"/>
      <c r="C67" s="818" t="s">
        <v>627</v>
      </c>
      <c r="D67" s="818" t="s">
        <v>628</v>
      </c>
      <c r="E67" s="895">
        <v>0.2</v>
      </c>
      <c r="F67" s="882">
        <v>30</v>
      </c>
    </row>
    <row r="68" spans="1:6" s="878" customFormat="1" ht="48">
      <c r="A68" s="882">
        <v>8</v>
      </c>
      <c r="B68" s="3291"/>
      <c r="C68" s="818" t="s">
        <v>629</v>
      </c>
      <c r="D68" s="818" t="s">
        <v>630</v>
      </c>
      <c r="E68" s="895">
        <v>0.2</v>
      </c>
      <c r="F68" s="882">
        <v>30</v>
      </c>
    </row>
    <row r="69" spans="1:6" s="878" customFormat="1" ht="48">
      <c r="A69" s="882">
        <v>9</v>
      </c>
      <c r="B69" s="3291"/>
      <c r="C69" s="818" t="s">
        <v>631</v>
      </c>
      <c r="D69" s="818" t="s">
        <v>632</v>
      </c>
      <c r="E69" s="895">
        <v>0.2</v>
      </c>
      <c r="F69" s="882">
        <v>30</v>
      </c>
    </row>
    <row r="70" spans="1:6" s="878" customFormat="1" ht="60">
      <c r="A70" s="882">
        <v>10</v>
      </c>
      <c r="B70" s="3291"/>
      <c r="C70" s="818" t="s">
        <v>633</v>
      </c>
      <c r="D70" s="818" t="s">
        <v>634</v>
      </c>
      <c r="E70" s="895">
        <v>0.2</v>
      </c>
      <c r="F70" s="882">
        <v>30</v>
      </c>
    </row>
    <row r="71" spans="1:6" s="878" customFormat="1" ht="60">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36">
      <c r="A73" s="882">
        <v>13</v>
      </c>
      <c r="B73" s="3291"/>
      <c r="C73" s="818" t="s">
        <v>639</v>
      </c>
      <c r="D73" s="818" t="s">
        <v>640</v>
      </c>
      <c r="E73" s="895">
        <v>0.4</v>
      </c>
      <c r="F73" s="882">
        <v>60</v>
      </c>
    </row>
    <row r="74" spans="1:6" s="878" customFormat="1" ht="36">
      <c r="A74" s="882">
        <v>14</v>
      </c>
      <c r="B74" s="3291"/>
      <c r="C74" s="818" t="s">
        <v>641</v>
      </c>
      <c r="D74" s="818" t="s">
        <v>642</v>
      </c>
      <c r="E74" s="895">
        <v>0.2</v>
      </c>
      <c r="F74" s="882">
        <v>30</v>
      </c>
    </row>
    <row r="75" spans="1:6" s="878" customFormat="1" ht="36">
      <c r="A75" s="882">
        <v>15</v>
      </c>
      <c r="B75" s="3291"/>
      <c r="C75" s="818" t="s">
        <v>643</v>
      </c>
      <c r="D75" s="818" t="s">
        <v>644</v>
      </c>
      <c r="E75" s="895">
        <v>0.2</v>
      </c>
      <c r="F75" s="882">
        <v>30</v>
      </c>
    </row>
    <row r="76" spans="1:6" s="878" customFormat="1" ht="36">
      <c r="A76" s="882">
        <v>16</v>
      </c>
      <c r="B76" s="3291" t="s">
        <v>645</v>
      </c>
      <c r="C76" s="818" t="s">
        <v>646</v>
      </c>
      <c r="D76" s="818" t="s">
        <v>647</v>
      </c>
      <c r="E76" s="895">
        <v>0.5</v>
      </c>
      <c r="F76" s="882">
        <v>80</v>
      </c>
    </row>
    <row r="77" spans="1:6" s="878" customFormat="1" ht="36">
      <c r="A77" s="882">
        <v>17</v>
      </c>
      <c r="B77" s="3291"/>
      <c r="C77" s="818" t="s">
        <v>648</v>
      </c>
      <c r="D77" s="818" t="s">
        <v>649</v>
      </c>
      <c r="E77" s="895">
        <v>0.5</v>
      </c>
      <c r="F77" s="882">
        <v>80</v>
      </c>
    </row>
    <row r="78" spans="1:6" s="878" customFormat="1" ht="36">
      <c r="A78" s="882">
        <v>18</v>
      </c>
      <c r="B78" s="3291"/>
      <c r="C78" s="818" t="s">
        <v>650</v>
      </c>
      <c r="D78" s="818" t="s">
        <v>651</v>
      </c>
      <c r="E78" s="895">
        <v>0.2</v>
      </c>
      <c r="F78" s="882">
        <v>30</v>
      </c>
    </row>
    <row r="79" spans="1:6" s="878" customFormat="1" ht="36">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60">
      <c r="A82" s="882">
        <v>22</v>
      </c>
      <c r="B82" s="3291"/>
      <c r="C82" s="818" t="s">
        <v>658</v>
      </c>
      <c r="D82" s="818" t="s">
        <v>659</v>
      </c>
      <c r="E82" s="895">
        <v>0.2</v>
      </c>
      <c r="F82" s="882">
        <v>30</v>
      </c>
    </row>
    <row r="83" spans="1:6" s="878" customFormat="1" ht="60">
      <c r="A83" s="882">
        <v>23</v>
      </c>
      <c r="B83" s="3291"/>
      <c r="C83" s="818" t="s">
        <v>660</v>
      </c>
      <c r="D83" s="818" t="s">
        <v>661</v>
      </c>
      <c r="E83" s="895">
        <v>0.2</v>
      </c>
      <c r="F83" s="882">
        <v>30</v>
      </c>
    </row>
    <row r="84" spans="1:6" s="878" customFormat="1" ht="48">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36">
      <c r="A89" s="882">
        <v>29</v>
      </c>
      <c r="B89" s="3291"/>
      <c r="C89" s="818" t="s">
        <v>672</v>
      </c>
      <c r="D89" s="818" t="s">
        <v>673</v>
      </c>
      <c r="E89" s="895">
        <v>0.2</v>
      </c>
      <c r="F89" s="882">
        <v>30</v>
      </c>
    </row>
    <row r="90" spans="1:6" s="878" customFormat="1" ht="36">
      <c r="A90" s="882">
        <v>30</v>
      </c>
      <c r="B90" s="3291"/>
      <c r="C90" s="818" t="s">
        <v>674</v>
      </c>
      <c r="D90" s="818" t="s">
        <v>675</v>
      </c>
      <c r="E90" s="895">
        <v>0.2</v>
      </c>
      <c r="F90" s="882">
        <v>30</v>
      </c>
    </row>
    <row r="91" spans="1:6" s="878" customFormat="1" ht="48">
      <c r="A91" s="882">
        <v>31</v>
      </c>
      <c r="B91" s="3291"/>
      <c r="C91" s="818" t="s">
        <v>676</v>
      </c>
      <c r="D91" s="818" t="s">
        <v>677</v>
      </c>
      <c r="E91" s="895">
        <v>0.2</v>
      </c>
      <c r="F91" s="882">
        <v>30</v>
      </c>
    </row>
    <row r="92" spans="1:6" s="878" customFormat="1" ht="36">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60">
      <c r="A94" s="882">
        <v>34</v>
      </c>
      <c r="B94" s="3291"/>
      <c r="C94" s="882" t="s">
        <v>683</v>
      </c>
      <c r="D94" s="818" t="s">
        <v>684</v>
      </c>
      <c r="E94" s="895">
        <v>0.2</v>
      </c>
      <c r="F94" s="882">
        <v>30</v>
      </c>
    </row>
    <row r="95" spans="1:6" s="878" customFormat="1" ht="48">
      <c r="A95" s="882">
        <v>35</v>
      </c>
      <c r="B95" s="3291"/>
      <c r="C95" s="882" t="s">
        <v>685</v>
      </c>
      <c r="D95" s="818" t="s">
        <v>686</v>
      </c>
      <c r="E95" s="895">
        <v>0.2</v>
      </c>
      <c r="F95" s="882">
        <v>30</v>
      </c>
    </row>
    <row r="96" spans="1:6" s="878" customFormat="1" ht="72">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36">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1" t="s">
        <v>708</v>
      </c>
      <c r="C105" s="882" t="s">
        <v>709</v>
      </c>
      <c r="D105" s="818" t="s">
        <v>710</v>
      </c>
      <c r="E105" s="895">
        <v>0.2</v>
      </c>
      <c r="F105" s="882">
        <v>30</v>
      </c>
    </row>
    <row r="106" spans="1:6" s="878" customFormat="1" ht="48">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48">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1" t="s">
        <v>724</v>
      </c>
      <c r="C111" s="882" t="s">
        <v>725</v>
      </c>
      <c r="D111" s="818" t="s">
        <v>726</v>
      </c>
      <c r="E111" s="895">
        <v>0.2</v>
      </c>
      <c r="F111" s="882">
        <v>30</v>
      </c>
    </row>
    <row r="112" spans="1:6" s="878" customFormat="1" ht="36">
      <c r="A112" s="882">
        <v>52</v>
      </c>
      <c r="B112" s="3291"/>
      <c r="C112" s="882" t="s">
        <v>727</v>
      </c>
      <c r="D112" s="818" t="s">
        <v>728</v>
      </c>
      <c r="E112" s="895">
        <v>0.2</v>
      </c>
      <c r="F112" s="882">
        <v>30</v>
      </c>
    </row>
    <row r="113" spans="1:6" s="878" customFormat="1" ht="36">
      <c r="A113" s="882">
        <v>53</v>
      </c>
      <c r="B113" s="329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估价结果一览表（市场价值不需“结果表-1”）</v>
      </c>
      <c r="B3" s="2985"/>
      <c r="C3" s="2985"/>
      <c r="D3" s="2985"/>
      <c r="E3" s="2985"/>
    </row>
    <row r="4" spans="1:5" ht="18" thickBot="1">
      <c r="A4" s="1960"/>
      <c r="B4" s="2983" t="s">
        <v>1626</v>
      </c>
      <c r="C4" s="2983"/>
      <c r="D4" s="2983"/>
      <c r="E4" s="1960"/>
    </row>
    <row r="5" spans="1:5" ht="16.2" thickTop="1">
      <c r="A5" s="1958"/>
      <c r="B5" s="2981" t="s">
        <v>1618</v>
      </c>
      <c r="C5" s="1961" t="s">
        <v>1619</v>
      </c>
      <c r="D5" s="1040">
        <f ca="1">结果表!H101</f>
        <v>216020</v>
      </c>
      <c r="E5" s="1958"/>
    </row>
    <row r="6" spans="1:5" ht="15.6">
      <c r="A6" s="1958"/>
      <c r="B6" s="2981"/>
      <c r="C6" s="1961" t="s">
        <v>1620</v>
      </c>
      <c r="D6" s="1040" t="str">
        <f ca="1">NUMBERSTRING(INT(D5*10000),2)&amp;"元整"</f>
        <v>贰拾壹亿陆仟零贰拾万元整</v>
      </c>
      <c r="E6" s="1958"/>
    </row>
    <row r="7" spans="1:5" ht="15.6">
      <c r="A7" s="1958"/>
      <c r="B7" s="2986"/>
      <c r="C7" s="1962" t="s">
        <v>1621</v>
      </c>
      <c r="D7" s="1041">
        <f ca="1">结果表!H102</f>
        <v>19326</v>
      </c>
      <c r="E7" s="1958"/>
    </row>
    <row r="8" spans="1:5" ht="15.6">
      <c r="A8" s="1958"/>
      <c r="B8" s="2987" t="str">
        <f>结果表!E103</f>
        <v>2.估价师知悉的法定优先受偿款</v>
      </c>
      <c r="C8" s="1963" t="s">
        <v>1622</v>
      </c>
      <c r="D8" s="1041">
        <f>结果表!H103</f>
        <v>0</v>
      </c>
      <c r="E8" s="1958"/>
    </row>
    <row r="9" spans="1:5" ht="15.6">
      <c r="A9" s="1958"/>
      <c r="B9" s="2989"/>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2980" t="str">
        <f>结果表!E107</f>
        <v>3.房地产抵押价值</v>
      </c>
      <c r="C13" s="1966" t="s">
        <v>1619</v>
      </c>
      <c r="D13" s="1043">
        <f ca="1">结果表!H107</f>
        <v>216020</v>
      </c>
      <c r="E13" s="1958"/>
    </row>
    <row r="14" spans="1:5" ht="15.6">
      <c r="A14" s="1958"/>
      <c r="B14" s="2981"/>
      <c r="C14" s="1961" t="s">
        <v>1620</v>
      </c>
      <c r="D14" s="1040" t="str">
        <f ca="1">NUMBERSTRING(INT(D13*10000),2)&amp;"元整"</f>
        <v>贰拾壹亿陆仟零贰拾万元整</v>
      </c>
      <c r="E14" s="1958"/>
    </row>
    <row r="15" spans="1:5" ht="15.6">
      <c r="A15" s="1958"/>
      <c r="B15" s="2986"/>
      <c r="C15" s="1962" t="s">
        <v>1630</v>
      </c>
      <c r="D15" s="1052">
        <f ca="1">结果表!H108</f>
        <v>19326</v>
      </c>
      <c r="E15" s="1958"/>
    </row>
    <row r="16" spans="1:5" ht="15.6">
      <c r="A16" s="1958"/>
      <c r="B16" s="2987" t="str">
        <f>结果表!E109</f>
        <v>——</v>
      </c>
      <c r="C16" s="1966" t="s">
        <v>1631</v>
      </c>
      <c r="D16" s="1967" t="str">
        <f>结果表!H109</f>
        <v>——</v>
      </c>
      <c r="E16" s="1958"/>
    </row>
    <row r="17" spans="1:5" ht="15.6">
      <c r="A17" s="1958"/>
      <c r="B17" s="2988"/>
      <c r="C17" s="1961" t="s">
        <v>1632</v>
      </c>
      <c r="D17" s="1040" t="e">
        <f>NUMBERSTRING(INT(D16*10000),2)&amp;"元整"</f>
        <v>#VALUE!</v>
      </c>
      <c r="E17" s="1958"/>
    </row>
    <row r="18" spans="1:5" ht="15.6">
      <c r="A18" s="1958"/>
      <c r="B18" s="2989"/>
      <c r="C18" s="1962" t="s">
        <v>1621</v>
      </c>
      <c r="D18" s="1052" t="str">
        <f>结果表!H110</f>
        <v>——</v>
      </c>
      <c r="E18" s="1958"/>
    </row>
    <row r="19" spans="1:5" ht="15.6">
      <c r="A19" s="1958"/>
      <c r="B19" s="2980" t="str">
        <f>结果表!E111</f>
        <v>——</v>
      </c>
      <c r="C19" s="1966" t="s">
        <v>1619</v>
      </c>
      <c r="D19" s="1041" t="str">
        <f>结果表!H111</f>
        <v>——</v>
      </c>
      <c r="E19" s="1958"/>
    </row>
    <row r="20" spans="1:5" ht="15.6">
      <c r="A20" s="1958"/>
      <c r="B20" s="2981"/>
      <c r="C20" s="1961" t="s">
        <v>1632</v>
      </c>
      <c r="D20" s="1040" t="e">
        <f>NUMBERSTRING(INT(D19*10000),2)&amp;"元整"</f>
        <v>#VALUE!</v>
      </c>
      <c r="E20" s="1958"/>
    </row>
    <row r="21" spans="1:5" ht="16.2" thickBot="1">
      <c r="A21" s="1958"/>
      <c r="B21" s="2982"/>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3002</v>
      </c>
    </row>
    <row r="2" spans="1:5" ht="15.6">
      <c r="A2" s="2900" t="s">
        <v>2994</v>
      </c>
      <c r="B2" s="2901" t="e">
        <f ca="1">SUMIF(B6:B13,"&lt;&gt;#ref!",B6:B13)</f>
        <v>#DIV/0!</v>
      </c>
      <c r="C2" s="2900" t="s">
        <v>2995</v>
      </c>
      <c r="D2" s="2900" t="s">
        <v>2996</v>
      </c>
      <c r="E2" s="2901">
        <f ca="1">SUMIF(E6:E13,"&lt;&gt;#ref!",E6:E13)</f>
        <v>0</v>
      </c>
    </row>
    <row r="3" spans="1:5" ht="15.6">
      <c r="A3" s="2900" t="s">
        <v>2997</v>
      </c>
      <c r="B3" s="2901" t="e">
        <f ca="1">ROUND(B2*10000/E2,0)</f>
        <v>#DIV/0!</v>
      </c>
      <c r="C3" s="2900" t="s">
        <v>3003</v>
      </c>
      <c r="D3" s="2902"/>
      <c r="E3" s="2902"/>
    </row>
    <row r="4" spans="1:5" ht="15.6">
      <c r="A4" s="2903"/>
      <c r="B4" s="2902"/>
      <c r="C4" s="2902"/>
      <c r="D4" s="2902"/>
      <c r="E4" s="2902"/>
    </row>
    <row r="5" spans="1:5" ht="31.2">
      <c r="A5" s="2904" t="s">
        <v>2998</v>
      </c>
      <c r="B5" s="2900" t="s">
        <v>2999</v>
      </c>
      <c r="C5" s="2901"/>
      <c r="D5" s="2902"/>
      <c r="E5" s="2900" t="s">
        <v>3000</v>
      </c>
    </row>
    <row r="6" spans="1:5" ht="15.6">
      <c r="A6" s="2905" t="s">
        <v>3001</v>
      </c>
      <c r="B6" s="2901" t="e">
        <f ca="1">SUMIF(INDIRECT("'"&amp;A6&amp;"'"&amp;"!A:A"),"总价",INDIRECT("'"&amp;A6&amp;"'"&amp;"!B:B"))</f>
        <v>#DIV/0!</v>
      </c>
      <c r="C6" s="2900" t="s">
        <v>2995</v>
      </c>
      <c r="D6" s="2902"/>
      <c r="E6" s="2576">
        <f ca="1">SUMIF(INDIRECT("'"&amp;A6&amp;"'"&amp;"!C:C"),"建筑面积",INDIRECT("'"&amp;A6&amp;"'"&amp;"!D:D"))</f>
        <v>0</v>
      </c>
    </row>
    <row r="7" spans="1:5" ht="15.6">
      <c r="A7" s="2905"/>
      <c r="B7" s="2901" t="e">
        <f ca="1">SUMIF(INDIRECT("'"&amp;A7&amp;"'"&amp;"!A:A"),"总价",INDIRECT("'"&amp;A7&amp;"'"&amp;"!B:B"))</f>
        <v>#REF!</v>
      </c>
      <c r="C7" s="2900" t="s">
        <v>2995</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2995</v>
      </c>
      <c r="D8" s="2902"/>
      <c r="E8" s="2576" t="e">
        <f t="shared" ca="1" si="0"/>
        <v>#REF!</v>
      </c>
    </row>
    <row r="9" spans="1:5" ht="15.6">
      <c r="A9" s="2905"/>
      <c r="B9" s="2901" t="e">
        <f t="shared" ca="1" si="1"/>
        <v>#REF!</v>
      </c>
      <c r="C9" s="2900" t="s">
        <v>2995</v>
      </c>
      <c r="D9" s="2902"/>
      <c r="E9" s="2576" t="e">
        <f t="shared" ca="1" si="0"/>
        <v>#REF!</v>
      </c>
    </row>
    <row r="10" spans="1:5" ht="15.6">
      <c r="A10" s="2905"/>
      <c r="B10" s="2901" t="e">
        <f t="shared" ca="1" si="1"/>
        <v>#REF!</v>
      </c>
      <c r="C10" s="2900" t="s">
        <v>2995</v>
      </c>
      <c r="D10" s="2902"/>
      <c r="E10" s="2576" t="e">
        <f t="shared" ca="1" si="0"/>
        <v>#REF!</v>
      </c>
    </row>
    <row r="11" spans="1:5" ht="15.6">
      <c r="A11" s="2905"/>
      <c r="B11" s="2901" t="e">
        <f t="shared" ca="1" si="1"/>
        <v>#REF!</v>
      </c>
      <c r="C11" s="2900" t="s">
        <v>2995</v>
      </c>
      <c r="D11" s="2902"/>
      <c r="E11" s="2576" t="e">
        <f t="shared" ca="1" si="0"/>
        <v>#REF!</v>
      </c>
    </row>
    <row r="12" spans="1:5" ht="15.6">
      <c r="A12" s="2905"/>
      <c r="B12" s="2901" t="e">
        <f t="shared" ca="1" si="1"/>
        <v>#REF!</v>
      </c>
      <c r="C12" s="2900" t="s">
        <v>2995</v>
      </c>
      <c r="D12" s="2902"/>
      <c r="E12" s="2576" t="e">
        <f t="shared" ca="1" si="0"/>
        <v>#REF!</v>
      </c>
    </row>
    <row r="13" spans="1:5" ht="15.6">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5" sqref="C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7" t="s">
        <v>1146</v>
      </c>
      <c r="C1" s="3297"/>
      <c r="D1" s="3297"/>
      <c r="E1" s="3297"/>
      <c r="F1" s="3297"/>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5">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3033</v>
      </c>
      <c r="B11" s="1469">
        <v>439</v>
      </c>
      <c r="C11" s="1469">
        <v>327</v>
      </c>
      <c r="D11" s="1469">
        <f>C11</f>
        <v>327</v>
      </c>
      <c r="E11" s="1469">
        <v>627</v>
      </c>
      <c r="F11" s="1470">
        <v>283</v>
      </c>
      <c r="G11" s="329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9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29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29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29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29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29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29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29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29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29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29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29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29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29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29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5">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296">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29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5">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296">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4" t="s">
        <v>3005</v>
      </c>
      <c r="D1" s="3305"/>
      <c r="E1" s="3305"/>
      <c r="F1" s="3305"/>
      <c r="G1" s="3305"/>
      <c r="H1" s="3305"/>
      <c r="I1" s="3305"/>
      <c r="J1" s="3305"/>
      <c r="K1" s="3305"/>
      <c r="L1" s="3305"/>
      <c r="M1" s="3305"/>
      <c r="N1" s="3305"/>
      <c r="O1" s="3305"/>
      <c r="P1" s="3305"/>
      <c r="Q1" s="3305"/>
      <c r="R1" s="3305"/>
      <c r="S1" s="3306"/>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1"/>
      <c r="F19" s="1791"/>
      <c r="G19" s="1791"/>
      <c r="H19" s="1280"/>
      <c r="I19" s="168"/>
      <c r="J19" s="168"/>
      <c r="K19" s="168"/>
      <c r="L19" s="168"/>
      <c r="M19" s="168"/>
      <c r="N19" s="168"/>
      <c r="O19" s="168"/>
      <c r="P19" s="168"/>
      <c r="Q19" s="168"/>
      <c r="R19" s="788"/>
      <c r="S19" s="138"/>
    </row>
    <row r="20" spans="1:45" ht="16.2" thickBot="1">
      <c r="A20" s="715" t="s">
        <v>3017</v>
      </c>
      <c r="B20" s="338" t="e">
        <f ca="1">IF(D20="——",S22,S22-F20)</f>
        <v>#REF!</v>
      </c>
      <c r="C20" s="168"/>
      <c r="D20" s="2909" t="s">
        <v>3018</v>
      </c>
      <c r="E20" s="1792"/>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80" t="s">
        <v>33</v>
      </c>
      <c r="D22" s="3081"/>
      <c r="E22" s="3081"/>
      <c r="F22" s="3081"/>
      <c r="G22" s="3081"/>
      <c r="H22" s="3081"/>
      <c r="I22" s="3081"/>
      <c r="J22" s="3081"/>
      <c r="K22" s="3081"/>
      <c r="L22" s="3081"/>
      <c r="M22" s="3081"/>
      <c r="N22" s="3081"/>
      <c r="O22" s="3081"/>
      <c r="P22" s="3081"/>
      <c r="Q22" s="330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71782</v>
      </c>
      <c r="C2" s="2" t="s">
        <v>133</v>
      </c>
      <c r="D2" s="243"/>
      <c r="E2" s="243"/>
      <c r="F2" s="243"/>
      <c r="G2" s="243"/>
    </row>
    <row r="3" spans="1:7" s="244" customFormat="1" ht="18" customHeight="1" thickBot="1">
      <c r="A3" s="247" t="s">
        <v>85</v>
      </c>
      <c r="B3" s="248">
        <f ca="1">ROUND(B2*10000/'数据-汇总表'!E3,0)</f>
        <v>6422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241</v>
      </c>
      <c r="D9" s="1032">
        <f>'数据-汇总表'!E5</f>
        <v>15079.37</v>
      </c>
      <c r="E9" s="269">
        <f>'数据-取费表'!B27</f>
        <v>160</v>
      </c>
      <c r="F9" s="265"/>
      <c r="G9" s="270"/>
    </row>
    <row r="10" spans="1:7" s="258" customFormat="1" ht="13.5" customHeight="1">
      <c r="A10" s="950" t="s">
        <v>801</v>
      </c>
      <c r="B10" s="268" t="s">
        <v>94</v>
      </c>
      <c r="C10" s="269">
        <f>ROUND(D10*E10/10000,0)</f>
        <v>1934</v>
      </c>
      <c r="D10" s="1032">
        <f>'数据-汇总表'!E6</f>
        <v>96697.01999999999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2236</v>
      </c>
      <c r="D19" s="1036">
        <f>'数据-汇总表'!E3</f>
        <v>111776.38999999998</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3079</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2751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298</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6.4">
      <c r="A27" s="948" t="s">
        <v>787</v>
      </c>
      <c r="B27" s="288" t="s">
        <v>112</v>
      </c>
      <c r="C27" s="289">
        <f>C28</f>
        <v>2097</v>
      </c>
      <c r="D27" s="279">
        <f>C29</f>
        <v>1.8E-3</v>
      </c>
      <c r="E27" s="280" t="s">
        <v>126</v>
      </c>
      <c r="F27" s="290">
        <f>'数据-取费表'!Q16</f>
        <v>0.1</v>
      </c>
      <c r="G27" s="291" t="s">
        <v>1066</v>
      </c>
    </row>
    <row r="28" spans="1:7" s="258" customFormat="1" ht="13.5" customHeight="1">
      <c r="A28" s="951" t="s">
        <v>794</v>
      </c>
      <c r="B28" s="292" t="s">
        <v>1059</v>
      </c>
      <c r="C28" s="293">
        <f>ROUND((C5+C19+C20)*F27*'数据-取费表'!B21/'数据-取费表'!B20,0)</f>
        <v>2097</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30804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31885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28459</v>
      </c>
      <c r="D34" s="261"/>
      <c r="E34" s="264"/>
      <c r="F34" s="301">
        <f>IF('数据-取费表'!B24=0,1,'数据-取费表'!N16)</f>
        <v>0.9</v>
      </c>
      <c r="G34" s="263" t="s">
        <v>116</v>
      </c>
    </row>
    <row r="35" spans="1:7" ht="13.5" customHeight="1">
      <c r="A35" s="951" t="s">
        <v>796</v>
      </c>
      <c r="B35" s="259" t="s">
        <v>60</v>
      </c>
      <c r="C35" s="264">
        <f>ROUND(C34*F35,0)</f>
        <v>854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133</v>
      </c>
      <c r="D36" s="264"/>
      <c r="E36" s="264"/>
      <c r="F36" s="303">
        <f>'数据-取费表'!B34</f>
        <v>0.03</v>
      </c>
      <c r="G36" s="304" t="s">
        <v>62</v>
      </c>
    </row>
    <row r="37" spans="1:7" s="302" customFormat="1" ht="13.5" customHeight="1">
      <c r="A37" s="951" t="s">
        <v>798</v>
      </c>
      <c r="B37" s="259" t="s">
        <v>118</v>
      </c>
      <c r="C37" s="293">
        <f>ROUND(E37*D37*F34/10000,0)</f>
        <v>2012</v>
      </c>
      <c r="D37" s="261">
        <f>'数据-汇总表'!E3</f>
        <v>111776.38999999998</v>
      </c>
      <c r="E37" s="293">
        <f>'数据-取费表'!B35</f>
        <v>200</v>
      </c>
      <c r="F37" s="303"/>
      <c r="G37" s="305" t="s">
        <v>119</v>
      </c>
    </row>
    <row r="38" spans="1:7" ht="13.5" customHeight="1">
      <c r="A38" s="951" t="s">
        <v>799</v>
      </c>
      <c r="B38" s="259" t="s">
        <v>63</v>
      </c>
      <c r="C38" s="264">
        <f>ROUND(C34*F38,0)</f>
        <v>427</v>
      </c>
      <c r="D38" s="264"/>
      <c r="E38" s="264"/>
      <c r="F38" s="303">
        <f>'数据-取费表'!B36</f>
        <v>1.4999999999999999E-2</v>
      </c>
      <c r="G38" s="263" t="s">
        <v>117</v>
      </c>
    </row>
    <row r="39" spans="1:7" s="258" customFormat="1" ht="13.5" customHeight="1">
      <c r="A39" s="948" t="s">
        <v>783</v>
      </c>
      <c r="B39" s="254" t="s">
        <v>104</v>
      </c>
      <c r="C39" s="276">
        <f>ROUND(C33*F20,0)</f>
        <v>638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2102</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2061</v>
      </c>
      <c r="D42" s="282"/>
      <c r="E42" s="282"/>
      <c r="F42" s="283"/>
      <c r="G42" s="3165" t="s">
        <v>121</v>
      </c>
    </row>
    <row r="43" spans="1:7" ht="13.5" customHeight="1">
      <c r="A43" s="951" t="s">
        <v>792</v>
      </c>
      <c r="B43" s="259" t="s">
        <v>1061</v>
      </c>
      <c r="C43" s="282">
        <f ca="1">ROUND(IF('数据-取费表'!B22&lt;=1,C39*F22*'数据-取费表'!B21/2,C39*(POWER((1+F22),'数据-取费表'!B21/2)-1)),0)</f>
        <v>41</v>
      </c>
      <c r="D43" s="282"/>
      <c r="E43" s="282"/>
      <c r="F43" s="283"/>
      <c r="G43" s="3166"/>
    </row>
    <row r="44" spans="1:7" ht="13.5" customHeight="1">
      <c r="A44" s="951" t="s">
        <v>793</v>
      </c>
      <c r="B44" s="259" t="s">
        <v>1063</v>
      </c>
      <c r="C44" s="282">
        <f ca="1">ROUND(IF('数据-取费表'!B22&lt;=1,C40*F22*'数据-取费表'!B21/2,C40*(POWER((1+F22),'数据-取费表'!B21/2)-1)),4)</f>
        <v>1.2999999999999999E-3</v>
      </c>
      <c r="D44" s="282"/>
      <c r="E44" s="282"/>
      <c r="F44" s="283"/>
      <c r="G44" s="3167"/>
    </row>
    <row r="45" spans="1:7" s="258" customFormat="1" ht="13.5" customHeight="1">
      <c r="A45" s="948" t="s">
        <v>786</v>
      </c>
      <c r="B45" s="288" t="s">
        <v>112</v>
      </c>
      <c r="C45" s="289">
        <f>C46</f>
        <v>3252</v>
      </c>
      <c r="D45" s="279">
        <f>C47</f>
        <v>2E-3</v>
      </c>
      <c r="E45" s="280" t="s">
        <v>129</v>
      </c>
      <c r="F45" s="290"/>
      <c r="G45" s="291" t="s">
        <v>1069</v>
      </c>
    </row>
    <row r="46" spans="1:7" s="258" customFormat="1" ht="13.5" customHeight="1">
      <c r="A46" s="951" t="s">
        <v>794</v>
      </c>
      <c r="B46" s="292" t="s">
        <v>1062</v>
      </c>
      <c r="C46" s="293">
        <f>ROUND((C33+C39)*F27,0)</f>
        <v>3252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40978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40978</v>
      </c>
      <c r="D51" s="276"/>
      <c r="E51" s="276"/>
      <c r="F51" s="308"/>
      <c r="G51" s="278" t="s">
        <v>64</v>
      </c>
    </row>
    <row r="52" spans="1:7" s="252" customFormat="1" ht="16.8" thickBot="1">
      <c r="A52" s="309" t="s">
        <v>65</v>
      </c>
      <c r="B52" s="310"/>
      <c r="C52" s="311">
        <f ca="1">C31+C51</f>
        <v>71782</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7" t="s">
        <v>868</v>
      </c>
      <c r="B1" s="3307"/>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6">
      <c r="A3" s="2992"/>
      <c r="B3" s="2992"/>
      <c r="C3" s="2992"/>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111776.38999999998</v>
      </c>
      <c r="C4" s="1044">
        <f>项目基本情况!C18</f>
        <v>20087.55</v>
      </c>
      <c r="D4" s="1044">
        <f ca="1">结果表!D118</f>
        <v>176920</v>
      </c>
      <c r="E4" s="1044">
        <f ca="1">结果表!E118</f>
        <v>15828</v>
      </c>
      <c r="F4" s="1044">
        <f ca="1">结果表!F118</f>
        <v>39100</v>
      </c>
      <c r="G4" s="1044">
        <f ca="1">结果表!G118</f>
        <v>3498</v>
      </c>
      <c r="H4" s="1044">
        <f ca="1">结果表!H118</f>
        <v>216020</v>
      </c>
      <c r="I4" s="1044">
        <f ca="1">结果表!I118</f>
        <v>19326</v>
      </c>
    </row>
    <row r="5" spans="1:9" ht="30" customHeight="1">
      <c r="A5" s="2992" t="s">
        <v>1636</v>
      </c>
      <c r="B5" s="2992"/>
      <c r="C5" s="2992"/>
      <c r="D5" s="2993" t="str">
        <f ca="1">结果表!D119</f>
        <v>壹拾柒亿陆仟玖佰贰拾万元整</v>
      </c>
      <c r="E5" s="2993"/>
      <c r="F5" s="2993" t="str">
        <f ca="1">结果表!F119</f>
        <v>叁亿玖仟壹佰万元整</v>
      </c>
      <c r="G5" s="2993"/>
      <c r="H5" s="2993" t="str">
        <f ca="1">结果表!H119</f>
        <v>贰拾壹亿陆仟零贰拾万元整</v>
      </c>
      <c r="I5" s="2993"/>
    </row>
    <row r="6" spans="1:9" ht="15.6">
      <c r="A6" s="2994" t="str">
        <f>结果表!A120</f>
        <v/>
      </c>
      <c r="B6" s="2994"/>
      <c r="C6" s="2994"/>
      <c r="D6" s="2994">
        <f>结果表!D120</f>
        <v>0</v>
      </c>
      <c r="E6" s="2994"/>
      <c r="F6" s="2994"/>
      <c r="G6" s="2994"/>
      <c r="H6" s="2994"/>
      <c r="I6" s="2994"/>
    </row>
    <row r="7" spans="1:9" ht="15">
      <c r="A7" s="2992" t="s">
        <v>1636</v>
      </c>
      <c r="B7" s="2992"/>
      <c r="C7" s="2992"/>
      <c r="D7" s="2995" t="str">
        <f>结果表!D121</f>
        <v>零元整</v>
      </c>
      <c r="E7" s="2996"/>
      <c r="F7" s="2996"/>
      <c r="G7" s="2996"/>
      <c r="H7" s="2996"/>
      <c r="I7" s="2997"/>
    </row>
    <row r="8" spans="1:9" ht="15.6">
      <c r="A8" s="2994" t="str">
        <f>结果表!A122</f>
        <v/>
      </c>
      <c r="B8" s="2994"/>
      <c r="C8" s="2994"/>
      <c r="D8" s="2994">
        <f ca="1">结果表!D122</f>
        <v>216020</v>
      </c>
      <c r="E8" s="2994"/>
      <c r="F8" s="2994"/>
      <c r="G8" s="2994"/>
      <c r="H8" s="2994"/>
      <c r="I8" s="2994"/>
    </row>
    <row r="9" spans="1:9" ht="15">
      <c r="A9" s="2992" t="s">
        <v>1636</v>
      </c>
      <c r="B9" s="2992"/>
      <c r="C9" s="2992"/>
      <c r="D9" s="2993" t="str">
        <f ca="1">结果表!D123</f>
        <v>贰拾壹亿陆仟零贰拾万元整</v>
      </c>
      <c r="E9" s="2993"/>
      <c r="F9" s="2993"/>
      <c r="G9" s="2993"/>
      <c r="H9" s="2993"/>
      <c r="I9" s="2993"/>
    </row>
    <row r="10" spans="1:9" ht="15.6">
      <c r="A10" s="2994" t="str">
        <f>结果表!A124</f>
        <v/>
      </c>
      <c r="B10" s="2994"/>
      <c r="C10" s="2994"/>
      <c r="D10" s="2994" t="str">
        <f>结果表!D124</f>
        <v>——</v>
      </c>
      <c r="E10" s="2994"/>
      <c r="F10" s="2994"/>
      <c r="G10" s="2994"/>
      <c r="H10" s="2994"/>
      <c r="I10" s="2994"/>
    </row>
    <row r="11" spans="1:9" ht="15">
      <c r="A11" s="2992" t="s">
        <v>1636</v>
      </c>
      <c r="B11" s="2992"/>
      <c r="C11" s="2992"/>
      <c r="D11" s="2993" t="e">
        <f>结果表!D125</f>
        <v>#VALUE!</v>
      </c>
      <c r="E11" s="2993"/>
      <c r="F11" s="2993"/>
      <c r="G11" s="2993"/>
      <c r="H11" s="2993"/>
      <c r="I11" s="2993"/>
    </row>
    <row r="12" spans="1:9" ht="15.6">
      <c r="A12" s="2994" t="str">
        <f>结果表!A126</f>
        <v/>
      </c>
      <c r="B12" s="2994"/>
      <c r="C12" s="2994"/>
      <c r="D12" s="2994" t="str">
        <f>结果表!D126</f>
        <v>——</v>
      </c>
      <c r="E12" s="2994"/>
      <c r="F12" s="2994"/>
      <c r="G12" s="2994"/>
      <c r="H12" s="2994"/>
      <c r="I12" s="2994"/>
    </row>
    <row r="13" spans="1:9" ht="15.6" thickBot="1">
      <c r="A13" s="2998" t="s">
        <v>1636</v>
      </c>
      <c r="B13" s="2998"/>
      <c r="C13" s="2998"/>
      <c r="D13" s="2999" t="e">
        <f>结果表!D127</f>
        <v>#VALUE!</v>
      </c>
      <c r="E13" s="2999"/>
      <c r="F13" s="2999"/>
      <c r="G13" s="2999"/>
      <c r="H13" s="2999"/>
      <c r="I13" s="2999"/>
    </row>
    <row r="14" spans="1:9" ht="14.4" thickTop="1">
      <c r="A14" s="3000" t="s">
        <v>1641</v>
      </c>
      <c r="B14" s="3000"/>
      <c r="C14" s="3000"/>
      <c r="D14" s="3000"/>
      <c r="E14" s="3000"/>
      <c r="F14" s="3000"/>
      <c r="G14" s="3000"/>
      <c r="H14" s="3000"/>
      <c r="I14" s="3000"/>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1" t="s">
        <v>1658</v>
      </c>
      <c r="B1" s="3001"/>
      <c r="C1" s="3001"/>
      <c r="D1" s="3001"/>
    </row>
    <row r="2" spans="1:4" ht="17.399999999999999">
      <c r="A2" s="3002" t="s">
        <v>1642</v>
      </c>
      <c r="B2" s="3002"/>
      <c r="C2" s="3002"/>
      <c r="D2" s="3002"/>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02" t="s">
        <v>1648</v>
      </c>
      <c r="B6" s="3002"/>
      <c r="C6" s="3002"/>
      <c r="D6" s="3002"/>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03" t="s">
        <v>1651</v>
      </c>
      <c r="B11" s="3004"/>
      <c r="C11" s="3004"/>
      <c r="D11" s="3004"/>
    </row>
    <row r="12" spans="1:4" ht="15.6">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7" t="s">
        <v>1652</v>
      </c>
      <c r="B16" s="3007"/>
      <c r="C16" s="3007"/>
      <c r="D16" s="3007"/>
    </row>
    <row r="17" spans="1:4" ht="144" customHeight="1">
      <c r="A17" s="3007" t="s">
        <v>1653</v>
      </c>
      <c r="B17" s="3007"/>
      <c r="C17" s="3007"/>
      <c r="D17" s="3007"/>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1654</v>
      </c>
      <c r="B22" s="3009"/>
      <c r="C22" s="3009"/>
      <c r="D22" s="3009"/>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15" t="s">
        <v>1665</v>
      </c>
      <c r="B15" s="3010" t="s">
        <v>136</v>
      </c>
      <c r="C15" s="3011"/>
    </row>
    <row r="16" spans="1:7" ht="14.4">
      <c r="A16" s="3016"/>
      <c r="B16" s="3010" t="s">
        <v>69</v>
      </c>
      <c r="C16" s="3011"/>
    </row>
    <row r="17" spans="1:3" ht="14.4">
      <c r="A17" s="3016"/>
      <c r="B17" s="3013" t="s">
        <v>1666</v>
      </c>
      <c r="C17" s="1999" t="s">
        <v>1665</v>
      </c>
    </row>
    <row r="18" spans="1:3" ht="14.4">
      <c r="A18" s="3016"/>
      <c r="B18" s="3013"/>
      <c r="C18" s="1999" t="s">
        <v>1667</v>
      </c>
    </row>
    <row r="19" spans="1:3" ht="14.4">
      <c r="A19" s="3016"/>
      <c r="B19" s="3013"/>
      <c r="C19" s="1999" t="s">
        <v>1668</v>
      </c>
    </row>
    <row r="20" spans="1:3" ht="14.4">
      <c r="A20" s="3017"/>
      <c r="B20" s="3012" t="s">
        <v>1669</v>
      </c>
      <c r="C20" s="3011"/>
    </row>
    <row r="21" spans="1:3" ht="14.4">
      <c r="A21" s="2000" t="s">
        <v>1670</v>
      </c>
      <c r="B21" s="2001"/>
      <c r="C21" s="2002"/>
    </row>
    <row r="22" spans="1:3" ht="14.4">
      <c r="A22" s="3014" t="s">
        <v>1671</v>
      </c>
      <c r="B22" s="3012" t="s">
        <v>1672</v>
      </c>
      <c r="C22" s="3011"/>
    </row>
    <row r="23" spans="1:3" ht="14.4">
      <c r="A23" s="3014"/>
      <c r="B23" s="3012" t="s">
        <v>1673</v>
      </c>
      <c r="C23" s="3011"/>
    </row>
    <row r="24" spans="1:3" ht="14.4">
      <c r="A24" s="3014"/>
      <c r="B24" s="3012" t="s">
        <v>1674</v>
      </c>
      <c r="C24" s="3011"/>
    </row>
    <row r="25" spans="1:3" ht="14.4">
      <c r="A25" s="3014"/>
      <c r="B25" s="3013" t="s">
        <v>1675</v>
      </c>
      <c r="C25" s="1999" t="s">
        <v>1676</v>
      </c>
    </row>
    <row r="26" spans="1:3" ht="14.4">
      <c r="A26" s="3014"/>
      <c r="B26" s="3013"/>
      <c r="C26" s="1999" t="s">
        <v>1677</v>
      </c>
    </row>
    <row r="27" spans="1:3" ht="14.4">
      <c r="A27" s="3014"/>
      <c r="B27" s="3013"/>
      <c r="C27" s="1999" t="s">
        <v>1678</v>
      </c>
    </row>
    <row r="28" spans="1:3" ht="14.4">
      <c r="A28" s="3014"/>
      <c r="B28" s="3013"/>
      <c r="C28" s="1999" t="s">
        <v>1679</v>
      </c>
    </row>
    <row r="29" spans="1:3" ht="14.4">
      <c r="A29" s="3014"/>
      <c r="B29" s="3013"/>
      <c r="C29" s="1999" t="s">
        <v>1680</v>
      </c>
    </row>
    <row r="30" spans="1:3" ht="14.4">
      <c r="A30" s="3014"/>
      <c r="B30" s="3013"/>
      <c r="C30" s="1999" t="s">
        <v>1681</v>
      </c>
    </row>
    <row r="31" spans="1:3" ht="14.4">
      <c r="A31" s="3014"/>
      <c r="B31" s="3013"/>
      <c r="C31" s="1999" t="s">
        <v>1682</v>
      </c>
    </row>
    <row r="32" spans="1:3" ht="14.4">
      <c r="A32" s="3014"/>
      <c r="B32" s="3013"/>
      <c r="C32" s="1999" t="s">
        <v>1683</v>
      </c>
    </row>
    <row r="33" spans="1:3" ht="14.4">
      <c r="A33" s="3014"/>
      <c r="B33" s="3013"/>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43629</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3045</v>
      </c>
      <c r="B14" s="1022">
        <f ca="1">IF(C14&lt;B2,"已过期",1120040230)</f>
        <v>1120040230</v>
      </c>
      <c r="C14" s="2346">
        <v>43835</v>
      </c>
      <c r="D14" s="2349" t="s">
        <v>3045</v>
      </c>
      <c r="E14" s="1022">
        <f ca="1">IF(F14&lt;B2,"已过期",98030020)</f>
        <v>98030020</v>
      </c>
      <c r="F14" s="1030">
        <v>47118</v>
      </c>
    </row>
    <row r="15" spans="1:6" ht="24" customHeight="1">
      <c r="A15" s="1702" t="s">
        <v>3046</v>
      </c>
      <c r="B15" s="1022">
        <f ca="1">IF(C15&lt;B2,"已过期",1120070085)</f>
        <v>1120070085</v>
      </c>
      <c r="C15" s="2346">
        <v>43814</v>
      </c>
      <c r="D15" s="2350" t="s">
        <v>3046</v>
      </c>
      <c r="E15" s="1022">
        <f ca="1">IF(F15&lt;B2,"已过期",2004110128)</f>
        <v>2004110128</v>
      </c>
      <c r="F15" s="1023">
        <v>47118</v>
      </c>
    </row>
    <row r="16" spans="1:6" ht="24" customHeight="1">
      <c r="A16" s="1701" t="s">
        <v>3047</v>
      </c>
      <c r="B16" s="1022">
        <f ca="1">IF(C16&lt;B2,"已过期",1120140022)</f>
        <v>1120140022</v>
      </c>
      <c r="C16" s="2926">
        <v>44029</v>
      </c>
      <c r="D16" s="2349" t="s">
        <v>3047</v>
      </c>
      <c r="E16" s="1022">
        <f ca="1">IF(F16&lt;B2,"已过期",2008110059)</f>
        <v>2008110059</v>
      </c>
      <c r="F16" s="1030">
        <v>47177</v>
      </c>
    </row>
    <row r="17" spans="1:7" ht="24" customHeight="1">
      <c r="A17" s="1701"/>
      <c r="B17" s="1022"/>
      <c r="C17" s="2346"/>
      <c r="D17" s="2349" t="s">
        <v>3048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18" t="s">
        <v>843</v>
      </c>
      <c r="B25" s="3018"/>
      <c r="C25" s="3018"/>
      <c r="D25" s="3018"/>
      <c r="E25" s="3018"/>
      <c r="F25" s="3018"/>
      <c r="G25" s="3018"/>
    </row>
    <row r="26" spans="1:7" s="1025" customFormat="1" ht="24" customHeight="1">
      <c r="A26" s="3019" t="s">
        <v>844</v>
      </c>
      <c r="B26" s="3019"/>
      <c r="C26" s="3020"/>
      <c r="D26" s="3021" t="s">
        <v>845</v>
      </c>
      <c r="E26" s="3019"/>
      <c r="F26" s="3019"/>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2019-06-13T09:09:57Z</dcterms:modified>
</cp:coreProperties>
</file>