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租金办公" sheetId="82"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1" r:id="rId47"/>
    <sheet name="Sheet1" sheetId="80" r:id="rId48"/>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4">'比较法-租金办公'!$A$1:$K$55,'比较法-租金办公'!$A$58:$M$132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18" i="1" l="1"/>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F70" i="82"/>
  <c r="G70" i="82" s="1"/>
  <c r="H70" i="82" s="1"/>
  <c r="I70" i="82" s="1"/>
  <c r="J70" i="82" s="1"/>
  <c r="K70" i="82" s="1"/>
  <c r="L70" i="82" s="1"/>
  <c r="M70" i="82" s="1"/>
  <c r="E70" i="82"/>
  <c r="D70" i="82"/>
  <c r="M68" i="82"/>
  <c r="L68" i="82"/>
  <c r="K68" i="82"/>
  <c r="J68" i="82"/>
  <c r="I68" i="82"/>
  <c r="H68" i="82"/>
  <c r="G68" i="82"/>
  <c r="F68" i="82"/>
  <c r="E68" i="82"/>
  <c r="D68" i="82"/>
  <c r="C68" i="82"/>
  <c r="E67" i="82"/>
  <c r="F67" i="82" s="1"/>
  <c r="G67" i="82" s="1"/>
  <c r="D67"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C45" i="82"/>
  <c r="J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Q36" i="82"/>
  <c r="Z36" i="82" s="1"/>
  <c r="J36" i="82"/>
  <c r="AC36" i="82" s="1"/>
  <c r="H36" i="82"/>
  <c r="AB36" i="82" s="1"/>
  <c r="F36" i="82"/>
  <c r="AA36" i="82" s="1"/>
  <c r="Q35" i="82"/>
  <c r="Z35" i="82" s="1"/>
  <c r="J35" i="82"/>
  <c r="AC35" i="82" s="1"/>
  <c r="H35" i="82"/>
  <c r="AB35" i="82" s="1"/>
  <c r="F35" i="82"/>
  <c r="AA35" i="82" s="1"/>
  <c r="Q34" i="82"/>
  <c r="Z34" i="82" s="1"/>
  <c r="H34" i="82"/>
  <c r="AB34" i="82" s="1"/>
  <c r="C34" i="82"/>
  <c r="J34" i="82" s="1"/>
  <c r="Q33" i="82"/>
  <c r="Z33" i="82" s="1"/>
  <c r="J33" i="82"/>
  <c r="AC33" i="82" s="1"/>
  <c r="H33" i="82"/>
  <c r="AB33" i="82" s="1"/>
  <c r="F33" i="82"/>
  <c r="AA33" i="82" s="1"/>
  <c r="Q32" i="82"/>
  <c r="Z32" i="82" s="1"/>
  <c r="J32" i="82"/>
  <c r="AC32" i="82" s="1"/>
  <c r="H32" i="82"/>
  <c r="AB32" i="82" s="1"/>
  <c r="F32" i="82"/>
  <c r="S32" i="82" s="1"/>
  <c r="Z31" i="82"/>
  <c r="Q31" i="82"/>
  <c r="J31" i="82"/>
  <c r="AC31" i="82" s="1"/>
  <c r="H31" i="82"/>
  <c r="AB31" i="82" s="1"/>
  <c r="F31" i="82"/>
  <c r="AA31" i="82" s="1"/>
  <c r="Q30" i="82"/>
  <c r="Z30" i="82" s="1"/>
  <c r="J30" i="82"/>
  <c r="AC30" i="82" s="1"/>
  <c r="H30" i="82"/>
  <c r="AB30" i="82" s="1"/>
  <c r="F30" i="82"/>
  <c r="AA30" i="82" s="1"/>
  <c r="U29" i="82"/>
  <c r="Q29" i="82"/>
  <c r="Z29" i="82" s="1"/>
  <c r="J29" i="82"/>
  <c r="AC29" i="82" s="1"/>
  <c r="H29" i="82"/>
  <c r="AB29" i="82" s="1"/>
  <c r="F29" i="82"/>
  <c r="AA29" i="82" s="1"/>
  <c r="AA28" i="82"/>
  <c r="Q28" i="82"/>
  <c r="Z28" i="82" s="1"/>
  <c r="J28" i="82"/>
  <c r="AC28" i="82" s="1"/>
  <c r="H28" i="82"/>
  <c r="AB28" i="82" s="1"/>
  <c r="F28" i="82"/>
  <c r="S28" i="82" s="1"/>
  <c r="Q27" i="82"/>
  <c r="Z27" i="82" s="1"/>
  <c r="AC25" i="82"/>
  <c r="Q25" i="82"/>
  <c r="Z25" i="82" s="1"/>
  <c r="J25" i="82"/>
  <c r="W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E10" i="82" s="1"/>
  <c r="F10" i="82" s="1"/>
  <c r="Q9" i="82"/>
  <c r="Z9" i="82" s="1"/>
  <c r="J9" i="82"/>
  <c r="AC9" i="82" s="1"/>
  <c r="H9" i="82"/>
  <c r="AB9" i="82" s="1"/>
  <c r="F9" i="82"/>
  <c r="AA9" i="82" s="1"/>
  <c r="J8" i="82"/>
  <c r="AC8" i="82" s="1"/>
  <c r="H8" i="82"/>
  <c r="AB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D3" i="82"/>
  <c r="C45" i="34"/>
  <c r="C34" i="34"/>
  <c r="B14" i="74"/>
  <c r="I10" i="34"/>
  <c r="G10" i="34"/>
  <c r="E10" i="34"/>
  <c r="C10" i="34"/>
  <c r="I7" i="34"/>
  <c r="G7" i="34"/>
  <c r="E7" i="34"/>
  <c r="E67" i="34"/>
  <c r="F67" i="34" s="1"/>
  <c r="G67" i="34" s="1"/>
  <c r="D67" i="34"/>
  <c r="J49" i="67"/>
  <c r="D2" i="82"/>
  <c r="W8" i="82" l="1"/>
  <c r="U8" i="82"/>
  <c r="H27" i="82"/>
  <c r="F27" i="82"/>
  <c r="AA27" i="82" s="1"/>
  <c r="F90" i="82"/>
  <c r="G90" i="82" s="1"/>
  <c r="H90" i="82" s="1"/>
  <c r="I90" i="82" s="1"/>
  <c r="J90" i="82" s="1"/>
  <c r="K90" i="82" s="1"/>
  <c r="L90" i="82" s="1"/>
  <c r="M90" i="82" s="1"/>
  <c r="J27" i="82"/>
  <c r="AC27" i="82" s="1"/>
  <c r="AC7" i="82"/>
  <c r="W7" i="82"/>
  <c r="AA7" i="82"/>
  <c r="S7" i="82"/>
  <c r="U7" i="82"/>
  <c r="AB7" i="82"/>
  <c r="AA10" i="82"/>
  <c r="S10" i="82"/>
  <c r="S9" i="82"/>
  <c r="I10" i="82"/>
  <c r="J10" i="82" s="1"/>
  <c r="W11" i="82"/>
  <c r="S13" i="82"/>
  <c r="AA8" i="82"/>
  <c r="U9" i="82"/>
  <c r="S12" i="82"/>
  <c r="U13" i="82"/>
  <c r="W14" i="82"/>
  <c r="W15" i="82"/>
  <c r="W17" i="82"/>
  <c r="W19" i="82"/>
  <c r="W21" i="82"/>
  <c r="W23" i="82"/>
  <c r="AA25" i="82"/>
  <c r="AB27" i="82"/>
  <c r="U27" i="82"/>
  <c r="W30" i="82"/>
  <c r="AA32" i="82"/>
  <c r="F37" i="82"/>
  <c r="S15" i="82"/>
  <c r="W9" i="82"/>
  <c r="G10" i="82"/>
  <c r="H10" i="82" s="1"/>
  <c r="S11" i="82"/>
  <c r="U12" i="82"/>
  <c r="W13" i="82"/>
  <c r="AB25" i="82"/>
  <c r="AC34" i="82"/>
  <c r="W34" i="82"/>
  <c r="U11" i="82"/>
  <c r="W12" i="82"/>
  <c r="S14" i="82"/>
  <c r="S17" i="82"/>
  <c r="S19" i="82"/>
  <c r="S21" i="82"/>
  <c r="S23" i="82"/>
  <c r="AC45" i="82"/>
  <c r="W45" i="82"/>
  <c r="U14" i="82"/>
  <c r="U15" i="82"/>
  <c r="U17" i="82"/>
  <c r="U19" i="82"/>
  <c r="U21" i="82"/>
  <c r="U23" i="82"/>
  <c r="W28" i="82"/>
  <c r="S30" i="82"/>
  <c r="U31" i="82"/>
  <c r="W32" i="82"/>
  <c r="S35" i="82"/>
  <c r="U36" i="82"/>
  <c r="H37" i="82"/>
  <c r="W38" i="82"/>
  <c r="S40" i="82"/>
  <c r="U41" i="82"/>
  <c r="W42" i="82"/>
  <c r="S44" i="82"/>
  <c r="F45" i="82"/>
  <c r="U46" i="82"/>
  <c r="W47" i="82"/>
  <c r="W27" i="82"/>
  <c r="S29" i="82"/>
  <c r="U30" i="82"/>
  <c r="W31" i="82"/>
  <c r="S33" i="82"/>
  <c r="F34" i="82"/>
  <c r="U35" i="82"/>
  <c r="W36" i="82"/>
  <c r="J37" i="82"/>
  <c r="S39" i="82"/>
  <c r="U40" i="82"/>
  <c r="W41" i="82"/>
  <c r="S43" i="82"/>
  <c r="U44" i="82"/>
  <c r="H45" i="82"/>
  <c r="W46" i="82"/>
  <c r="U33" i="82"/>
  <c r="U34" i="82"/>
  <c r="W35" i="82"/>
  <c r="S38" i="82"/>
  <c r="U39" i="82"/>
  <c r="W40" i="82"/>
  <c r="S42" i="82"/>
  <c r="U43" i="82"/>
  <c r="W44" i="82"/>
  <c r="S47" i="82"/>
  <c r="S27" i="82"/>
  <c r="U28" i="82"/>
  <c r="W29" i="82"/>
  <c r="S31" i="82"/>
  <c r="U32" i="82"/>
  <c r="W33" i="82"/>
  <c r="S36" i="82"/>
  <c r="U38" i="82"/>
  <c r="W39" i="82"/>
  <c r="S41" i="82"/>
  <c r="U42" i="82"/>
  <c r="W43" i="82"/>
  <c r="S46" i="82"/>
  <c r="U47" i="82"/>
  <c r="Q18" i="1"/>
  <c r="N19" i="1"/>
  <c r="N21" i="1" s="1"/>
  <c r="N6" i="1" s="1"/>
  <c r="AA45" i="82" l="1"/>
  <c r="S45" i="82"/>
  <c r="AC10" i="82"/>
  <c r="W10" i="82"/>
  <c r="AC37" i="82"/>
  <c r="W37" i="82"/>
  <c r="V49" i="82"/>
  <c r="I49" i="82" s="1"/>
  <c r="AB37" i="82"/>
  <c r="U37" i="82"/>
  <c r="AA37" i="82"/>
  <c r="S37" i="82"/>
  <c r="AB10" i="82"/>
  <c r="U10" i="82"/>
  <c r="AB45" i="82"/>
  <c r="U45" i="82"/>
  <c r="AA34" i="82"/>
  <c r="R49" i="82" s="1"/>
  <c r="S34" i="82"/>
  <c r="C37" i="34"/>
  <c r="Y6" i="1"/>
  <c r="F19" i="6"/>
  <c r="D3" i="4"/>
  <c r="E49" i="82" l="1"/>
  <c r="T49" i="82"/>
  <c r="G49" i="82" s="1"/>
  <c r="I53" i="82"/>
  <c r="J53" i="82" s="1"/>
  <c r="G14" i="73"/>
  <c r="F14" i="73"/>
  <c r="E14" i="73"/>
  <c r="G53" i="82" l="1"/>
  <c r="H53" i="82" s="1"/>
  <c r="G54" i="82"/>
  <c r="H54" i="82" s="1"/>
  <c r="E54" i="82"/>
  <c r="F54" i="82" s="1"/>
  <c r="E53" i="82"/>
  <c r="F53" i="82" s="1"/>
  <c r="I54" i="82"/>
  <c r="J54" i="82" s="1"/>
  <c r="R50" i="82"/>
  <c r="I12" i="79"/>
  <c r="C50" i="82" l="1"/>
  <c r="U6" i="1" s="1"/>
  <c r="T19" i="1" s="1"/>
  <c r="C49" i="82"/>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B2" i="82" l="1"/>
  <c r="B3"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D35" i="79"/>
  <c r="AR36" i="79"/>
  <c r="C60" i="78"/>
  <c r="D60" i="78" s="1"/>
  <c r="D53" i="78"/>
  <c r="D52" i="78"/>
  <c r="B51" i="78"/>
  <c r="B56" i="78" s="1"/>
  <c r="D51" i="78" l="1"/>
  <c r="B55" i="78"/>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U50" i="79"/>
  <c r="AI50" i="79" s="1"/>
  <c r="AD51" i="79"/>
  <c r="AD37" i="79"/>
  <c r="AD38"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R18" i="79"/>
  <c r="AR19" i="79" s="1"/>
  <c r="AR20" i="79" s="1"/>
  <c r="AR21" i="79" s="1"/>
  <c r="AR22" i="79" s="1"/>
  <c r="AR23" i="79" s="1"/>
  <c r="AR24" i="79" s="1"/>
  <c r="T34" i="79"/>
  <c r="T33"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3" i="79"/>
  <c r="AK33" i="79" s="1"/>
  <c r="AH33"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E38" i="71" s="1"/>
  <c r="E39" i="71" s="1"/>
  <c r="O37" i="71"/>
  <c r="N37" i="71"/>
  <c r="B38" i="71" s="1"/>
  <c r="D37" i="71"/>
  <c r="Q36" i="71"/>
  <c r="AB36" i="71" s="1"/>
  <c r="P36" i="71"/>
  <c r="O36" i="71"/>
  <c r="N36" i="71"/>
  <c r="Q35" i="71"/>
  <c r="AB35" i="71"/>
  <c r="P35" i="7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D63" i="71"/>
  <c r="D75" i="71"/>
  <c r="C74" i="71"/>
  <c r="D74" i="71" s="1"/>
  <c r="D87"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S21" i="33" s="1"/>
  <c r="E83" i="21"/>
  <c r="F83" i="21" s="1"/>
  <c r="G83" i="21" s="1"/>
  <c r="H1" i="69"/>
  <c r="AC25" i="40"/>
  <c r="W25" i="40"/>
  <c r="U25" i="40"/>
  <c r="U29" i="39"/>
  <c r="W18" i="36"/>
  <c r="AB21" i="37"/>
  <c r="U21" i="37"/>
  <c r="AB21" i="33"/>
  <c r="AA21" i="33"/>
  <c r="AC18" i="35"/>
  <c r="W18" i="35"/>
  <c r="J21" i="37"/>
  <c r="W21" i="37" s="1"/>
  <c r="J21" i="34"/>
  <c r="W21" i="34" s="1"/>
  <c r="J21" i="33"/>
  <c r="W21" i="33" s="1"/>
  <c r="H21" i="21"/>
  <c r="U21" i="21" s="1"/>
  <c r="F38" i="69"/>
  <c r="E37" i="69"/>
  <c r="F36" i="69"/>
  <c r="F35" i="69"/>
  <c r="F21" i="69"/>
  <c r="F40" i="69" s="1"/>
  <c r="F20" i="69"/>
  <c r="F39" i="69" s="1"/>
  <c r="E10" i="69"/>
  <c r="E9" i="69"/>
  <c r="C7" i="69"/>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F19" i="34"/>
  <c r="AA19" i="34" s="1"/>
  <c r="H17" i="34"/>
  <c r="U17" i="34" s="1"/>
  <c r="F15" i="34"/>
  <c r="AA15" i="34" s="1"/>
  <c r="J15" i="34"/>
  <c r="W15" i="34" s="1"/>
  <c r="H15" i="34"/>
  <c r="AB15" i="34" s="1"/>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62"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c r="G340" i="3"/>
  <c r="BL343" i="3"/>
  <c r="G344" i="3"/>
  <c r="G348" i="3"/>
  <c r="G355" i="3"/>
  <c r="AZ218"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AZ269" i="3"/>
  <c r="BA379" i="3"/>
  <c r="AZ379" i="3" s="1"/>
  <c r="BL380" i="3"/>
  <c r="AZ380" i="3" s="1"/>
  <c r="G381" i="3"/>
  <c r="BA383" i="3"/>
  <c r="BL384" i="3"/>
  <c r="G385" i="3"/>
  <c r="BA387" i="3"/>
  <c r="AZ387" i="3" s="1"/>
  <c r="BL388" i="3"/>
  <c r="G389" i="3"/>
  <c r="BA391" i="3"/>
  <c r="AZ391" i="3" s="1"/>
  <c r="BL392" i="3"/>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259" i="3"/>
  <c r="AZ271"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G29" i="6"/>
  <c r="AC26" i="33"/>
  <c r="W26" i="33"/>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86"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U39"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A31" i="34"/>
  <c r="AA30" i="34"/>
  <c r="AB45" i="34"/>
  <c r="AB47" i="34"/>
  <c r="U25" i="34"/>
  <c r="AC14" i="34"/>
  <c r="AC32" i="34"/>
  <c r="AC29" i="34"/>
  <c r="W29" i="34"/>
  <c r="W46" i="34"/>
  <c r="AC46" i="34"/>
  <c r="S32" i="34"/>
  <c r="AA32" i="34"/>
  <c r="U30" i="34"/>
  <c r="AB30" i="34"/>
  <c r="AC40" i="34"/>
  <c r="S19"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26" i="15"/>
  <c r="F8" i="15"/>
  <c r="J15" i="15"/>
  <c r="F37" i="15"/>
  <c r="E7" i="76"/>
  <c r="M26" i="15"/>
  <c r="F43" i="15"/>
  <c r="M8" i="15"/>
  <c r="M6" i="67"/>
  <c r="F26" i="67"/>
  <c r="F42" i="15"/>
  <c r="B13" i="76"/>
  <c r="F6" i="15"/>
  <c r="M28" i="15"/>
  <c r="L48" i="67"/>
  <c r="F43" i="67"/>
  <c r="M8" i="67"/>
  <c r="F7" i="15"/>
  <c r="F13" i="67"/>
  <c r="AO13" i="1"/>
  <c r="F40" i="15"/>
  <c r="F3" i="73"/>
  <c r="F7" i="67"/>
  <c r="F13" i="15"/>
  <c r="F38" i="15"/>
  <c r="F20" i="31"/>
  <c r="E8" i="76"/>
  <c r="M28" i="67"/>
  <c r="L48" i="15"/>
  <c r="F5" i="73"/>
  <c r="F6" i="67"/>
  <c r="F36" i="15"/>
  <c r="C76" i="15"/>
  <c r="M29" i="15"/>
  <c r="F6" i="73"/>
  <c r="B7" i="76"/>
  <c r="F9" i="15"/>
  <c r="B8" i="76"/>
  <c r="B11" i="76"/>
  <c r="F42" i="67"/>
  <c r="J15" i="67"/>
  <c r="E2" i="68"/>
  <c r="M23" i="67"/>
  <c r="F4" i="73"/>
  <c r="F7" i="73"/>
  <c r="M29" i="67"/>
  <c r="M22" i="15"/>
  <c r="M9" i="15"/>
  <c r="E13" i="76"/>
  <c r="M23" i="15"/>
  <c r="B10" i="76"/>
  <c r="E11" i="76"/>
  <c r="M9" i="67"/>
  <c r="M6" i="15"/>
  <c r="F38" i="67"/>
  <c r="B12" i="76"/>
  <c r="E9" i="76"/>
  <c r="E10" i="76"/>
  <c r="F16" i="15"/>
  <c r="M26" i="67"/>
  <c r="E2" i="69"/>
  <c r="L47" i="15"/>
  <c r="M24" i="15"/>
  <c r="B9" i="76"/>
  <c r="L47" i="67"/>
  <c r="H27" i="34" l="1"/>
  <c r="AB27" i="34" s="1"/>
  <c r="S23" i="34"/>
  <c r="AA21" i="34"/>
  <c r="AC17" i="34"/>
  <c r="U15" i="34"/>
  <c r="AC15" i="34"/>
  <c r="AC45" i="34"/>
  <c r="W8" i="34"/>
  <c r="AC27" i="34"/>
  <c r="AC44" i="34"/>
  <c r="W41" i="34"/>
  <c r="AB40" i="34"/>
  <c r="AA40" i="34"/>
  <c r="U43" i="34"/>
  <c r="AB41" i="34"/>
  <c r="AA33" i="34"/>
  <c r="U34" i="34"/>
  <c r="S37" i="34"/>
  <c r="W9" i="34"/>
  <c r="AC43" i="34"/>
  <c r="S43" i="34"/>
  <c r="U38" i="34"/>
  <c r="AC39" i="34"/>
  <c r="AA36" i="34"/>
  <c r="AB36" i="34"/>
  <c r="AB35" i="34"/>
  <c r="S35" i="34"/>
  <c r="W33" i="34"/>
  <c r="AB33" i="34"/>
  <c r="AB8" i="34"/>
  <c r="B41" i="1"/>
  <c r="D93" i="9"/>
  <c r="C40" i="11"/>
  <c r="C40" i="69"/>
  <c r="E19" i="68"/>
  <c r="D22" i="15"/>
  <c r="D23" i="15"/>
  <c r="A4" i="52"/>
  <c r="B41" i="72" s="1"/>
  <c r="J1" i="73"/>
  <c r="AA14" i="37"/>
  <c r="S14" i="37"/>
  <c r="U45" i="33"/>
  <c r="AB45" i="33"/>
  <c r="S44" i="34"/>
  <c r="AA44" i="34"/>
  <c r="AB19" i="33"/>
  <c r="AB36" i="33"/>
  <c r="W32" i="39"/>
  <c r="AA23" i="21"/>
  <c r="AC15" i="21"/>
  <c r="AZ513" i="3"/>
  <c r="AC36" i="34"/>
  <c r="W36" i="34"/>
  <c r="S29" i="35"/>
  <c r="AA29" i="35"/>
  <c r="AB12" i="36"/>
  <c r="U12" i="36"/>
  <c r="AZ587" i="3"/>
  <c r="AZ502" i="3"/>
  <c r="U33" i="40"/>
  <c r="AB33" i="40"/>
  <c r="AB30" i="21"/>
  <c r="U30" i="21"/>
  <c r="D6" i="52"/>
  <c r="AZ14" i="3"/>
  <c r="AZ306" i="3"/>
  <c r="AB46" i="34"/>
  <c r="U46" i="34"/>
  <c r="W31" i="33"/>
  <c r="AC31" i="33"/>
  <c r="AZ338" i="3"/>
  <c r="AZ390" i="3"/>
  <c r="AZ371" i="3"/>
  <c r="AZ351" i="3"/>
  <c r="AZ336" i="3"/>
  <c r="AZ305" i="3"/>
  <c r="AZ360" i="3"/>
  <c r="AZ539" i="3"/>
  <c r="AZ529" i="3"/>
  <c r="AZ537" i="3"/>
  <c r="AZ518" i="3"/>
  <c r="AZ546" i="3"/>
  <c r="AB17" i="34"/>
  <c r="AA41" i="33"/>
  <c r="U23" i="34"/>
  <c r="B79" i="43"/>
  <c r="J9" i="33"/>
  <c r="H23" i="35"/>
  <c r="AZ451" i="3"/>
  <c r="BL587" i="3"/>
  <c r="AZ419" i="3"/>
  <c r="AZ313" i="3"/>
  <c r="AZ394" i="3"/>
  <c r="AA25" i="21"/>
  <c r="AZ519" i="3"/>
  <c r="AZ531" i="3"/>
  <c r="AZ573" i="3"/>
  <c r="AZ583" i="3"/>
  <c r="AZ568" i="3"/>
  <c r="AZ576" i="3"/>
  <c r="AA14" i="34"/>
  <c r="G587" i="3"/>
  <c r="F9" i="33"/>
  <c r="AA9" i="33" s="1"/>
  <c r="J12" i="35"/>
  <c r="H39" i="40"/>
  <c r="G566" i="3"/>
  <c r="AZ444" i="3"/>
  <c r="AZ523" i="3"/>
  <c r="AZ547" i="3"/>
  <c r="AZ571" i="3"/>
  <c r="AZ579" i="3"/>
  <c r="BL585" i="3"/>
  <c r="AZ585" i="3" s="1"/>
  <c r="B75" i="43"/>
  <c r="BA551" i="3"/>
  <c r="AZ551" i="3" s="1"/>
  <c r="BA550" i="3"/>
  <c r="AZ550" i="3" s="1"/>
  <c r="BL548" i="3"/>
  <c r="AZ548" i="3" s="1"/>
  <c r="BL428" i="3"/>
  <c r="BL429" i="3"/>
  <c r="BL432" i="3"/>
  <c r="BL435" i="3"/>
  <c r="BL436" i="3"/>
  <c r="BA439" i="3"/>
  <c r="BA440" i="3"/>
  <c r="AZ440" i="3" s="1"/>
  <c r="AZ458" i="3"/>
  <c r="AZ462" i="3"/>
  <c r="G5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AZ457" i="3" s="1"/>
  <c r="BA459" i="3"/>
  <c r="AZ459" i="3" s="1"/>
  <c r="BA460" i="3"/>
  <c r="AZ460" i="3" s="1"/>
  <c r="BA461" i="3"/>
  <c r="BL464" i="3"/>
  <c r="BL466" i="3"/>
  <c r="AZ466" i="3" s="1"/>
  <c r="G468" i="3"/>
  <c r="G469" i="3"/>
  <c r="BL476" i="3"/>
  <c r="AZ476" i="3" s="1"/>
  <c r="BL477" i="3"/>
  <c r="BL478" i="3"/>
  <c r="BL480" i="3"/>
  <c r="AZ480" i="3" s="1"/>
  <c r="BA483" i="3"/>
  <c r="BL483" i="3"/>
  <c r="BA486" i="3"/>
  <c r="BL489" i="3"/>
  <c r="BL491" i="3"/>
  <c r="AZ491" i="3" s="1"/>
  <c r="BL492" i="3"/>
  <c r="BA315" i="3"/>
  <c r="AZ315" i="3" s="1"/>
  <c r="BA333" i="3"/>
  <c r="BL346" i="3"/>
  <c r="AZ346" i="3" s="1"/>
  <c r="G349" i="3"/>
  <c r="G374" i="3"/>
  <c r="BL383" i="3"/>
  <c r="AZ383" i="3" s="1"/>
  <c r="AZ301" i="3"/>
  <c r="G574" i="3"/>
  <c r="BA401" i="3"/>
  <c r="AZ401" i="3" s="1"/>
  <c r="BA403" i="3"/>
  <c r="AZ403" i="3" s="1"/>
  <c r="BA404" i="3"/>
  <c r="AZ404" i="3" s="1"/>
  <c r="BA405" i="3"/>
  <c r="AZ405" i="3" s="1"/>
  <c r="BL410" i="3"/>
  <c r="G412" i="3"/>
  <c r="G418" i="3"/>
  <c r="BA422" i="3"/>
  <c r="AZ422" i="3" s="1"/>
  <c r="BL431"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L381" i="3"/>
  <c r="AZ381"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L141" i="3"/>
  <c r="G154" i="3"/>
  <c r="BA157" i="3"/>
  <c r="AZ157" i="3" s="1"/>
  <c r="BA164" i="3"/>
  <c r="AZ164" i="3" s="1"/>
  <c r="BL166" i="3"/>
  <c r="BL173" i="3"/>
  <c r="AZ173" i="3" s="1"/>
  <c r="BL179" i="3"/>
  <c r="AZ179" i="3" s="1"/>
  <c r="G180" i="3"/>
  <c r="BA181" i="3"/>
  <c r="AZ181"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BA278" i="3"/>
  <c r="AZ278" i="3" s="1"/>
  <c r="BA280" i="3"/>
  <c r="AZ280" i="3" s="1"/>
  <c r="BL283" i="3"/>
  <c r="AZ283" i="3" s="1"/>
  <c r="BL284" i="3"/>
  <c r="G288" i="3"/>
  <c r="BL292" i="3"/>
  <c r="BA294" i="3"/>
  <c r="BL295" i="3"/>
  <c r="BA298" i="3"/>
  <c r="AZ298" i="3" s="1"/>
  <c r="BL301" i="3"/>
  <c r="BL302" i="3"/>
  <c r="BA114" i="3"/>
  <c r="BL123" i="3"/>
  <c r="AZ123" i="3" s="1"/>
  <c r="BL134" i="3"/>
  <c r="BA146" i="3"/>
  <c r="AZ146" i="3" s="1"/>
  <c r="BL260" i="3"/>
  <c r="BL263" i="3"/>
  <c r="AZ263"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L157" i="3"/>
  <c r="BL159" i="3"/>
  <c r="AZ159" i="3" s="1"/>
  <c r="BA397" i="3"/>
  <c r="AZ397" i="3" s="1"/>
  <c r="BL397" i="3"/>
  <c r="BA210" i="3"/>
  <c r="AZ210" i="3" s="1"/>
  <c r="BL210" i="3"/>
  <c r="BL212" i="3"/>
  <c r="G214"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9" i="3"/>
  <c r="BL170" i="3"/>
  <c r="G171" i="3"/>
  <c r="BA177" i="3"/>
  <c r="AZ177" i="3" s="1"/>
  <c r="BA182"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BA26" i="3"/>
  <c r="G28" i="3"/>
  <c r="BL28" i="3"/>
  <c r="BA29" i="3"/>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BA72" i="3"/>
  <c r="AZ72" i="3" s="1"/>
  <c r="BA73" i="3"/>
  <c r="BA79" i="3"/>
  <c r="AZ79" i="3" s="1"/>
  <c r="BA84" i="3"/>
  <c r="AZ84" i="3" s="1"/>
  <c r="BA92" i="3"/>
  <c r="G98" i="3"/>
  <c r="G99" i="3"/>
  <c r="BL103" i="3"/>
  <c r="BA104" i="3"/>
  <c r="B13" i="1"/>
  <c r="E13" i="1" s="1"/>
  <c r="K13" i="1"/>
  <c r="M13" i="1" s="1"/>
  <c r="O13" i="1" s="1"/>
  <c r="P13" i="1" s="1"/>
  <c r="AC21" i="33"/>
  <c r="C31" i="71"/>
  <c r="Y30" i="71"/>
  <c r="Z30" i="71" s="1"/>
  <c r="AA38" i="71"/>
  <c r="AA39" i="71"/>
  <c r="AA37" i="71"/>
  <c r="D84" i="71"/>
  <c r="C83" i="7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70" i="3"/>
  <c r="AZ70" i="3" s="1"/>
  <c r="G76" i="3"/>
  <c r="BL77" i="3"/>
  <c r="AZ77" i="3" s="1"/>
  <c r="BL81" i="3"/>
  <c r="BL91" i="3"/>
  <c r="BL96" i="3"/>
  <c r="G102" i="3"/>
  <c r="BA103" i="3"/>
  <c r="AZ103" i="3" s="1"/>
  <c r="BL110" i="3"/>
  <c r="BL111" i="3"/>
  <c r="F40" i="68"/>
  <c r="C21" i="68"/>
  <c r="AC29" i="39"/>
  <c r="W29" i="39"/>
  <c r="AA18" i="36"/>
  <c r="S18" i="36"/>
  <c r="D52" i="71"/>
  <c r="D51" i="71"/>
  <c r="Y27" i="71"/>
  <c r="Z27" i="71" s="1"/>
  <c r="Y26" i="71"/>
  <c r="Z26" i="71" s="1"/>
  <c r="C28" i="71"/>
  <c r="Y28" i="71"/>
  <c r="Z28" i="71" s="1"/>
  <c r="Y25" i="71"/>
  <c r="Z25" i="71" s="1"/>
  <c r="AA35" i="71"/>
  <c r="Y35" i="71"/>
  <c r="Z35" i="71" s="1"/>
  <c r="Y37" i="71"/>
  <c r="Z37" i="71" s="1"/>
  <c r="X36" i="71"/>
  <c r="X35" i="71"/>
  <c r="X25" i="71"/>
  <c r="X38" i="71"/>
  <c r="X26" i="71"/>
  <c r="C47" i="71"/>
  <c r="D47" i="71" s="1"/>
  <c r="D46" i="71"/>
  <c r="V24" i="71"/>
  <c r="E23" i="71"/>
  <c r="E22" i="71" s="1"/>
  <c r="E21" i="71" s="1"/>
  <c r="E20" i="71" s="1"/>
  <c r="C40" i="68"/>
  <c r="P27" i="6"/>
  <c r="AA34" i="71"/>
  <c r="AA30" i="71"/>
  <c r="D56" i="71"/>
  <c r="T56" i="71"/>
  <c r="N67" i="71"/>
  <c r="B66" i="71"/>
  <c r="F66" i="71"/>
  <c r="Q67" i="71"/>
  <c r="T80" i="71"/>
  <c r="C79" i="7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AZ57" i="3" s="1"/>
  <c r="BL58" i="3"/>
  <c r="AZ58" i="3" s="1"/>
  <c r="G60" i="3"/>
  <c r="BA60" i="3"/>
  <c r="BA63" i="3"/>
  <c r="AZ63" i="3" s="1"/>
  <c r="BA66" i="3"/>
  <c r="BL70" i="3"/>
  <c r="BL71" i="3"/>
  <c r="AZ71" i="3" s="1"/>
  <c r="BL88" i="3"/>
  <c r="AZ88" i="3" s="1"/>
  <c r="BL90" i="3"/>
  <c r="G101" i="3"/>
  <c r="BA101" i="3"/>
  <c r="G109" i="3"/>
  <c r="E28" i="71"/>
  <c r="AA27" i="71"/>
  <c r="AA28" i="71"/>
  <c r="D38" i="71"/>
  <c r="C39" i="71"/>
  <c r="E40" i="71"/>
  <c r="U40" i="71" s="1"/>
  <c r="F34" i="71"/>
  <c r="F35" i="71" s="1"/>
  <c r="F36" i="71" s="1"/>
  <c r="V36" i="71" s="1"/>
  <c r="AB33" i="71"/>
  <c r="AB28" i="71"/>
  <c r="AB26" i="71"/>
  <c r="AB32" i="71"/>
  <c r="AB27" i="71"/>
  <c r="C44" i="71"/>
  <c r="D43" i="71"/>
  <c r="T72" i="71"/>
  <c r="C71" i="71"/>
  <c r="U76" i="71"/>
  <c r="E75" i="71"/>
  <c r="E74" i="71" s="1"/>
  <c r="BA69" i="3"/>
  <c r="AZ69" i="3" s="1"/>
  <c r="G72" i="3"/>
  <c r="BL73" i="3"/>
  <c r="BA74" i="3"/>
  <c r="AZ74" i="3" s="1"/>
  <c r="BA75" i="3"/>
  <c r="AZ75" i="3" s="1"/>
  <c r="G81" i="3"/>
  <c r="G85" i="3"/>
  <c r="BL85" i="3"/>
  <c r="BA86" i="3"/>
  <c r="AZ86" i="3" s="1"/>
  <c r="BA87" i="3"/>
  <c r="BA91" i="3"/>
  <c r="G96" i="3"/>
  <c r="BL97" i="3"/>
  <c r="AZ97" i="3" s="1"/>
  <c r="BL101" i="3"/>
  <c r="BL102" i="3"/>
  <c r="G104" i="3"/>
  <c r="G105" i="3"/>
  <c r="BL106" i="3"/>
  <c r="BA108" i="3"/>
  <c r="AZ108" i="3" s="1"/>
  <c r="BA110" i="3"/>
  <c r="F3" i="35"/>
  <c r="S21" i="37"/>
  <c r="B77" i="43"/>
  <c r="AA18" i="35"/>
  <c r="O67" i="71"/>
  <c r="AB25" i="71"/>
  <c r="C35" i="71"/>
  <c r="X33" i="71"/>
  <c r="AB37" i="71"/>
  <c r="C5" i="68"/>
  <c r="P66" i="71"/>
  <c r="C66" i="71"/>
  <c r="S28" i="71"/>
  <c r="X28" i="71"/>
  <c r="X32" i="71"/>
  <c r="F40" i="71"/>
  <c r="V40" i="71" s="1"/>
  <c r="AB38" i="71"/>
  <c r="F75" i="71"/>
  <c r="F74" i="71" s="1"/>
  <c r="BA82" i="3"/>
  <c r="AZ82" i="3" s="1"/>
  <c r="BL83" i="3"/>
  <c r="G88" i="3"/>
  <c r="BA90" i="3"/>
  <c r="BL94" i="3"/>
  <c r="AZ94" i="3" s="1"/>
  <c r="BA100" i="3"/>
  <c r="AZ100" i="3" s="1"/>
  <c r="BA102" i="3"/>
  <c r="BL105" i="3"/>
  <c r="AZ105" i="3" s="1"/>
  <c r="BL107" i="3"/>
  <c r="BA111" i="3"/>
  <c r="AC21" i="37"/>
  <c r="U21" i="34"/>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J6" i="67" s="1"/>
  <c r="F50" i="67"/>
  <c r="F68" i="15"/>
  <c r="C36" i="68"/>
  <c r="D9" i="69"/>
  <c r="C36" i="69"/>
  <c r="D9" i="68"/>
  <c r="D6" i="73"/>
  <c r="F37" i="67"/>
  <c r="F9" i="67"/>
  <c r="M24" i="67"/>
  <c r="F36" i="67"/>
  <c r="C76" i="67"/>
  <c r="D7" i="73"/>
  <c r="D3" i="73"/>
  <c r="D5" i="73"/>
  <c r="F40" i="67"/>
  <c r="F16" i="67"/>
  <c r="D4" i="73"/>
  <c r="C16" i="15"/>
  <c r="M22" i="67"/>
  <c r="F8" i="67"/>
  <c r="U27" i="34" l="1"/>
  <c r="F48" i="9"/>
  <c r="O52" i="9" s="1"/>
  <c r="F30" i="11"/>
  <c r="M18" i="67"/>
  <c r="M18" i="15"/>
  <c r="F28" i="67"/>
  <c r="C28" i="67" s="1"/>
  <c r="F32" i="67"/>
  <c r="F60" i="67" s="1"/>
  <c r="F28" i="15"/>
  <c r="C28" i="15" s="1"/>
  <c r="F52" i="9"/>
  <c r="F30" i="68"/>
  <c r="F32" i="15"/>
  <c r="F60" i="15" s="1"/>
  <c r="F54" i="9"/>
  <c r="F31" i="12"/>
  <c r="C31" i="12" s="1"/>
  <c r="F30" i="69"/>
  <c r="D68" i="9"/>
  <c r="H16" i="1"/>
  <c r="P6" i="1"/>
  <c r="C13" i="12" s="1"/>
  <c r="Q16" i="1"/>
  <c r="F27" i="69" s="1"/>
  <c r="F45" i="69" s="1"/>
  <c r="E28" i="6"/>
  <c r="K14" i="1" s="1"/>
  <c r="K16" i="1" s="1"/>
  <c r="E59" i="40"/>
  <c r="F31" i="67"/>
  <c r="F51" i="67"/>
  <c r="F59" i="67" s="1"/>
  <c r="C6" i="67"/>
  <c r="F68" i="67"/>
  <c r="Q71" i="67"/>
  <c r="F64" i="67"/>
  <c r="F65" i="67"/>
  <c r="AZ111" i="3"/>
  <c r="O65" i="71"/>
  <c r="D66" i="71"/>
  <c r="O66" i="71"/>
  <c r="AZ110" i="3"/>
  <c r="AZ190" i="3"/>
  <c r="AZ29" i="3"/>
  <c r="AZ25" i="3"/>
  <c r="AZ182" i="3"/>
  <c r="AZ294" i="3"/>
  <c r="AZ429" i="3"/>
  <c r="U39" i="40"/>
  <c r="AB39" i="40"/>
  <c r="C36" i="71"/>
  <c r="D35" i="71"/>
  <c r="AZ91" i="3"/>
  <c r="D44" i="71"/>
  <c r="T44" i="71"/>
  <c r="C40" i="71"/>
  <c r="D39" i="71"/>
  <c r="AZ66" i="3"/>
  <c r="AZ20" i="3"/>
  <c r="C82" i="71"/>
  <c r="D82" i="71" s="1"/>
  <c r="D83" i="71"/>
  <c r="AZ39" i="3"/>
  <c r="AZ21" i="3"/>
  <c r="AZ483" i="3"/>
  <c r="AZ428" i="3"/>
  <c r="W12" i="35"/>
  <c r="AC12" i="35"/>
  <c r="U23" i="35"/>
  <c r="AB23" i="35"/>
  <c r="G5" i="3"/>
  <c r="B3" i="3" s="1"/>
  <c r="E510" i="3" s="1"/>
  <c r="C70" i="71"/>
  <c r="D70" i="71" s="1"/>
  <c r="D71" i="71"/>
  <c r="T28" i="71"/>
  <c r="D28" i="71"/>
  <c r="U28" i="71" s="1"/>
  <c r="C27" i="71"/>
  <c r="AC9" i="33"/>
  <c r="W9" i="33"/>
  <c r="G16" i="1"/>
  <c r="F10" i="39" s="1"/>
  <c r="AA10" i="39" s="1"/>
  <c r="AZ102" i="3"/>
  <c r="AZ101" i="3"/>
  <c r="AZ197" i="3"/>
  <c r="C78" i="71"/>
  <c r="D78" i="71" s="1"/>
  <c r="D79" i="71"/>
  <c r="N65" i="71"/>
  <c r="N66" i="71"/>
  <c r="AZ178" i="3"/>
  <c r="D31" i="71"/>
  <c r="C32" i="71"/>
  <c r="AZ53" i="3"/>
  <c r="AZ130" i="3"/>
  <c r="AZ244" i="3"/>
  <c r="AZ239" i="3"/>
  <c r="AZ118" i="3"/>
  <c r="AZ273" i="3"/>
  <c r="AZ464" i="3"/>
  <c r="AZ441" i="3"/>
  <c r="AZ461" i="3"/>
  <c r="J7" i="37"/>
  <c r="K1" i="73"/>
  <c r="E536" i="3"/>
  <c r="E575" i="3"/>
  <c r="E442" i="3"/>
  <c r="E449" i="3"/>
  <c r="E554" i="3"/>
  <c r="E417" i="3"/>
  <c r="E95" i="3"/>
  <c r="E241" i="3"/>
  <c r="E389" i="3"/>
  <c r="E409" i="3"/>
  <c r="E64" i="3"/>
  <c r="E267" i="3"/>
  <c r="E310" i="3"/>
  <c r="E67" i="3"/>
  <c r="E233" i="3"/>
  <c r="E63" i="3"/>
  <c r="E309" i="3"/>
  <c r="E198" i="3"/>
  <c r="AL6" i="3"/>
  <c r="E18" i="3"/>
  <c r="E96" i="3"/>
  <c r="E235" i="3"/>
  <c r="E522" i="3"/>
  <c r="E34" i="3"/>
  <c r="E206" i="3"/>
  <c r="AF6" i="3"/>
  <c r="E102" i="3"/>
  <c r="E113"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H6" i="3"/>
  <c r="E58" i="40"/>
  <c r="E62" i="39"/>
  <c r="D5" i="43"/>
  <c r="H10" i="39"/>
  <c r="U10" i="39" s="1"/>
  <c r="D26" i="43"/>
  <c r="C25" i="43" s="1"/>
  <c r="C7" i="43"/>
  <c r="C5" i="43" s="1"/>
  <c r="D10" i="52"/>
  <c r="D125" i="9"/>
  <c r="D11" i="52" s="1"/>
  <c r="B7" i="74"/>
  <c r="C7" i="74" s="1"/>
  <c r="F67" i="39"/>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16" i="67"/>
  <c r="G1" i="73"/>
  <c r="C48" i="11" l="1"/>
  <c r="C30" i="11"/>
  <c r="F48" i="69"/>
  <c r="C30" i="69"/>
  <c r="C48" i="69"/>
  <c r="F48" i="68"/>
  <c r="C48" i="68"/>
  <c r="C30" i="68"/>
  <c r="C49" i="67"/>
  <c r="E287" i="3"/>
  <c r="E251" i="3"/>
  <c r="E383" i="3"/>
  <c r="E42" i="3"/>
  <c r="E513" i="3"/>
  <c r="E355" i="3"/>
  <c r="E492" i="3"/>
  <c r="E46" i="3"/>
  <c r="E544" i="3"/>
  <c r="E152" i="3"/>
  <c r="E517" i="3"/>
  <c r="E466" i="3"/>
  <c r="E212" i="3"/>
  <c r="E281" i="3"/>
  <c r="E81" i="3"/>
  <c r="E33" i="3"/>
  <c r="E249" i="3"/>
  <c r="E484" i="3"/>
  <c r="E292" i="3"/>
  <c r="E479" i="3"/>
  <c r="E255" i="3"/>
  <c r="E499" i="3"/>
  <c r="M14" i="1"/>
  <c r="E3" i="6"/>
  <c r="H10" i="40"/>
  <c r="AB10" i="40" s="1"/>
  <c r="J10" i="40"/>
  <c r="AC10" i="40" s="1"/>
  <c r="J10" i="39"/>
  <c r="W10" i="39" s="1"/>
  <c r="F10" i="40"/>
  <c r="S10" i="40" s="1"/>
  <c r="E86" i="3"/>
  <c r="E174" i="3"/>
  <c r="E482" i="3"/>
  <c r="E391" i="3"/>
  <c r="E494" i="3"/>
  <c r="E283" i="3"/>
  <c r="E68" i="3"/>
  <c r="E184" i="3"/>
  <c r="E84" i="3"/>
  <c r="E371" i="3"/>
  <c r="E160" i="3"/>
  <c r="E467" i="3"/>
  <c r="E59" i="3"/>
  <c r="E349" i="3"/>
  <c r="E258" i="3"/>
  <c r="E37" i="3"/>
  <c r="E491" i="3"/>
  <c r="AP6" i="3"/>
  <c r="AC6" i="3" s="1"/>
  <c r="E430" i="3"/>
  <c r="E502" i="3"/>
  <c r="E286" i="3"/>
  <c r="E539" i="3"/>
  <c r="E129" i="3"/>
  <c r="E75" i="3"/>
  <c r="E332" i="3"/>
  <c r="E21" i="3"/>
  <c r="E264" i="3"/>
  <c r="E381" i="3"/>
  <c r="E144" i="3"/>
  <c r="E23" i="3"/>
  <c r="E300" i="3"/>
  <c r="E103" i="3"/>
  <c r="E425" i="3"/>
  <c r="E76" i="3"/>
  <c r="E363" i="3"/>
  <c r="E192" i="3"/>
  <c r="E56" i="3"/>
  <c r="E435" i="3"/>
  <c r="I3" i="6"/>
  <c r="E541" i="3"/>
  <c r="R6" i="3"/>
  <c r="E199" i="3"/>
  <c r="T32" i="71"/>
  <c r="D32" i="71"/>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M27" i="15"/>
  <c r="M27" i="67"/>
  <c r="F25" i="12" l="1"/>
  <c r="I53" i="34"/>
  <c r="J53" i="34" s="1"/>
  <c r="R50" i="34"/>
  <c r="C49" i="34" s="1"/>
  <c r="C48" i="67"/>
  <c r="C66" i="67" s="1"/>
  <c r="F22" i="68"/>
  <c r="F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0" i="67"/>
  <c r="D10" i="69"/>
  <c r="C34" i="69"/>
  <c r="D10" i="68"/>
  <c r="C17" i="67"/>
  <c r="C17" i="15"/>
  <c r="C14" i="67"/>
  <c r="C50" i="34" l="1"/>
  <c r="I54" i="34"/>
  <c r="J54" i="34" s="1"/>
  <c r="E54" i="34"/>
  <c r="F54" i="34" s="1"/>
  <c r="C44" i="68"/>
  <c r="D41" i="68" s="1"/>
  <c r="C23" i="68"/>
  <c r="C26" i="11"/>
  <c r="D22" i="11" s="1"/>
  <c r="C44" i="11"/>
  <c r="D41" i="11" s="1"/>
  <c r="C26" i="68"/>
  <c r="D22"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H38" i="67" s="1"/>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34" i="9"/>
  <c r="D35" i="9"/>
  <c r="D20" i="9"/>
  <c r="AO6" i="1"/>
  <c r="AO10" i="1"/>
  <c r="AO11" i="1"/>
  <c r="AO8" i="1"/>
  <c r="AO9" i="1"/>
  <c r="AO7"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4" i="74" l="1"/>
  <c r="G14" i="74" s="1"/>
  <c r="C103" i="9"/>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119" i="9" s="1"/>
  <c r="H5" i="52" s="1"/>
  <c r="H102" i="9"/>
  <c r="E118" i="9"/>
  <c r="F118" i="9"/>
  <c r="D7" i="53" l="1"/>
  <c r="B21" i="72" s="1"/>
  <c r="C5" i="74"/>
  <c r="C104" i="9"/>
  <c r="H101" i="9"/>
  <c r="H4" i="52"/>
  <c r="F4" i="52"/>
  <c r="B51" i="72" s="1"/>
  <c r="F119" i="9"/>
  <c r="F5" i="52" s="1"/>
  <c r="B53" i="72" s="1"/>
  <c r="E4" i="52"/>
  <c r="B48" i="72" s="1"/>
  <c r="D118" i="9"/>
  <c r="D5" i="53" l="1"/>
  <c r="D45" i="9"/>
  <c r="H107" i="9"/>
  <c r="M48" i="9"/>
  <c r="D119" i="9"/>
  <c r="D5" i="52" s="1"/>
  <c r="B49" i="72" s="1"/>
  <c r="D4" i="52"/>
  <c r="B47" i="72" s="1"/>
  <c r="M49" i="9" l="1"/>
  <c r="H108" i="9"/>
  <c r="D13" i="53"/>
  <c r="D122" i="9"/>
  <c r="C93" i="9"/>
  <c r="C86" i="9" s="1"/>
  <c r="D55" i="9"/>
  <c r="M53" i="9" s="1"/>
  <c r="C78" i="9"/>
  <c r="C73" i="9" s="1"/>
  <c r="C72" i="9"/>
  <c r="D52" i="9"/>
  <c r="C85" i="9"/>
  <c r="C64" i="9"/>
  <c r="C63" i="9" s="1"/>
  <c r="C67" i="9" s="1"/>
  <c r="D53" i="9"/>
  <c r="D6" i="53"/>
  <c r="B22" i="72" s="1"/>
  <c r="B20" i="72"/>
  <c r="C95" i="9" l="1"/>
  <c r="C79" i="9"/>
  <c r="D123" i="9"/>
  <c r="D9" i="52" s="1"/>
  <c r="D8" i="52"/>
  <c r="C68" i="9"/>
  <c r="D54" i="9" s="1"/>
  <c r="D59" i="9"/>
  <c r="M55" i="9" s="1"/>
  <c r="B30" i="72"/>
  <c r="D14" i="53"/>
  <c r="B32" i="72" s="1"/>
  <c r="C96" i="9"/>
  <c r="E96" i="9" s="1"/>
  <c r="E97" i="9" s="1"/>
  <c r="C6" i="74"/>
  <c r="D15" i="53"/>
  <c r="B31" i="72" s="1"/>
  <c r="L66" i="9"/>
  <c r="M66" i="9" s="1"/>
  <c r="L64" i="9"/>
  <c r="M64" i="9" s="1"/>
  <c r="L65" i="9"/>
  <c r="M65" i="9" s="1"/>
  <c r="L68" i="9"/>
  <c r="M68" i="9" s="1"/>
  <c r="L67" i="9"/>
  <c r="M67" i="9" s="1"/>
  <c r="L63" i="9"/>
  <c r="M63" i="9" s="1"/>
  <c r="M69" i="9" l="1"/>
  <c r="N69" i="9" s="1"/>
  <c r="C97" i="9"/>
  <c r="D58" i="9" s="1"/>
  <c r="D56" i="9" s="1"/>
  <c r="M54" i="9" s="1"/>
  <c r="N57" i="9" s="1"/>
  <c r="C80" i="9"/>
  <c r="E80" i="9" s="1"/>
  <c r="E81" i="9" s="1"/>
  <c r="C81" i="9" l="1"/>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<sst xmlns="http://schemas.openxmlformats.org/spreadsheetml/2006/main" count="8265" uniqueCount="3479">
  <si>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</si>
  <si>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</si>
  <si>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</si>
  <si>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</si>
  <si>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</si>
  <si>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</si>
  <si>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</si>
  <si>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</si>
  <si>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</si>
  <si>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</si>
  <si>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</si>
  <si>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</si>
  <si>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</si>
  <si>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</si>
  <si>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</si>
  <si>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</si>
  <si>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</si>
  <si>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</si>
  <si>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</si>
  <si>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</si>
  <si>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</si>
  <si>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</si>
  <si>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</si>
  <si>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</si>
  <si>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</si>
  <si>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</si>
  <si>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</si>
  <si>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</si>
  <si>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</si>
  <si>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</si>
  <si>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</si>
  <si>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</si>
  <si>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</si>
  <si>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</si>
  <si>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</si>
  <si>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</si>
  <si>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</si>
  <si>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</si>
  <si>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</si>
  <si>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</si>
  <si>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</si>
  <si>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</si>
  <si>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</si>
  <si>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</si>
  <si>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</si>
  <si>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</si>
  <si>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</si>
  <si>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</si>
  <si>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</si>
  <si>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</si>
  <si>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</si>
  <si>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</si>
  <si>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</si>
  <si>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</si>
  <si>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</si>
  <si>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</si>
  <si>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</si>
  <si>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</si>
  <si>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</si>
  <si>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</si>
  <si>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</si>
  <si>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</si>
  <si>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</si>
  <si>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</si>
  <si>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</si>
  <si>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</si>
  <si>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</si>
  <si>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</si>
  <si>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</si>
  <si>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</si>
  <si>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</si>
  <si>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</si>
  <si>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</si>
  <si>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</si>
  <si>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</si>
  <si>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</si>
  <si>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</si>
  <si>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</si>
  <si>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</si>
  <si>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</si>
  <si>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</si>
  <si>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</si>
  <si>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</si>
  <si>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</si>
  <si>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</si>
  <si>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</si>
  <si>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</si>
  <si>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</si>
  <si>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</si>
  <si>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</si>
  <si>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</si>
  <si>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</si>
  <si>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</si>
  <si>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</si>
  <si>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</si>
  <si>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</si>
  <si>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</si>
  <si>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</si>
  <si>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</si>
  <si>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</si>
  <si>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</si>
  <si>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</si>
  <si>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</si>
  <si>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</si>
  <si>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</si>
  <si>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</si>
  <si>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</si>
  <si>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</si>
  <si>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</si>
  <si>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</si>
  <si>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</si>
  <si>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</si>
  <si>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</si>
  <si>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</si>
  <si>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</si>
  <si>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</si>
  <si>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</si>
  <si>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</si>
  <si>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</si>
  <si>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</si>
  <si>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</si>
  <si>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</si>
  <si>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</si>
  <si>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</si>
  <si>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</si>
  <si>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</si>
  <si>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</si>
  <si>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</si>
  <si>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</si>
  <si>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</si>
  <si>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</si>
  <si>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</si>
  <si>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</si>
  <si>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</si>
  <si>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</si>
  <si>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</si>
  <si>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</si>
  <si>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</si>
  <si>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</si>
  <si>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</si>
  <si>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</si>
  <si>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</si>
  <si>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</si>
  <si>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</si>
  <si>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</si>
  <si>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</si>
  <si>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</si>
  <si>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</si>
  <si>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</si>
  <si>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</si>
  <si>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</si>
  <si>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</si>
  <si>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</si>
  <si>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</si>
  <si>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</si>
  <si>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</si>
  <si>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</si>
  <si>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</si>
  <si>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</si>
  <si>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</si>
  <si>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</si>
  <si>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</si>
  <si>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</si>
  <si>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</si>
  <si>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</si>
  <si>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</si>
  <si>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</si>
  <si>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</si>
  <si>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</si>
  <si>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</si>
  <si>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</si>
  <si>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</si>
  <si>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</si>
  <si>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</si>
  <si>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</si>
  <si>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</si>
  <si>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</si>
  <si>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</si>
  <si>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</si>
  <si>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</si>
  <si>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</si>
  <si>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</si>
  <si>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</si>
  <si>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</si>
  <si>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</si>
  <si>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</si>
  <si>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</si>
  <si>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</si>
  <si>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</si>
  <si>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</si>
  <si>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</si>
  <si>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</si>
  <si>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</si>
  <si>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</si>
  <si>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</si>
  <si>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</si>
  <si>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</si>
  <si>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</si>
  <si>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</si>
  <si>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</si>
  <si>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</si>
  <si>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</si>
  <si>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</si>
  <si>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</si>
  <si>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</si>
  <si>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</si>
  <si>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</si>
  <si>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</si>
  <si>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</si>
  <si>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</si>
  <si>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</si>
  <si>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</si>
  <si>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</si>
  <si>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</si>
  <si>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</si>
  <si>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</si>
  <si>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</si>
  <si>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</si>
  <si>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</si>
  <si>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</si>
  <si>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</si>
  <si>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</si>
  <si>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</si>
  <si>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</si>
  <si>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</si>
  <si>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</si>
  <si>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</si>
  <si>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</si>
  <si>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</si>
  <si>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</si>
  <si>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</si>
  <si>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</si>
  <si>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</si>
  <si>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</si>
  <si>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</si>
  <si>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</si>
  <si>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</si>
  <si>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</si>
  <si>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</si>
  <si>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</si>
  <si>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</si>
  <si>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</si>
  <si>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</si>
  <si>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</si>
  <si>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</si>
  <si>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</si>
  <si>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</si>
  <si>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</si>
  <si>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</si>
  <si>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</si>
  <si>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</si>
  <si>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</si>
  <si>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</si>
  <si>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</si>
  <si>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</si>
  <si>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</si>
  <si>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</si>
  <si>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</si>
  <si>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</si>
  <si>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</si>
  <si>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</si>
  <si>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</si>
  <si>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</si>
  <si>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</si>
  <si>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</si>
  <si>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</si>
  <si>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</si>
  <si>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</si>
  <si>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</si>
  <si>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</si>
  <si>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</si>
  <si>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</si>
  <si>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</si>
  <si>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</si>
  <si>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</si>
  <si>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</si>
  <si>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</si>
  <si>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</si>
  <si>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</si>
  <si>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</si>
  <si>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</si>
  <si>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</si>
  <si>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</si>
  <si>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</si>
  <si>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</si>
  <si>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</si>
  <si>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</si>
  <si>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</si>
  <si>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</si>
  <si>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</si>
  <si>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</si>
  <si>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</si>
  <si>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</si>
  <si>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</si>
  <si>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</si>
  <si>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</si>
  <si>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</si>
  <si>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</si>
  <si>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</si>
  <si>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</si>
  <si>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</si>
  <si>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</si>
  <si>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</si>
  <si>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</si>
  <si>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</si>
  <si>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</si>
  <si>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</si>
  <si>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</si>
  <si>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</si>
  <si>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</si>
  <si>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</si>
  <si>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</si>
  <si>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</si>
  <si>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</si>
  <si>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</si>
  <si>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</si>
  <si>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</si>
  <si>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</si>
  <si>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</si>
  <si>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</si>
  <si>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</si>
  <si>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</si>
  <si>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</si>
  <si>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</si>
  <si>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</si>
  <si>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</si>
  <si>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</si>
  <si>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</si>
  <si>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</si>
  <si>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</si>
  <si>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</si>
  <si>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</si>
  <si>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</si>
  <si>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</si>
  <si>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</si>
  <si>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</si>
  <si>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</si>
  <si>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</si>
  <si>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</si>
  <si>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</si>
  <si>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</si>
  <si>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</si>
  <si>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</si>
  <si>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</si>
  <si>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</si>
  <si>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</si>
  <si>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</si>
  <si>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</si>
  <si>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</si>
  <si>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</si>
  <si>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</si>
  <si>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</si>
  <si>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</si>
  <si>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</si>
  <si>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</si>
  <si>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</si>
  <si>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</si>
  <si>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</si>
  <si>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</si>
  <si>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</si>
  <si>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</si>
  <si>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</si>
  <si>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</si>
  <si>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</si>
  <si>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</si>
  <si>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</si>
  <si>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</si>
  <si>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</si>
  <si>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</si>
  <si>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</si>
  <si>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</si>
  <si>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</si>
  <si>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</si>
  <si>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</si>
  <si>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</si>
  <si>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</si>
  <si>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</si>
  <si>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</si>
  <si>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</si>
  <si>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</si>
  <si>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</si>
  <si>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</si>
  <si>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</si>
  <si>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</si>
  <si>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</si>
  <si>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</si>
  <si>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</si>
  <si>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</si>
  <si>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</si>
  <si>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</si>
  <si>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</si>
  <si>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</si>
  <si>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</si>
  <si>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</si>
  <si>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</si>
  <si>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</si>
  <si>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</si>
  <si>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</si>
  <si>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</si>
  <si>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</si>
  <si>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</si>
  <si>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</si>
  <si>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</si>
  <si>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</si>
  <si>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</si>
  <si>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</si>
  <si>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</si>
  <si>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</si>
  <si>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</si>
  <si>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</si>
  <si>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</si>
  <si>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</si>
  <si>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</si>
  <si>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</si>
  <si>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</si>
  <si>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</si>
  <si>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</si>
  <si>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</si>
  <si>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</si>
  <si>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</si>
  <si>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</si>
  <si>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</si>
  <si>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</si>
  <si>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</si>
  <si>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</si>
  <si>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</si>
  <si>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</si>
  <si>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</si>
  <si>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</si>
  <si>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</si>
  <si>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</si>
  <si>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</si>
  <si>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</si>
  <si>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</si>
  <si>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</si>
  <si>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</si>
  <si>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</si>
  <si>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</si>
  <si>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</si>
  <si>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</si>
  <si>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</si>
  <si>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</si>
  <si>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</si>
  <si>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</si>
  <si>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</si>
  <si>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</si>
  <si>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</si>
  <si>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</si>
  <si>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</si>
  <si>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</si>
  <si>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</si>
  <si>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</si>
  <si>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</si>
  <si>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</si>
  <si>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</si>
  <si>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</si>
  <si>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</si>
  <si>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</si>
  <si>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</si>
  <si>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</si>
  <si>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</si>
  <si>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</si>
  <si>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</si>
  <si>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</si>
  <si>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</si>
  <si>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</si>
  <si>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</si>
  <si>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</si>
  <si>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</si>
  <si>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</si>
  <si>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</si>
  <si>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</si>
  <si>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</si>
  <si>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</si>
  <si>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</si>
  <si>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</si>
  <si>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</si>
  <si>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</si>
  <si>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</si>
  <si>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</si>
  <si>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</si>
  <si>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</si>
  <si>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</si>
  <si>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</si>
  <si>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</si>
  <si>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</si>
  <si>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</si>
  <si>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</si>
  <si>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</si>
  <si>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</si>
  <si>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</si>
  <si>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</si>
  <si>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</si>
  <si>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</si>
  <si>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</si>
  <si>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</si>
  <si>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</si>
  <si>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</si>
  <si>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</si>
  <si>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</si>
  <si>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</si>
  <si>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</si>
  <si>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</si>
  <si>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</si>
  <si>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</si>
  <si>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</si>
  <si>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</si>
  <si>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</si>
  <si>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</si>
  <si>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</si>
  <si>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</si>
  <si>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</si>
  <si>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</si>
  <si>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</si>
  <si>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</si>
  <si>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</si>
  <si>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</si>
  <si>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</si>
  <si>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</si>
  <si>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</si>
  <si>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</si>
  <si>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</si>
  <si>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</si>
  <si>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</si>
  <si>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</si>
  <si>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</si>
  <si>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</si>
  <si>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</si>
  <si>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</si>
  <si>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</si>
  <si>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</si>
  <si>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</si>
  <si>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</si>
  <si>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</si>
  <si>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</si>
  <si>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</si>
  <si>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</si>
  <si>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</si>
  <si>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</si>
  <si>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</si>
  <si>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</si>
  <si>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</si>
  <si>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</si>
  <si>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</si>
  <si>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</si>
  <si>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</si>
  <si>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</si>
  <si>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</si>
  <si>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</si>
  <si>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</si>
  <si>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</si>
  <si>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</si>
  <si>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</si>
  <si>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</si>
  <si>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</si>
  <si>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</si>
  <si>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</si>
  <si>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</si>
  <si>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</si>
  <si>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</si>
  <si>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</si>
  <si>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</si>
  <si>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</si>
  <si>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</si>
  <si>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</si>
  <si>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</si>
  <si>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</si>
  <si>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</si>
  <si>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</si>
  <si>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</si>
  <si>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</si>
  <si>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</si>
  <si>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</si>
  <si>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</si>
  <si>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</si>
  <si>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</si>
  <si>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</si>
  <si>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</si>
  <si>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</si>
  <si>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</si>
  <si>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</si>
  <si>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</si>
  <si>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</si>
  <si>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</si>
  <si>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</si>
  <si>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</si>
  <si>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</si>
  <si>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</si>
  <si>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</si>
  <si>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</si>
  <si>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</si>
  <si>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</si>
  <si>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</si>
  <si>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</si>
  <si>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</si>
  <si>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</si>
  <si>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</si>
  <si>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</si>
  <si>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</si>
  <si>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</si>
  <si>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</si>
  <si>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</si>
  <si>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</si>
  <si>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</si>
  <si>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</si>
  <si>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</si>
  <si>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</si>
  <si>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</si>
  <si>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</si>
  <si>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</si>
  <si>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</si>
  <si>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</si>
  <si>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</si>
  <si>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</si>
  <si>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</si>
  <si>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</si>
  <si>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</si>
  <si>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</si>
  <si>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</si>
  <si>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</si>
  <si>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</si>
  <si>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</si>
  <si>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</si>
  <si>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</si>
  <si>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</si>
  <si>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</si>
  <si>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</si>
  <si>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</si>
  <si>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</si>
  <si>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</si>
  <si>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</si>
  <si>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</si>
  <si>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</si>
  <si>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</si>
  <si>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</si>
  <si>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</si>
  <si>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</si>
  <si>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</si>
  <si>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</si>
  <si>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</si>
  <si>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</si>
  <si>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</si>
  <si>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</si>
  <si>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</si>
  <si>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</si>
  <si>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</si>
  <si>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</si>
  <si>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</si>
  <si>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</si>
  <si>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</si>
  <si>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</si>
  <si>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</si>
  <si>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</si>
  <si>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</si>
  <si>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</si>
  <si>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</si>
  <si>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</si>
  <si>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</si>
  <si>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</si>
  <si>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</si>
  <si>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</si>
  <si>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</si>
  <si>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</si>
  <si>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</si>
  <si>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</si>
  <si>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</si>
  <si>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</si>
  <si>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</si>
  <si>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</si>
  <si>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</si>
  <si>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</si>
  <si>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</si>
  <si>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</si>
  <si>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</si>
  <si>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</si>
  <si>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</si>
  <si>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</si>
  <si>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</si>
  <si>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</si>
  <si>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</si>
  <si>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</si>
  <si>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</si>
  <si>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</si>
  <si>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</si>
  <si>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</si>
  <si>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</si>
  <si>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</si>
  <si>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</si>
  <si>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</si>
  <si>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</si>
  <si>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</si>
  <si>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</si>
  <si>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</si>
  <si>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</si>
  <si>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</si>
  <si>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</si>
  <si>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</si>
  <si>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</si>
  <si>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</si>
  <si>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</si>
  <si>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</si>
  <si>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</si>
  <si>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</si>
  <si>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</si>
  <si>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</si>
  <si>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</si>
  <si>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</si>
  <si>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</si>
  <si>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</si>
  <si>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</si>
  <si>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</si>
  <si>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</si>
  <si>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</si>
  <si>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</si>
  <si>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</si>
  <si>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</si>
  <si>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</si>
  <si>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</si>
  <si>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</si>
  <si>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</si>
  <si>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</si>
  <si>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</si>
  <si>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</si>
  <si>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</si>
  <si>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</si>
  <si>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</si>
  <si>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</si>
  <si>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</si>
  <si>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</si>
  <si>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</si>
  <si>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</si>
  <si>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</si>
  <si>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</si>
  <si>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</si>
  <si>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</si>
  <si>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</si>
  <si>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</si>
  <si>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</si>
  <si>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</si>
  <si>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</si>
  <si>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</si>
  <si>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</si>
  <si>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</si>
  <si>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</si>
  <si>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</si>
  <si>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</si>
  <si>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</si>
  <si>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</si>
  <si>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</si>
  <si>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</si>
  <si>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</si>
  <si>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</si>
  <si>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</si>
  <si>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</si>
  <si>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</si>
  <si>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</si>
  <si>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</si>
  <si>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</si>
  <si>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</si>
  <si>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</si>
  <si>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</si>
  <si>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</si>
  <si>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</si>
  <si>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</si>
  <si>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</si>
  <si>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</si>
  <si>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</si>
  <si>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</si>
  <si>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</si>
  <si>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</si>
  <si>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</si>
  <si>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</si>
  <si>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</si>
  <si>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</si>
  <si>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</si>
  <si>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</si>
  <si>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</si>
  <si>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</si>
  <si>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</si>
  <si>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</si>
  <si>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</si>
  <si>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</si>
  <si>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</si>
  <si>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</si>
  <si>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</si>
  <si>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</si>
  <si>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</si>
  <si>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</si>
  <si>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</si>
  <si>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</si>
  <si>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</si>
  <si>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</si>
  <si>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</si>
  <si>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</si>
  <si>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</si>
  <si>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</si>
  <si>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</si>
  <si>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</si>
  <si>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</si>
  <si>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</si>
  <si>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</si>
  <si>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</si>
  <si>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</si>
  <si>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</si>
  <si>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</si>
  <si>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</si>
  <si>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</si>
  <si>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</si>
  <si>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</si>
  <si>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</si>
  <si>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</si>
  <si>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</si>
  <si>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</si>
  <si>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</si>
  <si>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</si>
  <si>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</si>
  <si>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</si>
  <si>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</si>
  <si>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</si>
  <si>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</si>
  <si>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</si>
  <si>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</si>
  <si>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</si>
  <si>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</si>
  <si>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</si>
  <si>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</si>
  <si>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</si>
  <si>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</si>
  <si>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</si>
  <si>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</si>
  <si>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</si>
  <si>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</si>
  <si>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</si>
  <si>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</si>
  <si>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</si>
  <si>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</si>
  <si>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</si>
  <si>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</si>
  <si>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</si>
  <si>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</si>
  <si>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</si>
  <si>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</si>
  <si>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</si>
  <si>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</si>
  <si>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</si>
  <si>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</si>
  <si>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</si>
  <si>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</si>
  <si>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</si>
  <si>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</si>
  <si>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</si>
  <si>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</si>
  <si>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</si>
  <si>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</si>
  <si>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</si>
  <si>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</si>
  <si>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</si>
  <si>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</si>
  <si>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</si>
  <si>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</si>
  <si>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</si>
  <si>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</si>
  <si>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</si>
  <si>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</si>
  <si>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</si>
  <si>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</si>
  <si>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</si>
  <si>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</si>
  <si>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</si>
  <si>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</si>
  <si>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</si>
  <si>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</si>
  <si>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</si>
  <si>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</si>
  <si>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</si>
  <si>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</si>
  <si>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</si>
  <si>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</si>
  <si>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</si>
  <si>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</si>
  <si>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</si>
  <si>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</si>
  <si>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</si>
  <si>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</si>
  <si>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</si>
  <si>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</si>
  <si>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</si>
  <si>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</si>
  <si>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</si>
  <si>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</si>
  <si>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</si>
  <si>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</si>
  <si>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</si>
  <si>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</si>
  <si>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</si>
  <si>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</si>
  <si>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</si>
  <si>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</si>
  <si>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</si>
  <si>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</si>
  <si>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</si>
  <si>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</si>
  <si>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</si>
  <si>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</si>
  <si>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</si>
  <si>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</si>
  <si>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</si>
  <si>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</si>
  <si>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</si>
  <si>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</si>
  <si>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</si>
  <si>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</si>
  <si>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</si>
  <si>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</si>
  <si>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</si>
  <si>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</si>
  <si>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</si>
  <si>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</si>
  <si>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</si>
  <si>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</si>
  <si>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</si>
  <si>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</si>
  <si>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</si>
  <si>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</si>
  <si>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</si>
  <si>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</si>
  <si>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</si>
  <si>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</si>
  <si>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</si>
  <si>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</si>
  <si>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</si>
  <si>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</si>
  <si>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</si>
  <si>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</si>
  <si>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</si>
  <si>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</si>
  <si>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</si>
  <si>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</si>
  <si>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</si>
  <si>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</si>
  <si>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</si>
  <si>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</si>
  <si>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</si>
  <si>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</si>
  <si>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</si>
  <si>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</si>
  <si>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</si>
  <si>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</si>
  <si>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</si>
  <si>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</si>
  <si>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</si>
  <si>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</si>
  <si>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</si>
  <si>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</si>
  <si>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</si>
  <si>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</si>
  <si>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</si>
  <si>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</si>
  <si>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</si>
  <si>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</si>
  <si>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</si>
  <si>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</si>
  <si>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</si>
  <si>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</si>
  <si>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</si>
  <si>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</si>
  <si>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</si>
  <si>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</si>
  <si>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</si>
  <si>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</si>
  <si>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</si>
  <si>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</si>
  <si>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</si>
  <si>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</si>
  <si>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</si>
  <si>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</si>
  <si>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</si>
  <si>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</si>
  <si>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</si>
  <si>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</si>
  <si>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</si>
  <si>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</si>
  <si>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</si>
  <si>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</si>
  <si>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</si>
  <si>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</si>
  <si>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</si>
  <si>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</si>
  <si>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</si>
  <si>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</si>
  <si>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</si>
  <si>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</si>
  <si>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</si>
  <si>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</si>
  <si>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</si>
  <si>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</si>
  <si>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</si>
  <si>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</si>
  <si>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</si>
  <si>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</si>
  <si>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</si>
  <si>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</si>
  <si>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</si>
  <si>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</si>
  <si>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</si>
  <si>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</si>
  <si>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</si>
  <si>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</si>
  <si>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</si>
  <si>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</si>
  <si>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</si>
  <si>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</si>
  <si>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</si>
  <si>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</si>
  <si>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</si>
  <si>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</si>
  <si>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</si>
  <si>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</si>
  <si>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</si>
  <si>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</si>
  <si>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</si>
  <si>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</si>
  <si>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</si>
  <si>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</si>
  <si>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</si>
  <si>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</si>
  <si>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</si>
  <si>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</si>
  <si>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</si>
  <si>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</si>
  <si>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</si>
  <si>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</si>
  <si>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</si>
  <si>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</si>
  <si>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</si>
  <si>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</si>
  <si>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</si>
  <si>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</si>
  <si>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</si>
  <si>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</si>
  <si>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</si>
  <si>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</si>
  <si>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</si>
  <si>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</si>
  <si>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</si>
  <si>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</si>
  <si>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</si>
  <si>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</si>
  <si>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</si>
  <si>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</si>
  <si>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</si>
  <si>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</si>
  <si>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</si>
  <si>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</si>
  <si>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</si>
  <si>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</si>
  <si>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</si>
  <si>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</si>
  <si>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</si>
  <si>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</si>
  <si>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</si>
  <si>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</si>
  <si>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</si>
  <si>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</si>
  <si>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</si>
  <si>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</si>
  <si>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</si>
  <si>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</si>
  <si>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</si>
  <si>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</si>
  <si>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</si>
  <si>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</si>
  <si>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</si>
  <si>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</si>
  <si>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</si>
  <si>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</si>
  <si>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</si>
  <si>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</si>
  <si>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</si>
  <si>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</si>
  <si>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</si>
  <si>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</si>
  <si>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</si>
  <si>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</si>
  <si>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</si>
  <si>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</si>
  <si>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</si>
  <si>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</si>
  <si>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</si>
  <si>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</si>
  <si>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</si>
  <si>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</si>
  <si>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</si>
  <si>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</si>
  <si>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</si>
  <si>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</si>
  <si>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</si>
  <si>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</si>
  <si>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</si>
  <si>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</si>
  <si>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</si>
  <si>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</si>
  <si>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</si>
  <si>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</si>
  <si>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</si>
  <si>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</si>
  <si>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</si>
  <si>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</si>
  <si>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</si>
  <si>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</si>
  <si>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</si>
  <si>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</si>
  <si>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</si>
  <si>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</si>
  <si>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</si>
  <si>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</si>
  <si>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</si>
  <si>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</si>
  <si>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</si>
  <si>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</si>
  <si>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</si>
  <si>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</si>
  <si>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</si>
  <si>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</si>
  <si>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</si>
  <si>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</si>
  <si>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</si>
  <si>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</si>
  <si>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</si>
  <si>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</si>
  <si>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</si>
  <si>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</si>
  <si>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</si>
  <si>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</si>
  <si>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</si>
  <si>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</si>
  <si>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</si>
  <si>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</si>
  <si>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</si>
  <si>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</si>
  <si>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</si>
  <si>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</si>
  <si>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</si>
  <si>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</si>
  <si>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</si>
  <si>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</si>
  <si>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</si>
  <si>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</si>
  <si>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</si>
  <si>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</si>
  <si>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</si>
  <si>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</si>
  <si>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</si>
  <si>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</si>
  <si>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</si>
  <si>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</si>
  <si>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</si>
  <si>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</si>
  <si>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</si>
  <si>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</si>
  <si>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</si>
  <si>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</si>
  <si>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</si>
  <si>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</si>
  <si>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</si>
  <si>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</si>
  <si>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</si>
  <si>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</si>
  <si>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</si>
  <si>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</si>
  <si>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</si>
  <si>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</si>
  <si>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</si>
  <si>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</si>
  <si>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</si>
  <si>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</si>
  <si>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</si>
  <si>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</si>
  <si>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</si>
  <si>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</si>
  <si>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</si>
  <si>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</si>
  <si>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</si>
  <si>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</si>
  <si>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</si>
  <si>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</si>
  <si>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</si>
  <si>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</si>
  <si>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</si>
  <si>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</si>
  <si>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</si>
  <si>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</si>
  <si>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</si>
  <si>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</si>
  <si>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</si>
  <si>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</si>
  <si>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</si>
  <si>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</si>
  <si>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</si>
  <si>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</si>
  <si>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</si>
  <si>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</si>
  <si>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</si>
  <si>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</si>
  <si>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</si>
  <si>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</si>
  <si>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</si>
  <si>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</si>
  <si>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</si>
  <si>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</si>
  <si>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</si>
  <si>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</si>
  <si>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</si>
  <si>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</si>
  <si>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</si>
  <si>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</si>
  <si>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</si>
  <si>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</si>
  <si>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</si>
  <si>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</si>
  <si>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</si>
  <si>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</si>
  <si>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</si>
  <si>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</si>
  <si>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</si>
  <si>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</si>
  <si>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</si>
  <si>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</si>
  <si>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</si>
  <si>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</si>
  <si>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</si>
  <si>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</si>
  <si>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</si>
  <si>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</si>
  <si>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</si>
  <si>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</si>
  <si>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</si>
  <si>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</si>
  <si>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</si>
  <si>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</si>
  <si>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</si>
  <si>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</si>
  <si>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</si>
  <si>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</si>
  <si>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</si>
  <si>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</si>
  <si>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</si>
  <si>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</si>
  <si>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</si>
  <si>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</si>
  <si>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</si>
  <si>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</si>
  <si>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</si>
  <si>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</si>
  <si>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</si>
  <si>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</si>
  <si>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</si>
  <si>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</si>
  <si>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</si>
  <si>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</si>
  <si>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</si>
  <si>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</si>
  <si>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</si>
  <si>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</si>
  <si>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</si>
  <si>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</si>
  <si>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</si>
  <si>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</si>
  <si>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</si>
  <si>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</si>
  <si>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</si>
  <si>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</si>
  <si>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</si>
  <si>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</si>
  <si>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</si>
  <si>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</si>
  <si>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</si>
  <si>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</si>
  <si>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</si>
  <si>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</si>
  <si>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</si>
  <si>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</si>
  <si>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</si>
  <si>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</si>
  <si>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</si>
  <si>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</si>
  <si>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</si>
  <si>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</si>
  <si>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</si>
  <si>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</si>
  <si>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</si>
  <si>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</si>
  <si>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</si>
  <si>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</si>
  <si>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</si>
  <si>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</si>
  <si>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</si>
  <si>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</si>
  <si>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</si>
  <si>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</si>
  <si>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</si>
  <si>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</si>
  <si>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</si>
  <si>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</si>
  <si>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</si>
  <si>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</si>
  <si>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</si>
  <si>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</si>
  <si>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</si>
  <si>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</si>
  <si>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</si>
  <si>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</si>
  <si>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</si>
  <si>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</si>
  <si>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</si>
  <si>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</si>
  <si>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</si>
  <si>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</si>
  <si>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</si>
  <si>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</si>
  <si>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</si>
  <si>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</si>
  <si>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</si>
  <si>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</si>
  <si>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</si>
  <si>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</si>
  <si>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</si>
  <si>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</si>
  <si>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</si>
  <si>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</si>
  <si>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</si>
  <si>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</si>
  <si>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</si>
  <si>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</si>
  <si>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</si>
  <si>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</si>
  <si>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</si>
  <si>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</si>
  <si>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</si>
  <si>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</si>
  <si>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</si>
  <si>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</si>
  <si>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</si>
  <si>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</si>
  <si>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</si>
  <si>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</si>
  <si>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</si>
  <si>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</si>
  <si>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</si>
  <si>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</si>
  <si>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</si>
  <si>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</si>
  <si>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</si>
  <si>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</si>
  <si>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</si>
  <si>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</si>
  <si>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</si>
  <si>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</si>
  <si>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</si>
  <si>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</si>
  <si>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</si>
  <si>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</si>
  <si>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</si>
  <si>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</si>
  <si>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</si>
  <si>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</si>
  <si>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</si>
  <si>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</si>
  <si>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</si>
  <si>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</si>
  <si>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</si>
  <si>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</si>
  <si>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</si>
  <si>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</si>
  <si>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</si>
  <si>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</si>
  <si>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</si>
  <si>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</si>
  <si>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</si>
  <si>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</si>
  <si>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</si>
  <si>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</si>
  <si>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</si>
  <si>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</si>
  <si>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</si>
  <si>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</si>
  <si>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</si>
  <si>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</si>
  <si>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</si>
  <si>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</si>
  <si>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</si>
  <si>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</si>
  <si>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</si>
  <si>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</si>
  <si>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</si>
  <si>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</si>
  <si>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</si>
  <si>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</si>
  <si>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</si>
  <si>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</si>
  <si>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</si>
  <si>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</si>
  <si>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</si>
  <si>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</si>
  <si>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</si>
  <si>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</si>
  <si>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</si>
  <si>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</si>
  <si>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</si>
  <si>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</si>
  <si>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</si>
  <si>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</si>
  <si>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</si>
  <si>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</si>
  <si>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</si>
  <si>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</si>
  <si>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</si>
  <si>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</si>
  <si>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</si>
  <si>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</si>
  <si>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</si>
  <si>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</si>
  <si>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</si>
  <si>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</si>
  <si>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</si>
  <si>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</si>
  <si>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</si>
  <si>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</si>
  <si>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</si>
  <si>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</si>
  <si>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</si>
  <si>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</si>
  <si>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</si>
  <si>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</si>
  <si>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</si>
  <si>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</si>
  <si>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</si>
  <si>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</si>
  <si>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</si>
  <si>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</si>
  <si>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</si>
  <si>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</si>
  <si>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</si>
  <si>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</si>
  <si>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</si>
  <si>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</si>
  <si>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</si>
  <si>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</si>
  <si>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</si>
  <si>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</si>
  <si>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</si>
  <si>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</si>
  <si>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</si>
  <si>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</si>
  <si>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</si>
  <si>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</si>
  <si>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</si>
  <si>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</si>
  <si>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</si>
  <si>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</si>
  <si>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</si>
  <si>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</si>
  <si>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</si>
  <si>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</si>
  <si>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</si>
  <si>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</si>
  <si>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</si>
  <si>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</si>
  <si>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</si>
  <si>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</si>
  <si>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</si>
  <si>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</si>
  <si>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</si>
  <si>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</si>
  <si>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</si>
  <si>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</si>
  <si>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</si>
  <si>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</si>
  <si>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</si>
  <si>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</si>
  <si>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</si>
  <si>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</si>
  <si>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</si>
  <si>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</si>
  <si>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</si>
  <si>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</si>
  <si>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</si>
  <si>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</si>
  <si>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</si>
  <si>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</si>
  <si>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</si>
  <si>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</si>
  <si>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</si>
  <si>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</si>
  <si>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</si>
  <si>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</si>
  <si>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</si>
  <si>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</si>
  <si>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</si>
  <si>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</si>
  <si>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</si>
  <si>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</si>
  <si>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</si>
  <si>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</si>
  <si>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</si>
  <si>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</si>
  <si>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</si>
  <si>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</si>
  <si>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</si>
  <si>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</si>
  <si>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</si>
  <si>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</si>
  <si>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</si>
  <si>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</si>
  <si>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</si>
  <si>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</si>
  <si>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</si>
  <si>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</si>
  <si>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</si>
  <si>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</si>
  <si>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</si>
  <si>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</si>
  <si>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</si>
  <si>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</si>
  <si>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</si>
  <si>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</si>
  <si>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</si>
  <si>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</si>
  <si>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</si>
  <si>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</si>
  <si>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</si>
  <si>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</si>
  <si>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</si>
  <si>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</si>
  <si>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</si>
  <si>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</si>
  <si>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</si>
  <si>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</si>
  <si>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</si>
  <si>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</si>
  <si>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</si>
  <si>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</si>
  <si>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</si>
  <si>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</si>
  <si>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</si>
  <si>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</si>
  <si>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</si>
  <si>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</si>
  <si>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</si>
  <si>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</si>
  <si>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</si>
  <si>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</si>
  <si>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</si>
  <si>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</si>
  <si>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</si>
  <si>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</si>
  <si>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</si>
  <si>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</si>
  <si>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</si>
  <si>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</si>
  <si>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</si>
  <si>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</si>
  <si>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</si>
  <si>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</si>
  <si>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</si>
  <si>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</si>
  <si>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</si>
  <si>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</si>
  <si>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</si>
  <si>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</si>
  <si>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</si>
  <si>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</si>
  <si>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</si>
  <si>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</si>
  <si>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</si>
  <si>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</si>
  <si>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</si>
  <si>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</si>
  <si>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</si>
  <si>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</si>
  <si>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</si>
  <si>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</si>
  <si>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</si>
  <si>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</si>
  <si>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</si>
  <si>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</si>
  <si>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</si>
  <si>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</si>
  <si>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</si>
  <si>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</si>
  <si>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</si>
  <si>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</si>
  <si>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</si>
  <si>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</si>
  <si>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</si>
  <si>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</si>
  <si>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</si>
  <si>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</si>
  <si>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</si>
  <si>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</si>
  <si>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</si>
  <si>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</si>
  <si>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</si>
  <si>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</si>
  <si>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</si>
  <si>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</si>
  <si>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</si>
  <si>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</si>
  <si>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</si>
  <si>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</si>
  <si>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</si>
  <si>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</si>
  <si>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</si>
  <si>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</si>
  <si>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</si>
  <si>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</si>
  <si>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</si>
  <si>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</si>
  <si>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</si>
  <si>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</si>
  <si>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</si>
  <si>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</si>
  <si>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</si>
  <si>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</si>
  <si>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</si>
  <si>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</si>
  <si>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</si>
  <si>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</si>
  <si>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</si>
  <si>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</si>
  <si>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</si>
  <si>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</si>
  <si>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</si>
  <si>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</si>
  <si>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</si>
  <si>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</si>
  <si>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</si>
  <si>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</si>
  <si>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</si>
  <si>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</si>
  <si>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</si>
  <si>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</si>
  <si>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</si>
  <si>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</si>
  <si>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</si>
  <si>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</si>
  <si>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</si>
  <si>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</si>
  <si>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</si>
  <si>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</si>
  <si>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</si>
  <si>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</si>
  <si>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</si>
  <si>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</si>
  <si>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</si>
  <si>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</si>
  <si>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</si>
  <si>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</si>
  <si>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</si>
  <si>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</si>
  <si>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</si>
  <si>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</si>
  <si>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</si>
  <si>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</si>
  <si>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</si>
  <si>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</si>
  <si>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</si>
  <si>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</si>
  <si>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</si>
  <si>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</si>
  <si>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</si>
  <si>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</si>
  <si>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</si>
  <si>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</si>
  <si>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</si>
  <si>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</si>
  <si>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</si>
  <si>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</si>
  <si>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</si>
  <si>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</si>
  <si>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</si>
  <si>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</si>
  <si>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</si>
  <si>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</si>
  <si>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</si>
  <si>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</si>
  <si>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</si>
  <si>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</si>
  <si>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</si>
  <si>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</si>
  <si>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</si>
  <si>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</si>
  <si>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</si>
  <si>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</si>
  <si>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</si>
  <si>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</si>
  <si>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</si>
  <si>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</si>
  <si>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</si>
  <si>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</si>
  <si>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</si>
  <si>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</si>
  <si>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</si>
  <si>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</si>
  <si>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</si>
  <si>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</si>
  <si>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</si>
  <si>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</si>
  <si>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</si>
  <si>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</si>
  <si>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</si>
  <si>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</si>
  <si>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</si>
  <si>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</si>
  <si>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</si>
  <si>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</si>
  <si>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</si>
  <si>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</si>
  <si>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</si>
  <si>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</si>
  <si>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</si>
  <si>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</si>
  <si>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</si>
  <si>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</si>
  <si>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</si>
  <si>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</si>
  <si>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</si>
  <si>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</si>
  <si>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</si>
  <si>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</si>
  <si>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</si>
  <si>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</si>
  <si>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</si>
  <si>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</si>
  <si>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</si>
  <si>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</si>
  <si>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</si>
  <si>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</si>
  <si>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</si>
  <si>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</si>
  <si>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</si>
  <si>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</si>
  <si>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</si>
  <si>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</si>
  <si>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</si>
  <si>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</si>
  <si>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</si>
  <si>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</si>
  <si>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</si>
  <si>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</si>
  <si>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</si>
  <si>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</si>
  <si>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</si>
  <si>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</si>
  <si>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</si>
  <si>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</si>
  <si>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</si>
  <si>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</si>
  <si>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</si>
  <si>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</si>
  <si>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</si>
  <si>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</si>
  <si>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</si>
  <si>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</si>
  <si>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</si>
  <si>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</si>
  <si>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</si>
  <si>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</si>
  <si>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</si>
  <si>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</si>
  <si>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</si>
  <si>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</si>
  <si>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</si>
  <si>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</si>
  <si>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</si>
  <si>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</si>
  <si>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</si>
  <si>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</si>
  <si>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</si>
  <si>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</si>
  <si>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</si>
  <si>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</si>
  <si>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</si>
  <si>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</si>
  <si>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</si>
  <si>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</si>
  <si>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</si>
  <si>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</si>
  <si>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</si>
  <si>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</si>
  <si>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</si>
  <si>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</si>
  <si>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</si>
  <si>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</si>
  <si>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</si>
  <si>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</si>
  <si>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</si>
  <si>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</si>
  <si>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</si>
  <si>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</si>
  <si>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</si>
  <si>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</si>
  <si>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</si>
  <si>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</si>
  <si>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</si>
  <si>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</si>
  <si>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</si>
  <si>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</si>
  <si>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</si>
  <si>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</si>
  <si>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</si>
  <si>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</si>
  <si>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</si>
  <si>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</si>
  <si>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</si>
  <si>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</si>
  <si>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</si>
  <si>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</si>
  <si>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</si>
  <si>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</si>
  <si>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</si>
  <si>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</si>
  <si>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</si>
  <si>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</si>
  <si>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</si>
  <si>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</si>
  <si>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</si>
  <si>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</si>
  <si>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</si>
  <si>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</si>
  <si>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</si>
  <si>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</si>
  <si>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</si>
  <si>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</si>
  <si>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</si>
  <si>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</si>
  <si>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</si>
  <si>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</si>
  <si>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</si>
  <si>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</si>
  <si>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</si>
  <si>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</si>
  <si>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</si>
  <si>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</si>
  <si>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</si>
  <si>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</si>
  <si>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</si>
  <si>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</si>
  <si>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</si>
  <si>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</si>
  <si>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</si>
  <si>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</si>
  <si>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</si>
  <si>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</si>
  <si>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</si>
  <si>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</si>
  <si>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</si>
  <si>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</si>
  <si>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</si>
  <si>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</si>
  <si>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</si>
  <si>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</si>
  <si>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</si>
  <si>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</si>
  <si>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</si>
  <si>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</si>
  <si>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</si>
  <si>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</si>
  <si>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</si>
  <si>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</si>
  <si>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</si>
  <si>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</si>
  <si>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</si>
  <si>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</si>
  <si>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</si>
  <si>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</si>
  <si>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</si>
  <si>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</si>
  <si>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</si>
  <si>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</si>
  <si>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</si>
  <si>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</si>
  <si>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</si>
  <si>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</si>
  <si>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</si>
  <si>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</si>
  <si>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</si>
  <si>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</si>
  <si>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</si>
  <si>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</si>
  <si>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</si>
  <si>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</si>
  <si>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</si>
  <si>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</si>
  <si>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</si>
  <si>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</si>
  <si>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</si>
  <si>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</si>
  <si>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</si>
  <si>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</si>
  <si>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</si>
  <si>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</si>
  <si>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</si>
  <si>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</si>
  <si>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</si>
  <si>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</si>
  <si>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</si>
  <si>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</si>
  <si>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</si>
  <si>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</si>
  <si>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</si>
  <si>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</si>
  <si>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</si>
  <si>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</si>
  <si>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</si>
  <si>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</si>
  <si>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</si>
  <si>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</si>
  <si>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</si>
  <si>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</si>
  <si>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</si>
  <si>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</si>
  <si>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</si>
  <si>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</si>
  <si>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</si>
  <si>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</si>
  <si>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</si>
  <si>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</si>
  <si>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</si>
  <si>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</si>
  <si>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</si>
  <si>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</si>
  <si>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</si>
  <si>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</si>
  <si>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</si>
  <si>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</si>
  <si>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</si>
  <si>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</si>
  <si>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</si>
  <si>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</si>
  <si>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</si>
  <si>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</si>
  <si>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</si>
  <si>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</si>
  <si>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</si>
  <si>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</si>
  <si>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</si>
  <si>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</si>
  <si>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</si>
  <si>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</si>
  <si>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</si>
  <si>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</si>
  <si>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</si>
  <si>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</si>
  <si>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</si>
  <si>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</si>
  <si>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</si>
  <si>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</si>
  <si>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</si>
  <si>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</si>
  <si>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</si>
  <si>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</si>
  <si>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</si>
  <si>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</si>
  <si>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</si>
  <si>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</si>
  <si>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</si>
  <si>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</si>
  <si>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</si>
  <si>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</si>
  <si>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</si>
  <si>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</si>
  <si>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</si>
  <si>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</si>
  <si>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</si>
  <si>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</si>
  <si>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</si>
  <si>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</si>
  <si>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</si>
  <si>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</si>
  <si>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</si>
  <si>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</si>
  <si>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</si>
  <si>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</si>
  <si>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</si>
  <si>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</si>
  <si>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</si>
  <si>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</si>
  <si>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</si>
  <si>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</si>
  <si>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</si>
  <si>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</si>
  <si>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</si>
  <si>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</si>
  <si>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</si>
  <si>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</si>
  <si>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</si>
  <si>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</si>
  <si>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</si>
  <si>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</si>
  <si>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</si>
  <si>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</si>
  <si>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</si>
  <si>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</si>
  <si>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</si>
  <si>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</si>
  <si>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</si>
  <si>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</si>
  <si>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</si>
  <si>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</si>
  <si>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</si>
  <si>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</si>
  <si>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</si>
  <si>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</si>
  <si>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</si>
  <si>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</si>
  <si>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</si>
  <si>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</si>
  <si>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</si>
  <si>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</si>
  <si>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</si>
  <si>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</si>
  <si>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</si>
  <si>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</si>
  <si>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</si>
  <si>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</si>
  <si>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</si>
  <si>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</si>
  <si>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</si>
  <si>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</si>
  <si>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</si>
  <si>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</si>
  <si>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</si>
  <si>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</si>
  <si>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</si>
  <si>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</si>
  <si>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</si>
  <si>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</si>
  <si>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</si>
  <si>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</si>
  <si>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</si>
  <si>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</si>
  <si>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</si>
  <si>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</si>
  <si>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</si>
  <si>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</si>
  <si>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</si>
  <si>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</si>
  <si>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</si>
  <si>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</si>
  <si>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</si>
  <si>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</si>
  <si>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</si>
  <si>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</si>
  <si>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</si>
  <si>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</si>
  <si>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</si>
  <si>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</si>
  <si>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</si>
  <si>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</si>
  <si>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</si>
  <si>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</si>
  <si>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</si>
  <si>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</si>
  <si>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</si>
  <si>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</si>
  <si>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</si>
  <si>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</si>
  <si>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</si>
  <si>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</si>
  <si>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</si>
  <si>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</si>
  <si>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</si>
  <si>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</si>
  <si>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</si>
  <si>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</si>
  <si>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</si>
  <si>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</si>
  <si>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</si>
  <si>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</si>
  <si>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</si>
  <si>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</si>
  <si>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</si>
  <si>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</si>
  <si>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</si>
  <si>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</si>
  <si>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</si>
  <si>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</si>
  <si>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</si>
  <si>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</si>
  <si>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</si>
  <si>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</si>
  <si>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</si>
  <si>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</si>
  <si>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</si>
  <si>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</si>
  <si>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</si>
  <si>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</si>
  <si>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</si>
  <si>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</si>
  <si>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</si>
  <si>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</si>
  <si>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</si>
  <si>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</si>
  <si>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</si>
  <si>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</si>
  <si>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</si>
  <si>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</si>
  <si>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</si>
  <si>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</si>
  <si>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</si>
  <si>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</si>
  <si>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</si>
  <si>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</si>
  <si>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</si>
  <si>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</si>
  <si>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</si>
  <si>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</si>
  <si>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</si>
  <si>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</si>
  <si>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</si>
  <si>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</si>
  <si>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</si>
  <si>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</si>
  <si>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</si>
  <si>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</si>
  <si>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</si>
  <si>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</si>
  <si>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</si>
  <si>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</si>
  <si>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</si>
  <si>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</si>
  <si>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</si>
  <si>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</si>
  <si>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</si>
  <si>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</si>
  <si>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</si>
  <si>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</si>
  <si>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</si>
  <si>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</si>
  <si>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</si>
  <si>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</si>
  <si>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</si>
  <si>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</si>
  <si>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</si>
  <si>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</si>
  <si>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</si>
  <si>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</si>
  <si>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</si>
  <si>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</si>
  <si>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</si>
  <si>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</si>
  <si>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</si>
  <si>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</si>
  <si>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</si>
  <si>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</si>
  <si>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</si>
  <si>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</si>
  <si>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</si>
  <si>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</si>
  <si>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</si>
  <si>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</si>
  <si>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</si>
  <si>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</si>
  <si>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</si>
  <si>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</si>
  <si>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</si>
  <si>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</si>
  <si>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</si>
  <si>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</si>
  <si>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</si>
  <si>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</si>
  <si>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</si>
  <si>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</si>
  <si>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</si>
  <si>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</si>
  <si>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</si>
  <si>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</si>
  <si>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</si>
  <si>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</si>
  <si>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</si>
  <si>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</si>
  <si>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</si>
  <si>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</si>
  <si>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</si>
  <si>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</si>
  <si>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</si>
  <si>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</si>
  <si>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</si>
  <si>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</si>
  <si>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</si>
  <si>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</si>
  <si>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</si>
  <si>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</si>
  <si>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</si>
  <si>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</si>
  <si>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</si>
  <si>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</si>
  <si>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</si>
  <si>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</si>
  <si>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</si>
  <si>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</si>
  <si>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</si>
  <si>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</si>
  <si>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</si>
  <si>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</si>
  <si>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</si>
  <si>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</si>
  <si>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</si>
  <si>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</si>
  <si>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</si>
  <si>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</si>
  <si>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</si>
  <si>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</si>
  <si>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</si>
  <si>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</si>
  <si>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</si>
  <si>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</si>
  <si>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</si>
  <si>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</si>
  <si>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</si>
  <si>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</si>
  <si>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</si>
  <si>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</si>
  <si>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</si>
  <si>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</si>
  <si>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</si>
  <si>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</si>
  <si>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</si>
  <si>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</si>
  <si>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</si>
  <si>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</si>
  <si>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</si>
  <si>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</si>
  <si>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</si>
  <si>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</si>
  <si>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</si>
  <si>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</si>
  <si>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</si>
  <si>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</si>
  <si>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</si>
  <si>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</si>
  <si>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</si>
  <si>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</si>
  <si>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</si>
  <si>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</si>
  <si>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</si>
  <si>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</si>
  <si>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</si>
  <si>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</si>
  <si>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</si>
  <si>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</si>
  <si>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</si>
  <si>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</si>
  <si>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</si>
  <si>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</si>
  <si>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</si>
  <si>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</si>
  <si>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</si>
  <si>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</si>
  <si>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</si>
  <si>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</si>
  <si>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</si>
  <si>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</si>
  <si>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</si>
  <si>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</si>
  <si>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</si>
  <si>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</si>
  <si>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</si>
  <si>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</si>
  <si>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</si>
  <si>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</si>
  <si>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</si>
  <si>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</si>
  <si>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</si>
  <si>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</si>
  <si>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</si>
  <si>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</si>
  <si>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</si>
  <si>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</si>
  <si>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</si>
  <si>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</si>
  <si>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</si>
  <si>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</si>
  <si>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</si>
  <si>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</si>
  <si>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</si>
  <si>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</si>
  <si>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</si>
  <si>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</si>
  <si>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</si>
  <si>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</si>
  <si>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</si>
  <si>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</si>
  <si>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</si>
  <si>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</si>
  <si>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</si>
  <si>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</si>
  <si>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</si>
  <si>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</si>
  <si>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</si>
  <si>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</si>
  <si>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</si>
  <si>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</si>
  <si>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</si>
  <si>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</si>
  <si>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</si>
  <si>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</si>
  <si>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</si>
  <si>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</si>
  <si>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</si>
  <si>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</si>
  <si>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</si>
  <si>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</si>
  <si>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</si>
  <si>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</si>
  <si>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</si>
  <si>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</si>
  <si>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</si>
  <si>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</si>
  <si>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</si>
  <si>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</si>
  <si>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</si>
  <si>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</si>
  <si>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</si>
  <si>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</si>
  <si>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</si>
  <si>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</si>
  <si>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</si>
  <si>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</si>
  <si>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</si>
  <si>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</si>
  <si>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</si>
  <si>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</si>
  <si>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</si>
  <si>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</si>
  <si>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</si>
  <si>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</si>
  <si>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</si>
  <si>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</si>
  <si>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</si>
  <si>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</si>
  <si>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</si>
  <si>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</si>
  <si>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</si>
  <si>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</si>
  <si>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</si>
  <si>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</si>
  <si>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</si>
  <si>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</si>
  <si>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</si>
  <si>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</si>
  <si>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</si>
  <si>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</si>
  <si>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</si>
  <si>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</si>
  <si>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</si>
  <si>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</si>
  <si>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</si>
  <si>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</si>
  <si>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</si>
  <si>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</si>
  <si>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</si>
  <si>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</si>
  <si>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</si>
  <si>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</si>
  <si>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</si>
  <si>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</si>
  <si>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</si>
  <si>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</si>
  <si>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</si>
  <si>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</si>
  <si>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</si>
  <si>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</si>
  <si>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</si>
  <si>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</si>
  <si>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</si>
  <si>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</si>
  <si>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</si>
  <si>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</si>
  <si>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</si>
  <si>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</si>
  <si>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</si>
  <si>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</si>
  <si>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</si>
  <si>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</si>
  <si>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</si>
  <si>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</si>
  <si>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</si>
  <si>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</si>
  <si>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</si>
  <si>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</si>
  <si>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</si>
  <si>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</si>
  <si>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</si>
  <si>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</si>
  <si>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</si>
  <si>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</si>
  <si>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</si>
  <si>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</si>
  <si>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</si>
  <si>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</si>
  <si>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</si>
  <si>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</si>
  <si>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</si>
  <si>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</si>
  <si>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</si>
  <si>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</si>
  <si>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</si>
  <si>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</si>
  <si>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</si>
  <si>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</si>
  <si>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</si>
  <si>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</si>
  <si>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</si>
  <si>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</si>
  <si>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</si>
  <si>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</si>
  <si>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</si>
  <si>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</si>
  <si>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</si>
  <si>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</si>
  <si>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</si>
  <si>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</si>
  <si>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</si>
  <si>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</si>
  <si>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</si>
  <si>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</si>
  <si>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</si>
  <si>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</si>
  <si>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</si>
  <si>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</si>
  <si>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</si>
  <si>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</si>
  <si>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</si>
  <si>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</si>
  <si>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</si>
  <si>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</si>
  <si>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</si>
  <si>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</si>
  <si>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</si>
  <si>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</si>
  <si>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</si>
  <si>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</si>
  <si>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</si>
  <si>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</si>
  <si>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</si>
  <si>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</si>
  <si>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</si>
  <si>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</si>
  <si>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</si>
  <si>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</si>
  <si>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</si>
  <si>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</si>
  <si>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</si>
  <si>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</si>
  <si>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</si>
  <si>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</si>
  <si>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</si>
  <si>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</si>
  <si>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</si>
  <si>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</si>
  <si>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</si>
  <si>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</si>
  <si>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</si>
  <si>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</si>
  <si>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</si>
  <si>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</si>
  <si>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</si>
  <si>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</si>
  <si>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</si>
  <si>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</si>
  <si>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</si>
  <si>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</si>
  <si>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</si>
  <si>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</si>
  <si>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</si>
  <si>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</si>
  <si>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</si>
  <si>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</si>
  <si>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</si>
  <si>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</si>
  <si>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</si>
  <si>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</si>
  <si>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</si>
  <si>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</si>
  <si>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</si>
  <si>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</si>
  <si>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</si>
  <si>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</si>
  <si>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</si>
  <si>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</si>
  <si>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</si>
  <si>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</si>
  <si>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</si>
  <si>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</si>
  <si>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</si>
  <si>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</si>
  <si>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</si>
  <si>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</si>
  <si>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</si>
  <si>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</si>
  <si>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</si>
  <si>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</si>
  <si>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</si>
  <si>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</si>
  <si>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</si>
  <si>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</si>
  <si>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</si>
  <si>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</si>
  <si>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</si>
  <si>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</si>
  <si>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</si>
  <si>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</si>
  <si>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</si>
  <si>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</si>
  <si>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</si>
  <si>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</si>
  <si>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</si>
  <si>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</si>
  <si>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</si>
  <si>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</si>
  <si>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</si>
  <si>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</si>
  <si>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</si>
  <si>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</si>
  <si>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</si>
  <si>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</si>
  <si>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</si>
  <si>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</si>
  <si>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</si>
  <si>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</si>
  <si>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</si>
  <si>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</si>
  <si>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</si>
  <si>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</si>
  <si>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</si>
  <si>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</si>
  <si>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</si>
  <si>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</si>
  <si>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</si>
  <si>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</si>
  <si>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</si>
  <si>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</si>
  <si>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</si>
  <si>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</si>
  <si>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</si>
  <si>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</si>
  <si>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</si>
  <si>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</si>
  <si>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</si>
  <si>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</si>
  <si>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</si>
  <si>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</si>
  <si>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</si>
  <si>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</si>
  <si>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</si>
  <si>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</si>
  <si>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</si>
  <si>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</si>
  <si>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</si>
  <si>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</si>
  <si>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</si>
  <si>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</si>
  <si>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</si>
  <si>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</si>
  <si>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</si>
  <si>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</si>
  <si>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</si>
  <si>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</si>
  <si>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</si>
  <si>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</si>
  <si>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</si>
  <si>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</si>
  <si>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</si>
  <si>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</si>
  <si>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</si>
  <si>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</si>
  <si>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</si>
  <si>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</si>
  <si>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</si>
  <si>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</si>
  <si>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</si>
  <si>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</si>
  <si>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</si>
  <si>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</si>
  <si>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</si>
  <si>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</si>
  <si>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</si>
  <si>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</si>
  <si>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</si>
  <si>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</si>
  <si>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</si>
  <si>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</si>
  <si>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</si>
  <si>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</si>
  <si>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</si>
  <si>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</si>
  <si>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</si>
  <si>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</si>
  <si>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</si>
  <si>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</si>
  <si>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</si>
  <si>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</si>
  <si>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</si>
  <si>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</si>
  <si>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</si>
  <si>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</si>
  <si>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</si>
  <si>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</si>
  <si>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</si>
  <si>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</si>
  <si>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</si>
  <si>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</si>
  <si>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</si>
  <si>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</si>
  <si>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</si>
  <si>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</si>
  <si>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</si>
  <si>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</si>
  <si>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</si>
  <si>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</si>
  <si>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</si>
  <si>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</si>
  <si>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</si>
  <si>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</si>
  <si>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</si>
  <si>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</si>
  <si>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</si>
  <si>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</si>
  <si>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</si>
  <si>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</si>
  <si>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</si>
  <si>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</si>
  <si>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</si>
  <si>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</si>
  <si>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</si>
  <si>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</si>
  <si>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</si>
  <si>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</si>
  <si>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</si>
  <si>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</si>
  <si>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</si>
  <si>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</si>
  <si>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</si>
  <si>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</si>
  <si>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</si>
  <si>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</si>
  <si>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</si>
  <si>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</si>
  <si>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</si>
  <si>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</si>
  <si>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</si>
  <si>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</si>
  <si>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</si>
  <si>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</si>
  <si>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</si>
  <si>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</si>
  <si>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</si>
  <si>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</si>
  <si>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</si>
  <si>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</si>
  <si>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</si>
  <si>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</si>
  <si>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</si>
  <si>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</si>
  <si>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</si>
  <si>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</si>
  <si>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</si>
  <si>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</si>
  <si>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</si>
  <si>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</si>
  <si>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</si>
  <si>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</si>
  <si>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</si>
  <si>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</si>
  <si>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</si>
  <si>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</si>
  <si>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</si>
  <si>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</si>
  <si>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</si>
  <si>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</si>
  <si>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</si>
  <si>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</si>
  <si>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</si>
  <si>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</si>
  <si>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</si>
  <si>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</si>
  <si>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</si>
  <si>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</si>
  <si>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</si>
  <si>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</si>
  <si>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</si>
  <si>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</si>
  <si>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</si>
  <si>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</si>
  <si>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</si>
  <si>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</si>
  <si>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</si>
  <si>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</si>
  <si>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</si>
  <si>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</si>
  <si>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</si>
  <si>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</si>
  <si>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</si>
  <si>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</si>
  <si>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</si>
  <si>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</si>
  <si>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</si>
  <si>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</si>
  <si>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</si>
  <si>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</si>
  <si>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</si>
  <si>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</si>
  <si>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</si>
  <si>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</si>
  <si>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</si>
  <si>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</si>
  <si>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</si>
  <si>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</si>
  <si>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</si>
  <si>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</si>
  <si>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</si>
  <si>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</si>
  <si>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</si>
  <si>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</si>
  <si>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</si>
  <si>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</si>
  <si>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</si>
  <si>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</si>
  <si>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</si>
  <si>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</si>
  <si>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</si>
  <si>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</si>
  <si>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</si>
  <si>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</si>
  <si>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</si>
  <si>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</si>
  <si>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</si>
  <si>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</si>
  <si>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</si>
  <si>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</si>
  <si>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</si>
  <si>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</si>
  <si>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</si>
  <si>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</si>
  <si>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</si>
  <si>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</si>
  <si>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</si>
  <si>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</si>
  <si>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</si>
  <si>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</si>
  <si>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</si>
  <si>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</si>
  <si>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</si>
  <si>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</si>
  <si>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</si>
  <si>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</si>
  <si>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</si>
  <si>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</si>
  <si>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</si>
  <si>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</si>
  <si>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</si>
  <si>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</si>
  <si>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</si>
  <si>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</si>
  <si>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</si>
  <si>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</si>
  <si>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</si>
  <si>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</si>
  <si>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</si>
  <si>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</si>
  <si>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</si>
  <si>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</si>
  <si>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</si>
  <si>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</si>
  <si>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</si>
  <si>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</si>
  <si>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</si>
  <si>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</si>
  <si>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</si>
  <si>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</si>
  <si>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</si>
  <si>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</si>
  <si>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</si>
  <si>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</si>
  <si>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</si>
  <si>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</si>
  <si>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</si>
  <si>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</si>
  <si>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</si>
  <si>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</si>
  <si>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</si>
  <si>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</si>
  <si>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</si>
  <si>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</si>
  <si>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</si>
  <si>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</si>
  <si>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</si>
  <si>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</si>
  <si>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</si>
  <si>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</si>
  <si>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</si>
  <si>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</si>
  <si>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</si>
  <si>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</si>
  <si>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</si>
  <si>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</si>
  <si>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</si>
  <si>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</si>
  <si>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</si>
  <si>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</si>
  <si>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</si>
  <si>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</si>
  <si>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</si>
  <si>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</si>
  <si>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</si>
  <si>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</si>
  <si>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</si>
  <si>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</si>
  <si>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</si>
  <si>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</si>
  <si>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</si>
  <si>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</si>
  <si>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</si>
  <si>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</si>
  <si>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</si>
  <si>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</si>
  <si>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</si>
  <si>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</si>
  <si>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</si>
  <si>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</si>
  <si>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</si>
  <si>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</si>
  <si>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</si>
  <si>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</si>
  <si>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</si>
  <si>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</si>
  <si>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</si>
  <si>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</si>
  <si>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</si>
  <si>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</si>
  <si>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</si>
  <si>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</si>
  <si>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</si>
  <si>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</si>
  <si>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</si>
  <si>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</si>
  <si>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</si>
  <si>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</si>
  <si>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</si>
  <si>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</si>
  <si>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</si>
  <si>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</si>
  <si>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</si>
  <si>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</si>
  <si>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</si>
  <si>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</si>
  <si>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</si>
  <si>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</si>
  <si>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</si>
  <si>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</si>
  <si>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</si>
  <si>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</si>
  <si>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</si>
  <si>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</si>
  <si>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</si>
  <si>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</si>
  <si>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</si>
  <si>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</si>
  <si>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</si>
  <si>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</si>
  <si>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</si>
  <si>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</si>
  <si>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</si>
  <si>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</si>
  <si>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</si>
  <si>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</si>
  <si>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</si>
  <si>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</si>
  <si>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</si>
  <si>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</si>
  <si>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</si>
  <si>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</si>
  <si>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</si>
  <si>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</si>
  <si>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</si>
  <si>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</si>
  <si>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</si>
  <si>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</si>
  <si>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</si>
  <si>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</si>
  <si>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</si>
  <si>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</si>
  <si>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</si>
  <si>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</si>
  <si>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</si>
  <si>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</si>
  <si>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</si>
  <si>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</si>
  <si>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</si>
  <si>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</si>
  <si>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</si>
  <si>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</si>
  <si>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</si>
  <si>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</si>
  <si>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</si>
  <si>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</si>
  <si>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</si>
  <si>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</si>
  <si>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</si>
  <si>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</si>
  <si>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</si>
  <si>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</si>
  <si>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</si>
  <si>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</si>
  <si>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</si>
  <si>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</si>
  <si>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</si>
  <si>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</si>
  <si>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</si>
  <si>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</si>
  <si>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</si>
  <si>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</si>
  <si>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</si>
  <si>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</si>
  <si>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</si>
  <si>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</si>
  <si>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</si>
  <si>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</si>
  <si>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</si>
  <si>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</si>
  <si>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</si>
  <si>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</si>
  <si>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</si>
  <si>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</si>
  <si>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</si>
  <si>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</si>
  <si>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</si>
  <si>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</si>
  <si>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</si>
  <si>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</si>
  <si>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</si>
  <si>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</si>
  <si>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</si>
  <si>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</si>
  <si>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</si>
  <si>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</si>
  <si>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</si>
  <si>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</si>
  <si>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</si>
  <si>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</si>
  <si>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</si>
  <si>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</si>
  <si>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</si>
  <si>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</si>
  <si>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</si>
  <si>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</si>
  <si>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</si>
  <si>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</si>
  <si>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</si>
  <si>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</si>
  <si>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</si>
  <si>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</si>
  <si>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</si>
  <si>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</si>
  <si>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</si>
  <si>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</si>
  <si>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</si>
  <si>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</si>
  <si>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</si>
  <si>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</si>
  <si>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</si>
  <si>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</si>
  <si>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</si>
  <si>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</si>
  <si>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</si>
  <si>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</si>
  <si>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</si>
  <si>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</si>
  <si>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</si>
  <si>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</si>
  <si>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</si>
  <si>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</si>
  <si>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</si>
  <si>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</si>
  <si>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</si>
  <si>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</si>
  <si>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</si>
  <si>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</si>
  <si>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</si>
  <si>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</si>
  <si>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</si>
  <si>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</si>
  <si>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</si>
  <si>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</si>
  <si>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</si>
  <si>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</si>
  <si>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</si>
  <si>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</si>
  <si>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</si>
  <si>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</si>
  <si>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</si>
  <si>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</si>
  <si>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</si>
  <si>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</si>
  <si>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</si>
  <si>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</si>
  <si>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</si>
  <si>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</si>
  <si>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</si>
  <si>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</si>
  <si>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</si>
  <si>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</si>
  <si>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</si>
  <si>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</si>
  <si>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</si>
  <si>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</si>
  <si>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</si>
  <si>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</si>
  <si>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</si>
  <si>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</si>
  <si>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</si>
  <si>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</si>
  <si>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</si>
  <si>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</si>
  <si>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</si>
  <si>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</si>
  <si>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</si>
  <si>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</si>
  <si>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</si>
  <si>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</si>
  <si>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</si>
  <si>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</si>
  <si>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</si>
  <si>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</si>
  <si>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</si>
  <si>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</si>
  <si>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</si>
  <si>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</si>
  <si>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</si>
  <si>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</si>
  <si>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</si>
  <si>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</si>
  <si>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</si>
  <si>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</si>
  <si>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</si>
  <si>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</si>
  <si>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</si>
  <si>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</si>
  <si>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</si>
  <si>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</si>
  <si>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</si>
  <si>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</si>
  <si>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</si>
  <si>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</si>
  <si>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</si>
  <si>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</si>
  <si>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</si>
  <si>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</si>
  <si>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</si>
  <si>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</si>
  <si>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</si>
  <si>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</si>
  <si>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</si>
  <si>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</si>
  <si>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</si>
  <si>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</si>
  <si>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</si>
  <si>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</si>
  <si>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</si>
  <si>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</si>
  <si>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</si>
  <si>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</si>
  <si>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</si>
  <si>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</si>
  <si>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</si>
  <si>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</si>
  <si>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</si>
  <si>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</si>
  <si>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</si>
  <si>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</si>
  <si>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</si>
  <si>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</si>
  <si>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</si>
  <si>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</si>
  <si>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</si>
  <si>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</si>
  <si>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</si>
  <si>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</si>
  <si>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</si>
  <si>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</si>
  <si>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</si>
  <si>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</si>
  <si>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</si>
  <si>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</si>
  <si>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</si>
  <si>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</si>
  <si>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</si>
  <si>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</si>
  <si>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</si>
  <si>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</si>
  <si>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</si>
  <si>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</si>
  <si>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</si>
  <si>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</si>
  <si>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</si>
  <si>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</si>
  <si>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</si>
  <si>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</si>
  <si>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</si>
  <si>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</si>
  <si>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</si>
  <si>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</si>
  <si>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</si>
  <si>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</si>
  <si>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</si>
  <si>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</si>
  <si>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</si>
  <si>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</si>
  <si>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</si>
  <si>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</si>
  <si>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</si>
  <si>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</si>
  <si>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</si>
  <si>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</si>
  <si>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</si>
  <si>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</si>
  <si>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</si>
  <si>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</si>
  <si>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</si>
  <si>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</si>
  <si>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</si>
  <si>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</si>
  <si>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</si>
  <si>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</si>
  <si>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</si>
  <si>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</si>
  <si>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</si>
  <si>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</si>
  <si>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</si>
  <si>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</si>
  <si>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</si>
  <si>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</si>
  <si>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</si>
  <si>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</si>
  <si>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</si>
  <si>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</si>
  <si>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</si>
  <si>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</si>
  <si>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</si>
  <si>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</si>
  <si>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</si>
  <si>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</si>
  <si>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</si>
  <si>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</si>
  <si>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</si>
  <si>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</si>
  <si>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</si>
  <si>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</si>
  <si>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</si>
  <si>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</si>
  <si>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</si>
  <si>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</si>
  <si>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</si>
  <si>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</si>
  <si>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</si>
  <si>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</si>
  <si>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</si>
  <si>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</si>
  <si>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</si>
  <si>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</si>
  <si>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</si>
  <si>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</si>
  <si>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</si>
  <si>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</si>
  <si>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</si>
  <si>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</si>
  <si>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</si>
  <si>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</si>
  <si>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</si>
  <si>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</si>
  <si>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</si>
  <si>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</si>
  <si>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</si>
  <si>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</si>
  <si>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</si>
  <si>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</si>
  <si>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</si>
  <si>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</si>
  <si>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</si>
  <si>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</si>
  <si>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</si>
  <si>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</si>
  <si>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</si>
  <si>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</si>
  <si>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</si>
  <si>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</si>
  <si>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</si>
  <si>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</si>
  <si>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</si>
  <si>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</si>
  <si>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</si>
  <si>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</si>
  <si>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</si>
  <si>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</si>
  <si>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</si>
  <si>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</si>
  <si>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</si>
  <si>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</si>
  <si>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</si>
  <si>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</si>
  <si>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</si>
  <si>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</si>
  <si>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</si>
  <si>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</si>
  <si>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</si>
  <si>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</si>
  <si>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</si>
  <si>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</si>
  <si>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</si>
  <si>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</si>
  <si>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</si>
  <si>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</si>
  <si>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</si>
  <si>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</si>
  <si>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</si>
  <si>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</si>
  <si>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</si>
  <si>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</si>
  <si>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</si>
  <si>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</si>
  <si>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</si>
  <si>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</si>
  <si>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</si>
  <si>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</si>
  <si>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</si>
  <si>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</si>
  <si>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</si>
  <si>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</si>
  <si>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</si>
  <si>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</si>
  <si>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</si>
  <si>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</si>
  <si>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</si>
  <si>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</si>
  <si>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</si>
  <si>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</si>
  <si>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</si>
  <si>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</si>
  <si>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</si>
  <si>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</si>
  <si>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</si>
  <si>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</si>
  <si>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</si>
  <si>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</si>
  <si>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</si>
  <si>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</si>
  <si>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</si>
  <si>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</si>
  <si>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</si>
  <si>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</si>
  <si>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</si>
  <si>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</si>
  <si>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</si>
  <si>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</si>
  <si>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</si>
  <si>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</si>
  <si>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</si>
  <si>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</si>
  <si>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</si>
  <si>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</si>
  <si>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</si>
  <si>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</si>
  <si>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</si>
  <si>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</si>
  <si>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</si>
  <si>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</si>
  <si>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</si>
  <si>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</si>
  <si>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</si>
  <si>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</si>
  <si>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</si>
  <si>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</si>
  <si>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</si>
  <si>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</si>
  <si>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</si>
  <si>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</si>
  <si>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</si>
  <si>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</si>
  <si>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</si>
  <si>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</si>
  <si>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</si>
  <si>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</si>
  <si>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</si>
  <si>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</si>
  <si>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</si>
  <si>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</si>
  <si>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</si>
  <si>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</si>
  <si>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</si>
  <si>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</si>
  <si>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</si>
  <si>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</si>
  <si>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</si>
  <si>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</si>
  <si>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</si>
  <si>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</si>
  <si>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</si>
  <si>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</si>
  <si>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</si>
  <si>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</si>
  <si>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</si>
  <si>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</si>
  <si>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</si>
  <si>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</si>
  <si>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</si>
  <si>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</si>
  <si>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</si>
  <si>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</si>
  <si>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</si>
  <si>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</si>
  <si>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</si>
  <si>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</si>
  <si>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</si>
  <si>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</si>
  <si>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</si>
  <si>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</si>
  <si>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</si>
  <si>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</si>
  <si>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</si>
  <si>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</si>
  <si>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</si>
  <si>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</si>
  <si>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</si>
  <si>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</si>
  <si>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</si>
  <si>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</si>
  <si>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</si>
  <si>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</si>
  <si>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</si>
  <si>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</si>
  <si>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</si>
  <si>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</si>
  <si>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</si>
  <si>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</si>
  <si>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</si>
  <si>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</si>
  <si>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</si>
  <si>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</si>
  <si>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</si>
  <si>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</si>
  <si>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</si>
  <si>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</si>
  <si>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</si>
  <si>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</si>
  <si>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</si>
  <si>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</si>
  <si>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</si>
  <si>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</si>
  <si>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</si>
  <si>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</si>
  <si>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</si>
  <si>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</si>
  <si>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</si>
  <si>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</si>
  <si>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</si>
  <si>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</si>
  <si>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</si>
  <si>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</si>
  <si>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</si>
  <si>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</si>
  <si>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</si>
  <si>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</si>
  <si>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</si>
  <si>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</si>
  <si>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</si>
  <si>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</si>
  <si>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</si>
  <si>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</si>
  <si>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</si>
  <si>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</si>
  <si>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</si>
  <si>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</si>
  <si>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</si>
  <si>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</si>
  <si>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</si>
  <si>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</si>
  <si>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</si>
  <si>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</si>
  <si>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</si>
  <si>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</si>
  <si>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</si>
  <si>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</si>
  <si>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</si>
  <si>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</si>
  <si>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</si>
  <si>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</si>
  <si>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</si>
  <si>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</si>
  <si>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</si>
  <si>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</si>
  <si>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</si>
  <si>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</si>
  <si>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</si>
  <si>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</si>
  <si>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</si>
  <si>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</si>
  <si>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</si>
  <si>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</si>
  <si>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</si>
  <si>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</si>
  <si>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</si>
  <si>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</si>
  <si>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</si>
  <si>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</si>
  <si>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0609</t>
    </r>
    <r>
      <rPr>
        <sz val="10"/>
        <color theme="9" tint="-0.249977111117893"/>
        <rFont val="宋体"/>
        <family val="3"/>
        <charset val="134"/>
      </rPr>
      <t>办公用房</t>
    </r>
    <phoneticPr fontId="6" type="noConversion"/>
  </si>
  <si>
    <t>办公项目</t>
  </si>
  <si>
    <t>无</t>
  </si>
  <si>
    <t>否</t>
  </si>
  <si>
    <t>现房</t>
  </si>
  <si>
    <t>是</t>
  </si>
  <si>
    <t>地上</t>
  </si>
  <si>
    <t>成新度</t>
  </si>
  <si>
    <t>办公</t>
    <phoneticPr fontId="7" type="noConversion"/>
  </si>
  <si>
    <t>直线</t>
    <phoneticPr fontId="3" type="noConversion"/>
  </si>
  <si>
    <t>观察</t>
    <phoneticPr fontId="3" type="noConversion"/>
  </si>
  <si>
    <t>综合</t>
    <phoneticPr fontId="3" type="noConversion"/>
  </si>
  <si>
    <t>收益法 (元)</t>
  </si>
  <si>
    <t>呼家楼街道</t>
    <phoneticPr fontId="3" type="noConversion"/>
  </si>
  <si>
    <t>押一</t>
  </si>
  <si>
    <t>钢混</t>
  </si>
  <si>
    <t>非生产用房</t>
  </si>
  <si>
    <t>单套模式</t>
  </si>
  <si>
    <t>售价</t>
  </si>
  <si>
    <t>朝外soho</t>
    <phoneticPr fontId="3" type="noConversion"/>
  </si>
  <si>
    <t>正常</t>
  </si>
  <si>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</si>
  <si>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</si>
  <si>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</si>
  <si>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</si>
  <si>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</si>
  <si>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</si>
  <si>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</si>
  <si>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</si>
  <si>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</si>
  <si>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</si>
  <si>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</si>
  <si>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</si>
  <si>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</si>
  <si>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</si>
  <si>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</si>
  <si>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</si>
  <si>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</si>
  <si>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</si>
  <si>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专业</t>
  </si>
  <si>
    <t>专业</t>
    <phoneticPr fontId="31" type="noConversion"/>
  </si>
  <si>
    <t>七通</t>
  </si>
  <si>
    <t>七通</t>
    <phoneticPr fontId="31" type="noConversion"/>
  </si>
  <si>
    <t>六通</t>
    <phoneticPr fontId="31" type="noConversion"/>
  </si>
  <si>
    <t>五通</t>
    <phoneticPr fontId="31" type="noConversion"/>
  </si>
  <si>
    <t>甲级</t>
    <phoneticPr fontId="31" type="noConversion"/>
  </si>
  <si>
    <t>乙级</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</si>
  <si>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</si>
  <si>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</si>
  <si>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</si>
  <si>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</si>
  <si>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</si>
  <si>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办公</t>
    <phoneticPr fontId="31" type="noConversion"/>
  </si>
  <si>
    <t>比较法-办公</t>
  </si>
  <si>
    <t>成本比率</t>
  </si>
  <si>
    <t>楼面单价</t>
  </si>
  <si>
    <t>售价</t>
    <phoneticPr fontId="3" type="noConversion"/>
  </si>
  <si>
    <t>租售比</t>
    <phoneticPr fontId="3" type="noConversion"/>
  </si>
  <si>
    <t>较好</t>
  </si>
  <si>
    <t>光华路SOHO</t>
    <phoneticPr fontId="3" type="noConversion"/>
  </si>
  <si>
    <t>万通中心</t>
    <phoneticPr fontId="3" type="noConversion"/>
  </si>
  <si>
    <t>建成年代</t>
    <phoneticPr fontId="31" type="noConversion"/>
  </si>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</sst>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95" fillId="0" borderId="0" xfId="0" applyFont="1">
      <alignment vertical="center"/>
    </xf>
    <xf numFmtId="0" fontId="128" fillId="12" borderId="0" xfId="0" applyFont="1" applyFill="1" applyAlignment="1" applyProtection="1">
      <alignment vertical="center"/>
      <protection locked="0"/>
    </xf>
    <xf numFmtId="0" fontId="208" fillId="0" borderId="2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164307</xdr:colOff>
      <xdr:row>23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393907" cy="3829050"/>
        </a:xfrm>
        <a:prstGeom prst="rect">
          <a:avLst/>
        </a:prstGeom>
      </xdr:spPr>
    </xdr:pic>
    <xdr:clientData/>
  </xdr:twoCellAnchor>
  <xdr:twoCellAnchor editAs="oneCell">
    <xdr:from>
      <xdr:col>0</xdr:col>
      <xdr:colOff>1</xdr:colOff>
      <xdr:row>27</xdr:row>
      <xdr:rowOff>0</xdr:rowOff>
    </xdr:from>
    <xdr:to>
      <xdr:col>12</xdr:col>
      <xdr:colOff>149847</xdr:colOff>
      <xdr:row>49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629150"/>
          <a:ext cx="8379446" cy="3800475"/>
        </a:xfrm>
        <a:prstGeom prst="rect">
          <a:avLst/>
        </a:prstGeom>
      </xdr:spPr>
    </xdr:pic>
    <xdr:clientData/>
  </xdr:twoCellAnchor>
  <xdr:twoCellAnchor editAs="oneCell">
    <xdr:from>
      <xdr:col>0</xdr:col>
      <xdr:colOff>1</xdr:colOff>
      <xdr:row>50</xdr:row>
      <xdr:rowOff>1</xdr:rowOff>
    </xdr:from>
    <xdr:to>
      <xdr:col>12</xdr:col>
      <xdr:colOff>57151</xdr:colOff>
      <xdr:row>71</xdr:row>
      <xdr:rowOff>146183</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572501"/>
          <a:ext cx="8286750" cy="3746632"/>
        </a:xfrm>
        <a:prstGeom prst="rect">
          <a:avLst/>
        </a:prstGeom>
      </xdr:spPr>
    </xdr:pic>
    <xdr:clientData/>
  </xdr:twoCellAnchor>
  <xdr:twoCellAnchor editAs="oneCell">
    <xdr:from>
      <xdr:col>12</xdr:col>
      <xdr:colOff>314473</xdr:colOff>
      <xdr:row>27</xdr:row>
      <xdr:rowOff>104775</xdr:rowOff>
    </xdr:from>
    <xdr:to>
      <xdr:col>19</xdr:col>
      <xdr:colOff>551540</xdr:colOff>
      <xdr:row>46</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8544073" y="4733925"/>
          <a:ext cx="5037667" cy="3200400"/>
        </a:xfrm>
        <a:prstGeom prst="rect">
          <a:avLst/>
        </a:prstGeom>
      </xdr:spPr>
    </xdr:pic>
    <xdr:clientData/>
  </xdr:twoCellAnchor>
  <xdr:twoCellAnchor editAs="oneCell">
    <xdr:from>
      <xdr:col>19</xdr:col>
      <xdr:colOff>666750</xdr:colOff>
      <xdr:row>26</xdr:row>
      <xdr:rowOff>57467</xdr:rowOff>
    </xdr:from>
    <xdr:to>
      <xdr:col>27</xdr:col>
      <xdr:colOff>456270</xdr:colOff>
      <xdr:row>44</xdr:row>
      <xdr:rowOff>142316</xdr:rowOff>
    </xdr:to>
    <xdr:pic>
      <xdr:nvPicPr>
        <xdr:cNvPr id="6" name="图片 5"/>
        <xdr:cNvPicPr>
          <a:picLocks noChangeAspect="1"/>
        </xdr:cNvPicPr>
      </xdr:nvPicPr>
      <xdr:blipFill>
        <a:blip xmlns:r="http://schemas.openxmlformats.org/officeDocument/2006/relationships" r:embed="rId5"/>
        <a:stretch>
          <a:fillRect/>
        </a:stretch>
      </xdr:blipFill>
      <xdr:spPr>
        <a:xfrm>
          <a:off x="13696950" y="4515167"/>
          <a:ext cx="5275920" cy="3170949"/>
        </a:xfrm>
        <a:prstGeom prst="rect">
          <a:avLst/>
        </a:prstGeom>
      </xdr:spPr>
    </xdr:pic>
    <xdr:clientData/>
  </xdr:twoCellAnchor>
  <xdr:twoCellAnchor editAs="oneCell">
    <xdr:from>
      <xdr:col>13</xdr:col>
      <xdr:colOff>0</xdr:colOff>
      <xdr:row>1</xdr:row>
      <xdr:rowOff>0</xdr:rowOff>
    </xdr:from>
    <xdr:to>
      <xdr:col>20</xdr:col>
      <xdr:colOff>561975</xdr:colOff>
      <xdr:row>18</xdr:row>
      <xdr:rowOff>1576</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71450"/>
          <a:ext cx="5362575" cy="2916226"/>
        </a:xfrm>
        <a:prstGeom prst="rect">
          <a:avLst/>
        </a:prstGeom>
      </xdr:spPr>
    </xdr:pic>
    <xdr:clientData/>
  </xdr:twoCellAnchor>
  <xdr:twoCellAnchor editAs="oneCell">
    <xdr:from>
      <xdr:col>20</xdr:col>
      <xdr:colOff>666750</xdr:colOff>
      <xdr:row>0</xdr:row>
      <xdr:rowOff>142876</xdr:rowOff>
    </xdr:from>
    <xdr:to>
      <xdr:col>27</xdr:col>
      <xdr:colOff>458291</xdr:colOff>
      <xdr:row>9</xdr:row>
      <xdr:rowOff>123826</xdr:rowOff>
    </xdr:to>
    <xdr:pic>
      <xdr:nvPicPr>
        <xdr:cNvPr id="8" name="图片 7"/>
        <xdr:cNvPicPr>
          <a:picLocks noChangeAspect="1"/>
        </xdr:cNvPicPr>
      </xdr:nvPicPr>
      <xdr:blipFill>
        <a:blip xmlns:r="http://schemas.openxmlformats.org/officeDocument/2006/relationships" r:embed="rId7"/>
        <a:stretch>
          <a:fillRect/>
        </a:stretch>
      </xdr:blipFill>
      <xdr:spPr>
        <a:xfrm>
          <a:off x="14382750" y="142876"/>
          <a:ext cx="4592141" cy="1524000"/>
        </a:xfrm>
        <a:prstGeom prst="rect">
          <a:avLst/>
        </a:prstGeom>
      </xdr:spPr>
    </xdr:pic>
    <xdr:clientData/>
  </xdr:twoCellAnchor>
  <xdr:twoCellAnchor editAs="oneCell">
    <xdr:from>
      <xdr:col>20</xdr:col>
      <xdr:colOff>628649</xdr:colOff>
      <xdr:row>9</xdr:row>
      <xdr:rowOff>114300</xdr:rowOff>
    </xdr:from>
    <xdr:to>
      <xdr:col>27</xdr:col>
      <xdr:colOff>189696</xdr:colOff>
      <xdr:row>20</xdr:row>
      <xdr:rowOff>50549</xdr:rowOff>
    </xdr:to>
    <xdr:pic>
      <xdr:nvPicPr>
        <xdr:cNvPr id="9" name="图片 8"/>
        <xdr:cNvPicPr>
          <a:picLocks noChangeAspect="1"/>
        </xdr:cNvPicPr>
      </xdr:nvPicPr>
      <xdr:blipFill>
        <a:blip xmlns:r="http://schemas.openxmlformats.org/officeDocument/2006/relationships" r:embed="rId8"/>
        <a:stretch>
          <a:fillRect/>
        </a:stretch>
      </xdr:blipFill>
      <xdr:spPr>
        <a:xfrm>
          <a:off x="14344649" y="1657350"/>
          <a:ext cx="4361647" cy="1822199"/>
        </a:xfrm>
        <a:prstGeom prst="rect">
          <a:avLst/>
        </a:prstGeom>
      </xdr:spPr>
    </xdr:pic>
    <xdr:clientData/>
  </xdr:twoCellAnchor>
  <xdr:twoCellAnchor editAs="oneCell">
    <xdr:from>
      <xdr:col>27</xdr:col>
      <xdr:colOff>390525</xdr:colOff>
      <xdr:row>0</xdr:row>
      <xdr:rowOff>161925</xdr:rowOff>
    </xdr:from>
    <xdr:to>
      <xdr:col>35</xdr:col>
      <xdr:colOff>491413</xdr:colOff>
      <xdr:row>13</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8907125" y="161925"/>
          <a:ext cx="5587288" cy="2228850"/>
        </a:xfrm>
        <a:prstGeom prst="rect">
          <a:avLst/>
        </a:prstGeom>
      </xdr:spPr>
    </xdr:pic>
    <xdr:clientData/>
  </xdr:twoCellAnchor>
  <xdr:twoCellAnchor editAs="oneCell">
    <xdr:from>
      <xdr:col>12</xdr:col>
      <xdr:colOff>342900</xdr:colOff>
      <xdr:row>49</xdr:row>
      <xdr:rowOff>142875</xdr:rowOff>
    </xdr:from>
    <xdr:to>
      <xdr:col>17</xdr:col>
      <xdr:colOff>619125</xdr:colOff>
      <xdr:row>63</xdr:row>
      <xdr:rowOff>77939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572500" y="8543925"/>
          <a:ext cx="3705225" cy="2335364"/>
        </a:xfrm>
        <a:prstGeom prst="rect">
          <a:avLst/>
        </a:prstGeom>
      </xdr:spPr>
    </xdr:pic>
    <xdr:clientData/>
  </xdr:twoCellAnchor>
  <xdr:twoCellAnchor editAs="oneCell">
    <xdr:from>
      <xdr:col>12</xdr:col>
      <xdr:colOff>123825</xdr:colOff>
      <xdr:row>63</xdr:row>
      <xdr:rowOff>66675</xdr:rowOff>
    </xdr:from>
    <xdr:to>
      <xdr:col>19</xdr:col>
      <xdr:colOff>361950</xdr:colOff>
      <xdr:row>76</xdr:row>
      <xdr:rowOff>144882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353425" y="10868025"/>
          <a:ext cx="5038725" cy="2307057"/>
        </a:xfrm>
        <a:prstGeom prst="rect">
          <a:avLst/>
        </a:prstGeom>
      </xdr:spPr>
    </xdr:pic>
    <xdr:clientData/>
  </xdr:twoCellAnchor>
  <xdr:twoCellAnchor editAs="oneCell">
    <xdr:from>
      <xdr:col>19</xdr:col>
      <xdr:colOff>609599</xdr:colOff>
      <xdr:row>49</xdr:row>
      <xdr:rowOff>166727</xdr:rowOff>
    </xdr:from>
    <xdr:to>
      <xdr:col>26</xdr:col>
      <xdr:colOff>580160</xdr:colOff>
      <xdr:row>66</xdr:row>
      <xdr:rowOff>104259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3639799" y="8567777"/>
          <a:ext cx="4771161" cy="2852182"/>
        </a:xfrm>
        <a:prstGeom prst="rect">
          <a:avLst/>
        </a:prstGeom>
      </xdr:spPr>
    </xdr:pic>
    <xdr:clientData/>
  </xdr:twoCellAnchor>
  <xdr:twoCellAnchor editAs="oneCell">
    <xdr:from>
      <xdr:col>19</xdr:col>
      <xdr:colOff>571500</xdr:colOff>
      <xdr:row>67</xdr:row>
      <xdr:rowOff>2897</xdr:rowOff>
    </xdr:from>
    <xdr:to>
      <xdr:col>27</xdr:col>
      <xdr:colOff>465853</xdr:colOff>
      <xdr:row>85</xdr:row>
      <xdr:rowOff>161398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601700" y="11490047"/>
          <a:ext cx="5380753" cy="3244601"/>
        </a:xfrm>
        <a:prstGeom prst="rect">
          <a:avLst/>
        </a:prstGeom>
      </xdr:spPr>
    </xdr:pic>
    <xdr:clientData/>
  </xdr:twoCellAnchor>
  <xdr:twoCellAnchor editAs="oneCell">
    <xdr:from>
      <xdr:col>0</xdr:col>
      <xdr:colOff>0</xdr:colOff>
      <xdr:row>101</xdr:row>
      <xdr:rowOff>47625</xdr:rowOff>
    </xdr:from>
    <xdr:to>
      <xdr:col>12</xdr:col>
      <xdr:colOff>436943</xdr:colOff>
      <xdr:row>122</xdr:row>
      <xdr:rowOff>76200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17364075"/>
          <a:ext cx="8666543" cy="3629025"/>
        </a:xfrm>
        <a:prstGeom prst="rect">
          <a:avLst/>
        </a:prstGeom>
      </xdr:spPr>
    </xdr:pic>
    <xdr:clientData/>
  </xdr:twoCellAnchor>
  <xdr:twoCellAnchor editAs="oneCell">
    <xdr:from>
      <xdr:col>0</xdr:col>
      <xdr:colOff>38100</xdr:colOff>
      <xdr:row>123</xdr:row>
      <xdr:rowOff>152400</xdr:rowOff>
    </xdr:from>
    <xdr:to>
      <xdr:col>13</xdr:col>
      <xdr:colOff>164449</xdr:colOff>
      <xdr:row>146</xdr:row>
      <xdr:rowOff>114300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8100" y="21240750"/>
          <a:ext cx="9041749" cy="3905250"/>
        </a:xfrm>
        <a:prstGeom prst="rect">
          <a:avLst/>
        </a:prstGeom>
      </xdr:spPr>
    </xdr:pic>
    <xdr:clientData/>
  </xdr:twoCellAnchor>
  <xdr:twoCellAnchor editAs="oneCell">
    <xdr:from>
      <xdr:col>0</xdr:col>
      <xdr:colOff>0</xdr:colOff>
      <xdr:row>77</xdr:row>
      <xdr:rowOff>142874</xdr:rowOff>
    </xdr:from>
    <xdr:to>
      <xdr:col>12</xdr:col>
      <xdr:colOff>545408</xdr:colOff>
      <xdr:row>99</xdr:row>
      <xdr:rowOff>132737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13344524"/>
          <a:ext cx="8775008" cy="3761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13</xdr:col>
      <xdr:colOff>256029</xdr:colOff>
      <xdr:row>35</xdr:row>
      <xdr:rowOff>85018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9171429" cy="5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北京市朝阳区朝外大街乙6号5层0609办公用房房地产抵押价值预评估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受贵公司委托，我公司对北京市朝阳区朝外大街乙6号5层0609办公用房房地产抵押价值进行了预评估。</v>
      </c>
    </row>
    <row r="7" spans="1:2" s="1203" customFormat="1">
      <c r="A7" s="1201" t="s">
        <v>566</v>
      </c>
      <c r="B7" s="1202" t="str">
        <f>'预评函-1'!A7</f>
        <v>估价对象为北京市朝阳区朝外大街乙6号5层0609办公用房房地产，为所有。根据《国有土地使用证》[]，估价对象（分摊）出让国有建设用地使用权面积为0平方米，建筑面积为525.74平方米。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乙6号5层0609办公用房房地产,属开发建设的办公项目，该项目尚在开发建设中。根据《国有土地使用证》[]，估价对象（分摊）出让国有建设用地使用权面积为0平方米，规划建筑面积为525.74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1858</v>
      </c>
    </row>
    <row r="21" spans="1:2" s="1203" customFormat="1">
      <c r="A21" s="1201" t="s">
        <v>537</v>
      </c>
      <c r="B21" s="1202">
        <f ca="1">'预评函-2'!D7</f>
        <v>35335</v>
      </c>
    </row>
    <row r="22" spans="1:2" s="1203" customFormat="1">
      <c r="A22" s="1201" t="s">
        <v>538</v>
      </c>
      <c r="B22" s="1202" t="str">
        <f ca="1">'预评函-2'!D6</f>
        <v>壹仟捌佰伍拾捌万元整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1858</v>
      </c>
    </row>
    <row r="31" spans="1:2" s="1203" customFormat="1">
      <c r="A31" s="1201" t="s">
        <v>576</v>
      </c>
      <c r="B31" s="1202">
        <f ca="1">'预评函-2'!D15</f>
        <v>35335</v>
      </c>
    </row>
    <row r="32" spans="1:2" s="1203" customFormat="1">
      <c r="A32" s="1201" t="s">
        <v>543</v>
      </c>
      <c r="B32" s="1202" t="str">
        <f ca="1">'预评函-2'!D14</f>
        <v>壹仟捌佰伍拾捌万元整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北京市朝阳区朝外大街乙6号5层0609办公用房房地产</v>
      </c>
    </row>
    <row r="42" spans="1:2" s="1203" customFormat="1">
      <c r="A42" s="1201" t="s">
        <v>590</v>
      </c>
      <c r="B42" s="1202" t="str">
        <f>'预评函-3'!B2</f>
        <v>建筑面积</v>
      </c>
    </row>
    <row r="43" spans="1:2" s="1203" customFormat="1">
      <c r="A43" s="1201" t="s">
        <v>591</v>
      </c>
      <c r="B43" s="1202">
        <f>'预评函-3'!B4</f>
        <v>525.74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1328</v>
      </c>
    </row>
    <row r="48" spans="1:2" s="1203" customFormat="1">
      <c r="A48" s="1201" t="s">
        <v>549</v>
      </c>
      <c r="B48" s="1202">
        <f ca="1">'预评函-3'!E4</f>
        <v>25265</v>
      </c>
    </row>
    <row r="49" spans="1:2" s="1203" customFormat="1">
      <c r="A49" s="1201" t="s">
        <v>550</v>
      </c>
      <c r="B49" s="1202" t="str">
        <f ca="1">'预评函-3'!D5</f>
        <v>壹仟叁佰贰拾捌万元整</v>
      </c>
    </row>
    <row r="50" spans="1:2" s="1203" customFormat="1">
      <c r="A50" s="1201" t="s">
        <v>574</v>
      </c>
      <c r="B50" s="1202" t="str">
        <f>'预评函-3'!F2</f>
        <v>在建建筑物价值</v>
      </c>
    </row>
    <row r="51" spans="1:2" s="1203" customFormat="1">
      <c r="A51" s="1201" t="s">
        <v>551</v>
      </c>
      <c r="B51" s="1202">
        <f ca="1">'预评函-3'!F4</f>
        <v>529</v>
      </c>
    </row>
    <row r="52" spans="1:2" s="1203" customFormat="1">
      <c r="A52" s="1201" t="s">
        <v>552</v>
      </c>
      <c r="B52" s="1202">
        <f ca="1">'预评函-3'!G4</f>
        <v>10070</v>
      </c>
    </row>
    <row r="53" spans="1:2" s="1203" customFormat="1">
      <c r="A53" s="1201" t="s">
        <v>580</v>
      </c>
      <c r="B53" s="1202" t="str">
        <f ca="1">'预评函-3'!F5</f>
        <v>伍佰贰拾玖万元整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6" t="s">
        <v>2580</v>
      </c>
      <c r="J2" s="3516"/>
      <c r="K2" s="3516"/>
      <c r="L2" s="3516"/>
      <c r="M2" s="3516"/>
      <c r="N2" s="3516"/>
      <c r="O2" s="3516"/>
      <c r="P2" s="3516"/>
      <c r="Q2" s="3516"/>
      <c r="R2" s="3516"/>
    </row>
    <row r="3" spans="1:18">
      <c r="A3" s="3020" t="s">
        <v>2501</v>
      </c>
      <c r="B3" s="3021">
        <f>项目基本情况!D3</f>
        <v>45817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1.52</v>
      </c>
      <c r="D5" s="3025">
        <f>IF(ISERROR(ROUND(POWER(1+E5,A5-C5)*(POWER(1+E5,C5)-1)/(POWER(1+E5,A5)-1),3)),0,ROUND(POWER(1+E5,A5-C5)*(POWER(1+E5,C5)-1)/(POWER(1+E5,A5)-1),4))</f>
        <v>7.3099999999999998E-2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11.53</v>
      </c>
      <c r="D6" s="3025">
        <f>IF(ISERROR(ROUND(POWER(1+E6,A6-C6)*(POWER(1+E6,C6)-1)/(POWER(1+E6,A6)-1),3)),0,ROUND(POWER(1+E6,A6-C6)*(POWER(1+E6,C6)-1)/(POWER(1+E6,A6)-1),4))</f>
        <v>0.4234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1" sqref="B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北京市朝阳区朝外大街乙6号5层0609办公用房房地产抵押价值预评估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北京市朝阳区朝外大街乙6号5层0609办公用房房地产抵押价值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北京市朝阳区朝外大街乙6号5层0609办公用房房地产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t="s">
        <v>3416</v>
      </c>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52842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19.239999999999998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525.74</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0" t="s">
        <v>2214</v>
      </c>
      <c r="B27" s="320" t="s">
        <v>2215</v>
      </c>
      <c r="C27" s="2416" t="s">
        <v>3417</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0"/>
      <c r="B28" s="302" t="s">
        <v>2216</v>
      </c>
      <c r="C28" s="2418" t="s">
        <v>3418</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0"/>
      <c r="B29" s="302" t="s">
        <v>2217</v>
      </c>
      <c r="C29" s="2420" t="s">
        <v>3419</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1"/>
      <c r="B30" s="302" t="s">
        <v>2218</v>
      </c>
      <c r="C30" s="3542"/>
      <c r="D30" s="3543"/>
      <c r="E30" s="2664"/>
      <c r="F30" s="2664"/>
      <c r="G30" s="2664"/>
      <c r="H30" s="2664"/>
      <c r="I30" s="2664"/>
      <c r="J30" s="2439"/>
      <c r="K30" s="2616"/>
      <c r="L30" s="2613"/>
      <c r="M30" s="2613"/>
      <c r="N30" s="2439"/>
      <c r="O30" s="2450"/>
      <c r="P30" s="2439"/>
      <c r="Q30" s="2439"/>
      <c r="R30" s="2439"/>
      <c r="S30" s="2439"/>
      <c r="T30" s="2439"/>
      <c r="U30" s="2439"/>
      <c r="V30" s="2439"/>
    </row>
    <row r="31" spans="1:28">
      <c r="A31" s="3544" t="s">
        <v>2219</v>
      </c>
      <c r="B31" s="2422" t="s">
        <v>3420</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9" t="s">
        <v>2228</v>
      </c>
      <c r="T34" s="2428" t="str">
        <f>NUMBERSTRING(7-K34,1)&amp;"通"</f>
        <v>七通</v>
      </c>
      <c r="U34" s="2439"/>
      <c r="V34" s="2439"/>
    </row>
    <row r="35" spans="1:30">
      <c r="A35" s="2429"/>
      <c r="B35" s="3546" t="s">
        <v>2229</v>
      </c>
      <c r="C35" s="3546"/>
      <c r="D35" s="3546"/>
      <c r="E35" s="354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525.74</v>
      </c>
      <c r="H5" s="13">
        <f t="shared" ref="H5:AT5" si="0">SUM(H13:H656)</f>
        <v>525.74</v>
      </c>
      <c r="I5" s="13">
        <f t="shared" si="0"/>
        <v>525.74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525.74</v>
      </c>
      <c r="BA5" s="15">
        <f t="shared" si="1"/>
        <v>525.74</v>
      </c>
      <c r="BB5" s="15">
        <f t="shared" si="1"/>
        <v>525.74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0</v>
      </c>
      <c r="F13" s="29"/>
      <c r="G13" s="30">
        <f>H13+AC13+AT13</f>
        <v>525.74</v>
      </c>
      <c r="H13" s="17">
        <f>SUMIF(I$12:AB$12,"总值",I13:AB13)</f>
        <v>525.74</v>
      </c>
      <c r="I13" s="1626">
        <v>525.74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525.74</v>
      </c>
      <c r="BA13" s="13">
        <f>SUM(BB13:BK13)</f>
        <v>525.74</v>
      </c>
      <c r="BB13" s="13">
        <f>IF($D13="是",I13-J13,0)</f>
        <v>525.74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0</v>
      </c>
      <c r="E3" s="43">
        <f>'数据-基础表'!AZ5</f>
        <v>525.74</v>
      </c>
      <c r="F3" s="2659"/>
      <c r="G3" s="1145"/>
      <c r="H3" s="1026" t="s">
        <v>1106</v>
      </c>
      <c r="I3" s="855" t="e">
        <f>ROUND('数据-基础表'!B3/'数据-基础表'!A3,2)</f>
        <v>#DIV/0!</v>
      </c>
      <c r="J3" s="2659"/>
      <c r="K3" s="2659"/>
      <c r="L3" s="2659"/>
      <c r="M3" s="2659"/>
      <c r="N3" s="2661"/>
      <c r="O3" s="2659"/>
      <c r="P3" s="2659"/>
    </row>
    <row r="4" spans="1:16" ht="15">
      <c r="A4" s="3558"/>
      <c r="B4" s="3559"/>
      <c r="C4" s="356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1" t="s">
        <v>1111</v>
      </c>
      <c r="C6" s="3561"/>
      <c r="D6" s="45">
        <f>ROUND($D$3*E6/$E$3,2)</f>
        <v>0</v>
      </c>
      <c r="E6" s="46">
        <f>E3-E5</f>
        <v>525.74</v>
      </c>
      <c r="F6" s="2659"/>
      <c r="G6" s="2653" t="s">
        <v>1112</v>
      </c>
      <c r="H6" s="1146" t="s">
        <v>1113</v>
      </c>
      <c r="I6" s="2654" t="e">
        <f>ROUND(F31/D31,2)</f>
        <v>#DIV/0!</v>
      </c>
      <c r="J6" s="2659"/>
      <c r="K6" s="2659"/>
      <c r="L6" s="2659"/>
      <c r="M6" s="2659"/>
      <c r="N6" s="2659"/>
      <c r="O6" s="2659"/>
      <c r="P6" s="2659"/>
    </row>
    <row r="7" spans="1:16" ht="15.75" thickBot="1">
      <c r="A7" s="3553"/>
      <c r="B7" s="3554"/>
      <c r="C7" s="355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525.74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525.74</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525.74</v>
      </c>
      <c r="F19" s="2795">
        <f>'数据-基础表'!I13</f>
        <v>525.74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525.74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525.74</v>
      </c>
      <c r="F27" s="1140">
        <f>IF(SUM(F19:F26)=E8,SUM(F19:F26),"地上面积有误")</f>
        <v>525.74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525.74</v>
      </c>
      <c r="F31" s="677">
        <f>F27+F30</f>
        <v>525.74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S24" sqref="S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52842</v>
      </c>
      <c r="F6" s="64">
        <f>SUMIF(项目基本情况!C$12:I$12,C6,项目基本情况!C$15:I$15)</f>
        <v>19.239999999999998</v>
      </c>
      <c r="G6" s="65">
        <f>IF(ISERROR(ROUND(POWER(1+H6,D6-F6)*(POWER(1+H6,F6)-1)/(POWER(1+H6,D6)-1),3)),0,ROUND(POWER(1+H6,D6-F6)*(POWER(1+H6,F6)-1)/(POWER(1+H6,D6)-1),3))</f>
        <v>0.66700000000000004</v>
      </c>
      <c r="H6" s="732">
        <v>0.05</v>
      </c>
      <c r="I6" s="732">
        <v>5.5E-2</v>
      </c>
      <c r="J6" s="66">
        <v>7.0000000000000007E-2</v>
      </c>
      <c r="K6" s="1030">
        <f>SUMIF('数据-汇总表'!C$19:C$33,A6,'数据-汇总表'!E$19:E$33)</f>
        <v>525.74</v>
      </c>
      <c r="L6" s="733">
        <v>5800</v>
      </c>
      <c r="M6" s="67">
        <f t="shared" ref="M6:M14" si="0">ROUND(K6*L6/10000,0)</f>
        <v>305</v>
      </c>
      <c r="N6" s="731">
        <f>N21</f>
        <v>0.71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'比较法-租金办公'!C50</f>
        <v>5.2</v>
      </c>
      <c r="V6" s="70">
        <v>0.02</v>
      </c>
      <c r="W6" s="70">
        <v>0.1</v>
      </c>
      <c r="X6" s="1040"/>
      <c r="Y6" s="71">
        <f>N6</f>
        <v>0.71</v>
      </c>
      <c r="Z6" s="72"/>
      <c r="AA6" s="66"/>
      <c r="AB6" s="66"/>
      <c r="AC6" s="1040"/>
      <c r="AD6" s="73"/>
      <c r="AE6" s="1041">
        <f ca="1">IF(AN6="",0,SUMIF(INDIRECT("'"&amp;AN6&amp;"'"&amp;"!E:E"),$AE$5,INDIRECT("'"&amp;AN6&amp;"'"&amp;"!F:F")))</f>
        <v>19.239999999999998</v>
      </c>
      <c r="AF6" s="1348"/>
      <c r="AG6" s="138">
        <f>IF(AF6="",0,AE6-AF6)</f>
        <v>0</v>
      </c>
      <c r="AH6" s="74"/>
      <c r="AI6" s="76">
        <v>365</v>
      </c>
      <c r="AJ6" s="77"/>
      <c r="AK6" s="78">
        <v>3.0000000000000001E-3</v>
      </c>
      <c r="AL6" s="79">
        <v>1E-3</v>
      </c>
      <c r="AM6" s="80">
        <v>0.01</v>
      </c>
      <c r="AN6" s="1715" t="s">
        <v>3428</v>
      </c>
      <c r="AO6" s="52">
        <f ca="1">SUMIF(INDIRECT("'"&amp;AN6&amp;"'"&amp;"!A:A"),"总价",INDIRECT("'"&amp;AN6&amp;"'"&amp;"!B:B"))</f>
        <v>1154.5645999999999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0.66700000000000004</v>
      </c>
      <c r="H16" s="90">
        <f>ROUND(SUMPRODUCT(H6:H13,K6:K13)/SUMPRODUCT((H6:H13&gt;0)*(K6:K13)),3)</f>
        <v>0.05</v>
      </c>
      <c r="I16" s="91"/>
      <c r="J16" s="91"/>
      <c r="K16" s="92">
        <f>SUM(K6:K15)</f>
        <v>525.74</v>
      </c>
      <c r="L16" s="93">
        <f>ROUND(M16*10000/SUM(K6:K14),0)</f>
        <v>5801</v>
      </c>
      <c r="M16" s="93">
        <f>SUM(M6:M14)</f>
        <v>305</v>
      </c>
      <c r="N16" s="94">
        <f>ROUND(SUMPRODUCT(M6:M14,N6:N14)/M16,3)</f>
        <v>0.71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2002</v>
      </c>
      <c r="O18" s="2671"/>
      <c r="P18" s="2671"/>
      <c r="Q18" s="2671">
        <f>Q16/B20</f>
        <v>7.4999999999999997E-2</v>
      </c>
      <c r="R18" s="2671"/>
      <c r="S18" s="3814" t="s">
        <v>3472</v>
      </c>
      <c r="T18" s="2671">
        <f>'比较法-办公'!C50</f>
        <v>44251</v>
      </c>
      <c r="U18" s="3814"/>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814" t="s">
        <v>3425</v>
      </c>
      <c r="N19" s="2671">
        <f>ROUND(1-(1-0%)*(2025-N18)/60,2)</f>
        <v>0.62</v>
      </c>
      <c r="O19" s="2671"/>
      <c r="P19" s="2671"/>
      <c r="Q19" s="2671"/>
      <c r="R19" s="2671"/>
      <c r="S19" s="3814" t="s">
        <v>3473</v>
      </c>
      <c r="T19" s="2671">
        <f>U6*365/T18</f>
        <v>4.2891686063591783E-2</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3814" t="s">
        <v>3426</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814" t="s">
        <v>3427</v>
      </c>
      <c r="N21" s="2671">
        <f>ROUND((N19+N20)/2,2)</f>
        <v>0.71</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2.5000000000000001E-2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3816" t="s">
        <v>3429</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2286</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525.74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45817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1858</v>
      </c>
      <c r="C5" s="2512">
        <f ca="1">IF(B5=D14,结果表!H102,ROUND(B5*10000/$B$1,0))</f>
        <v>35335</v>
      </c>
      <c r="D5" s="2512" t="e">
        <f ca="1">ROUND(B5*10000/$B$2,0)</f>
        <v>#DIV/0!</v>
      </c>
      <c r="E5" s="2686"/>
      <c r="F5" s="2687"/>
      <c r="G5" s="2687"/>
      <c r="H5" s="2688"/>
      <c r="I5" s="2688"/>
      <c r="J5" s="2688"/>
      <c r="K5" s="2688"/>
    </row>
    <row r="6" spans="1:11" ht="16.5">
      <c r="A6" s="2512" t="s">
        <v>656</v>
      </c>
      <c r="B6" s="2512">
        <f ca="1">SUM(G14:G23)</f>
        <v>1858</v>
      </c>
      <c r="C6" s="2512">
        <f ca="1">IF(B6=G14,结果表!H108,ROUND(B6*10000/$B$1,0))</f>
        <v>35335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525.74</v>
      </c>
      <c r="C14" s="2518"/>
      <c r="D14" s="2518">
        <f ca="1">结果表!G19</f>
        <v>1858</v>
      </c>
      <c r="E14" s="2518">
        <f ca="1">结果表!G20</f>
        <v>35335</v>
      </c>
      <c r="F14" s="2518" t="e">
        <f ca="1">ROUND(D14*10000/C14,0)</f>
        <v>#DIV/0!</v>
      </c>
      <c r="G14" s="2518">
        <f ca="1">D14</f>
        <v>1858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K34" sqref="K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row>
    <row r="2" spans="1:12" ht="21.75" customHeight="1" thickBot="1">
      <c r="A2" s="3631" t="str">
        <f>项目基本情况!S2</f>
        <v>北京市朝阳区朝外大街乙6号5层0609办公用房房地产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3469</v>
      </c>
      <c r="D4" s="1756" t="s">
        <v>3428</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6</v>
      </c>
      <c r="D14" s="3625">
        <v>4</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6" t="s">
        <v>2131</v>
      </c>
      <c r="F18" s="3657"/>
      <c r="G18" s="3657"/>
      <c r="H18" s="3657"/>
      <c r="I18" s="3657"/>
      <c r="K18" s="302" t="s">
        <v>1289</v>
      </c>
      <c r="L18" s="302">
        <f>IF(C1="",'数据-汇总表'!E3,SUMIF(项目类型,C1,'数据-汇总表'!E17:E26)+SUMIF(项目类型,C1,'数据-汇总表'!I17:I26))</f>
        <v>525.74</v>
      </c>
      <c r="M18" s="302">
        <f>IF(C1="",'数据-汇总表'!E3,SUMIF(项目类型,C1,'数据-汇总表'!E17:E26))</f>
        <v>525.74</v>
      </c>
    </row>
    <row r="19" spans="1:36" ht="15">
      <c r="A19" s="1761" t="s">
        <v>1290</v>
      </c>
      <c r="B19" s="1762" t="s">
        <v>1291</v>
      </c>
      <c r="C19" s="134">
        <f ca="1">SUMIF(INDIRECT("'"&amp;C4&amp;"'"&amp;"!A:A"),结果表!B19,INDIRECT("'"&amp;C4&amp;"'"&amp;"!B:B"))</f>
        <v>2326.4521</v>
      </c>
      <c r="D19" s="135">
        <f ca="1">SUMIF(INDIRECT("'"&amp;D4&amp;"'"&amp;"!A:A"),结果表!B19,INDIRECT("'"&amp;D4&amp;"'"&amp;"!B:B"))</f>
        <v>1154.5645999999999</v>
      </c>
      <c r="E19" s="1761" t="s">
        <v>1292</v>
      </c>
      <c r="F19" s="1762" t="s">
        <v>1291</v>
      </c>
      <c r="G19" s="136">
        <f ca="1">ROUND(C19*$C$18+D19*$D$18,0)</f>
        <v>1858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44251</v>
      </c>
      <c r="D20" s="138">
        <f ca="1">SUMIF(INDIRECT("'"&amp;D4&amp;"'"&amp;"!A:A"),结果表!B20,INDIRECT("'"&amp;D4&amp;"'"&amp;"!B:B"))</f>
        <v>21961</v>
      </c>
      <c r="E20" s="1764"/>
      <c r="F20" s="1026" t="s">
        <v>1295</v>
      </c>
      <c r="G20" s="139">
        <f ca="1">ROUND(C20*$C$18+D20*$D$18,0)</f>
        <v>35335</v>
      </c>
      <c r="H20" s="808" t="s">
        <v>1296</v>
      </c>
      <c r="I20" s="129"/>
      <c r="J20" s="725">
        <v>35000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1.0150038378103745</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35335</v>
      </c>
      <c r="D32" s="1775" t="s">
        <v>3471</v>
      </c>
      <c r="E32" s="129"/>
      <c r="F32" s="129"/>
      <c r="G32" s="129"/>
      <c r="H32" s="129"/>
      <c r="I32" s="129"/>
    </row>
    <row r="33" spans="1:15" ht="15">
      <c r="A33" s="786" t="s">
        <v>1306</v>
      </c>
      <c r="B33" s="1776"/>
      <c r="C33" s="1777" t="s">
        <v>3470</v>
      </c>
      <c r="D33" s="1778" t="s">
        <v>3428</v>
      </c>
      <c r="E33" s="1779" t="s">
        <v>1307</v>
      </c>
      <c r="F33" s="1780" t="str">
        <f>IF(D32="楼面单价","取值（单价）","取值（总价）")</f>
        <v>取值（单价）</v>
      </c>
      <c r="G33" s="129"/>
      <c r="H33" s="129"/>
      <c r="I33" s="129"/>
    </row>
    <row r="34" spans="1:15" ht="15">
      <c r="A34" s="1781"/>
      <c r="B34" s="1782" t="s">
        <v>1308</v>
      </c>
      <c r="C34" s="148">
        <f ca="1">IF(C33="自定义",F34,C32-C35)</f>
        <v>25265</v>
      </c>
      <c r="D34" s="861">
        <f ca="1">IF(C33="自定义",ROUND(C34/C32,3),IF(C33="收益比率",SUMIF(INDIRECT("'"&amp;D33&amp;"'"&amp;"!b:b"),"土地收益比率",INDIRECT("'"&amp;D33&amp;"'"&amp;"!c:c")),SUMIF(INDIRECT("'"&amp;D33&amp;"'"&amp;"!b:b"),"土地成本比率",INDIRECT("'"&amp;D33&amp;"'"&amp;"!c:c"))))</f>
        <v>0.71500000000000008</v>
      </c>
      <c r="E34" s="1783" t="s">
        <v>1309</v>
      </c>
      <c r="F34" s="1330"/>
      <c r="G34" s="129"/>
      <c r="H34" s="129"/>
      <c r="I34" s="129"/>
    </row>
    <row r="35" spans="1:15" ht="15.75" thickBot="1">
      <c r="A35" s="1784"/>
      <c r="B35" s="1785" t="s">
        <v>1310</v>
      </c>
      <c r="C35" s="1170">
        <f ca="1">IF(C33="自定义",F35,ROUND(C32*D35,0))</f>
        <v>10070</v>
      </c>
      <c r="D35" s="1171">
        <f ca="1">IF(C33="自定义",ROUND(C35/C32,3),IF(C33="收益比率",SUMIF(INDIRECT("'"&amp;D33&amp;"'"&amp;"!b:b"),"建筑物收益比率",INDIRECT("'"&amp;D33&amp;"'"&amp;"!c:c")),SUMIF(INDIRECT("'"&amp;D33&amp;"'"&amp;"!b:b"),"建筑物成本比率",INDIRECT("'"&amp;D33&amp;"'"&amp;"!c:c"))))</f>
        <v>0.28499999999999998</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1858</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45817</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7" t="s">
        <v>1340</v>
      </c>
      <c r="L48" s="3567"/>
      <c r="M48" s="3570">
        <f ca="1">H101</f>
        <v>1858</v>
      </c>
      <c r="N48" s="3570"/>
      <c r="O48" s="3570"/>
    </row>
    <row r="49" spans="1:35" ht="25.5" customHeight="1">
      <c r="A49" s="2333" t="s">
        <v>1341</v>
      </c>
      <c r="B49" s="3615" t="s">
        <v>1342</v>
      </c>
      <c r="C49" s="3615"/>
      <c r="D49" s="1590">
        <v>0</v>
      </c>
      <c r="E49" s="324" t="s">
        <v>1343</v>
      </c>
      <c r="F49" s="2424" t="s">
        <v>28</v>
      </c>
      <c r="G49" s="3598"/>
      <c r="H49" s="2310" t="s">
        <v>2134</v>
      </c>
      <c r="I49" s="2311"/>
      <c r="J49" s="2523">
        <v>4</v>
      </c>
      <c r="K49" s="3567" t="str">
        <f>IF(项目基本情况!E8="房地产抵押价值","房地产抵押价值","抵押担保权已注销时的房地产抵押价值")</f>
        <v>房地产抵押价值</v>
      </c>
      <c r="L49" s="3567"/>
      <c r="M49" s="3570">
        <f ca="1">IF(项目基本情况!E8="房地产抵押价值",H107,H109)</f>
        <v>1858</v>
      </c>
      <c r="N49" s="3570"/>
      <c r="O49" s="3570"/>
    </row>
    <row r="50" spans="1:35" ht="25.5" customHeight="1">
      <c r="A50" s="2551"/>
      <c r="B50" s="3615" t="s">
        <v>1344</v>
      </c>
      <c r="C50" s="3615"/>
      <c r="D50" s="2552"/>
      <c r="E50" s="332"/>
      <c r="F50" s="2424"/>
      <c r="G50" s="3599"/>
      <c r="H50" s="2312" t="s">
        <v>2135</v>
      </c>
      <c r="I50" s="2311"/>
      <c r="J50" s="3566" t="s">
        <v>1345</v>
      </c>
      <c r="K50" s="3566"/>
      <c r="L50" s="3566"/>
      <c r="M50" s="3566"/>
      <c r="N50" s="3566"/>
      <c r="O50" s="3566"/>
    </row>
    <row r="51" spans="1:35" ht="20.45" customHeight="1">
      <c r="A51" s="2553"/>
      <c r="B51" s="3615" t="s">
        <v>1346</v>
      </c>
      <c r="C51" s="3615"/>
      <c r="D51" s="1087"/>
      <c r="E51" s="327"/>
      <c r="F51" s="2424"/>
      <c r="G51" s="3600"/>
      <c r="H51" s="2312" t="s">
        <v>2136</v>
      </c>
      <c r="I51" s="2311"/>
      <c r="J51" s="2524" t="s">
        <v>1347</v>
      </c>
      <c r="K51" s="3567" t="s">
        <v>1348</v>
      </c>
      <c r="L51" s="3567"/>
      <c r="M51" s="2524" t="s">
        <v>1349</v>
      </c>
      <c r="N51" s="2524" t="s">
        <v>1350</v>
      </c>
      <c r="O51" s="2524" t="s">
        <v>1351</v>
      </c>
    </row>
    <row r="52" spans="1:35" ht="24" customHeight="1">
      <c r="A52" s="2335" t="s">
        <v>1352</v>
      </c>
      <c r="B52" s="3615" t="s">
        <v>1353</v>
      </c>
      <c r="C52" s="3615"/>
      <c r="D52" s="1087">
        <f ca="1">ROUND(D45*'数据-取费表'!B41/(1+'数据-取费表'!C42),0)</f>
        <v>99</v>
      </c>
      <c r="E52" s="2334" t="s">
        <v>1354</v>
      </c>
      <c r="F52" s="2554">
        <f>'数据-取费表'!B41</f>
        <v>5.6000000000000001E-2</v>
      </c>
      <c r="G52" s="2555"/>
      <c r="H52" s="2544"/>
      <c r="I52" s="1807"/>
      <c r="J52" s="2523">
        <v>1</v>
      </c>
      <c r="K52" s="3592" t="s">
        <v>1355</v>
      </c>
      <c r="L52" s="3592"/>
      <c r="M52" s="2525" t="b">
        <f>D48</f>
        <v>0</v>
      </c>
      <c r="N52" s="2523" t="str">
        <f>E48</f>
        <v>销售额×税（费）率</v>
      </c>
      <c r="O52" s="2526">
        <f>F48</f>
        <v>5.6000000000000001E-2</v>
      </c>
    </row>
    <row r="53" spans="1:35" ht="12" customHeight="1">
      <c r="A53" s="2335" t="s">
        <v>1356</v>
      </c>
      <c r="B53" s="3616" t="s">
        <v>2291</v>
      </c>
      <c r="C53" s="3617"/>
      <c r="D53" s="1087">
        <f ca="1">ROUND(D45*'数据-取费表'!B41/(1+'数据-取费表'!C42),0)</f>
        <v>99</v>
      </c>
      <c r="E53" s="2334" t="s">
        <v>1354</v>
      </c>
      <c r="F53" s="2554">
        <f>'数据-取费表'!B41</f>
        <v>5.6000000000000001E-2</v>
      </c>
      <c r="G53" s="2555"/>
      <c r="H53" s="2544"/>
      <c r="I53" s="1807"/>
      <c r="J53" s="2523">
        <v>2</v>
      </c>
      <c r="K53" s="3592" t="s">
        <v>1357</v>
      </c>
      <c r="L53" s="3592"/>
      <c r="M53" s="2525">
        <f t="shared" ref="M53:O54" ca="1" si="0">D55</f>
        <v>1</v>
      </c>
      <c r="N53" s="2523" t="str">
        <f t="shared" si="0"/>
        <v>销售额×税（费）率</v>
      </c>
      <c r="O53" s="2526" t="str">
        <f t="shared" si="0"/>
        <v>免征</v>
      </c>
    </row>
    <row r="54" spans="1:35" ht="12" customHeight="1">
      <c r="A54" s="2335" t="s">
        <v>1358</v>
      </c>
      <c r="B54" s="3616" t="s">
        <v>2292</v>
      </c>
      <c r="C54" s="3617"/>
      <c r="D54" s="1087">
        <f ca="1">C68</f>
        <v>99</v>
      </c>
      <c r="E54" s="327" t="s">
        <v>1359</v>
      </c>
      <c r="F54" s="2554">
        <f>'数据-取费表'!B41</f>
        <v>5.6000000000000001E-2</v>
      </c>
      <c r="G54" s="2555"/>
      <c r="H54" s="2556"/>
      <c r="I54" s="1807"/>
      <c r="J54" s="2523">
        <v>3</v>
      </c>
      <c r="K54" s="3592" t="s">
        <v>1360</v>
      </c>
      <c r="L54" s="3592"/>
      <c r="M54" s="2525">
        <f t="shared" ca="1" si="0"/>
        <v>1052</v>
      </c>
      <c r="N54" s="2523" t="str">
        <f t="shared" si="0"/>
        <v>增值额×税（费）率</v>
      </c>
      <c r="O54" s="2527" t="str">
        <f t="shared" si="0"/>
        <v>免征</v>
      </c>
    </row>
    <row r="55" spans="1:35" ht="24" customHeight="1">
      <c r="A55" s="3652" t="s">
        <v>1361</v>
      </c>
      <c r="B55" s="3630"/>
      <c r="C55" s="3630"/>
      <c r="D55" s="2324">
        <f ca="1">IF(H55="个人住宅",0,ROUND(D45*I55,0))</f>
        <v>1</v>
      </c>
      <c r="E55" s="2334" t="s">
        <v>1362</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f ca="1">D59</f>
        <v>18</v>
      </c>
      <c r="N55" s="2040" t="str">
        <f>E59</f>
        <v>差额计税</v>
      </c>
      <c r="O55" s="2529">
        <f>F59</f>
        <v>0.01</v>
      </c>
    </row>
    <row r="56" spans="1:35" ht="24.75">
      <c r="A56" s="3652" t="s">
        <v>1363</v>
      </c>
      <c r="B56" s="3630"/>
      <c r="C56" s="3630"/>
      <c r="D56" s="2324">
        <f ca="1">IF(H56="个人住宅",D57,D58)</f>
        <v>1052</v>
      </c>
      <c r="E56" s="2334" t="s">
        <v>1364</v>
      </c>
      <c r="F56" s="2554" t="str">
        <f>IF(H56="正常",F58,"免征")</f>
        <v>免征</v>
      </c>
      <c r="G56" s="2557" t="s">
        <v>1365</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5</v>
      </c>
      <c r="K57" s="3592" t="s">
        <v>1367</v>
      </c>
      <c r="L57" s="2530" t="s">
        <v>1368</v>
      </c>
      <c r="M57" s="2531"/>
      <c r="N57" s="2532">
        <f ca="1">SUMIF(M52:M56,"&lt;9e307")</f>
        <v>1071</v>
      </c>
      <c r="O57" s="2533"/>
      <c r="P57" s="2690">
        <f ca="1">N57/M49</f>
        <v>0.57642626480086112</v>
      </c>
    </row>
    <row r="58" spans="1:35" ht="24.75">
      <c r="A58" s="2335" t="s">
        <v>1352</v>
      </c>
      <c r="B58" s="3616" t="s">
        <v>1369</v>
      </c>
      <c r="C58" s="3615"/>
      <c r="D58" s="2324">
        <f ca="1">IF(H58="转让取得",C81,C97)</f>
        <v>1052</v>
      </c>
      <c r="E58" s="2334" t="s">
        <v>1364</v>
      </c>
      <c r="F58" s="302" t="s">
        <v>28</v>
      </c>
      <c r="G58" s="2555"/>
      <c r="H58" s="2558"/>
      <c r="I58" s="1808"/>
      <c r="J58" s="3592"/>
      <c r="K58" s="3592"/>
      <c r="L58" s="2530" t="s">
        <v>1370</v>
      </c>
      <c r="M58" s="2534"/>
      <c r="N58" s="2535" t="str">
        <f ca="1">NUMBERSTRING(INT(N57*10000),2)&amp;"元整"</f>
        <v>壹仟零柒拾壹万元整</v>
      </c>
      <c r="O58" s="2536"/>
    </row>
    <row r="59" spans="1:35" ht="24.75" thickBot="1">
      <c r="A59" s="3596" t="s">
        <v>1371</v>
      </c>
      <c r="B59" s="3597"/>
      <c r="C59" s="3597"/>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4">
        <f>J57+1</f>
        <v>6</v>
      </c>
      <c r="K59" s="3592" t="s">
        <v>1372</v>
      </c>
      <c r="L59" s="2523" t="s">
        <v>1368</v>
      </c>
      <c r="M59" s="2537"/>
      <c r="N59" s="2538">
        <f ca="1">M49-N57</f>
        <v>787</v>
      </c>
      <c r="O59" s="2539"/>
    </row>
    <row r="60" spans="1:35" ht="12" customHeight="1">
      <c r="A60" s="1809"/>
      <c r="B60" s="1747"/>
      <c r="C60" s="1747"/>
      <c r="D60" s="1747"/>
      <c r="E60" s="1578"/>
      <c r="F60" s="1808"/>
      <c r="G60" s="1808"/>
      <c r="H60" s="1810"/>
      <c r="I60" s="129"/>
      <c r="J60" s="3595"/>
      <c r="K60" s="3592"/>
      <c r="L60" s="2530" t="s">
        <v>1370</v>
      </c>
      <c r="M60" s="2534"/>
      <c r="N60" s="2535" t="str">
        <f ca="1">NUMBERSTRING(INT(N59*10000),2)&amp;"元整"</f>
        <v>柒佰捌拾柒万元整</v>
      </c>
      <c r="O60" s="2536"/>
    </row>
    <row r="61" spans="1:35" ht="13.5" thickBot="1">
      <c r="A61" s="3651" t="s">
        <v>1373</v>
      </c>
      <c r="B61" s="3651"/>
      <c r="C61" s="3651"/>
      <c r="D61" s="3651"/>
      <c r="E61" s="3651"/>
      <c r="F61" s="1808"/>
      <c r="G61" s="1808"/>
      <c r="H61" s="1810"/>
      <c r="I61" s="129"/>
      <c r="J61" s="2523">
        <f>J59+1</f>
        <v>7</v>
      </c>
      <c r="K61" s="3592" t="s">
        <v>1374</v>
      </c>
      <c r="L61" s="3592"/>
      <c r="M61" s="2540"/>
      <c r="N61" s="2541">
        <f ca="1">ROUND(N59*10000/'数据-汇总表'!E3,0)</f>
        <v>14969</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f ca="1">ROUND((C64+C65)/(1+'数据-取费表'!C42),0)</f>
        <v>1770</v>
      </c>
      <c r="D63" s="167"/>
      <c r="E63" s="168"/>
      <c r="F63" s="1808"/>
      <c r="G63" s="1808"/>
      <c r="H63" s="1810"/>
      <c r="I63" s="129"/>
      <c r="J63" s="3575" t="s">
        <v>1379</v>
      </c>
      <c r="K63" s="1332" t="s">
        <v>1380</v>
      </c>
      <c r="L63" s="1332">
        <f ca="1">IF(M49&gt;10000,M49*0.5%,IF(AND(M49&gt;1000,M49&lt;=10000),M49*1%,IF(AND(M49&gt;100,M49&lt;=1000),M49*3%,IF(AND(M49&gt;10,M49&lt;=100),M49*5%,M49*8%))))</f>
        <v>18.580000000000002</v>
      </c>
      <c r="M63" s="302">
        <f ca="1">ROUND(L63,1)</f>
        <v>18.600000000000001</v>
      </c>
      <c r="N63" s="2543"/>
      <c r="Z63" s="1752"/>
      <c r="AI63" s="1753"/>
    </row>
    <row r="64" spans="1:35" ht="14.25" customHeight="1">
      <c r="A64" s="169" t="s">
        <v>325</v>
      </c>
      <c r="B64" s="170" t="s">
        <v>1381</v>
      </c>
      <c r="C64" s="2565">
        <f ca="1">D45</f>
        <v>1858</v>
      </c>
      <c r="D64" s="170" t="s">
        <v>26</v>
      </c>
      <c r="E64" s="172"/>
      <c r="F64" s="1808"/>
      <c r="G64" s="1808"/>
      <c r="H64" s="1810"/>
      <c r="I64" s="129"/>
      <c r="J64" s="3575"/>
      <c r="K64" s="1332" t="s">
        <v>1382</v>
      </c>
      <c r="L64" s="1332">
        <f ca="1">IF(M49&gt;2000,M49*0.5%,IF(AND(M49&gt;1000,M49&lt;=2000),M49*0.6%,IF(AND(M49&gt;500,M49&lt;=1000),M49*0.7%,IF(AND(M49&gt;200,M49&lt;=500),M49*0.8%,IF(AND(M49&gt;100,M49&lt;=200),M49*0.9%,IF(AND(M49&gt;50,M49&lt;=100),M49*1%,IF(AND(M49&gt;20,M49&lt;=50),M49*1.5%,IF(AND(M49&gt;10,M49&lt;=20),M49*2%,IF(AND(M49&gt;1,M49&lt;=10),M49*2.5%)))))))))</f>
        <v>11.148</v>
      </c>
      <c r="M64" s="302">
        <f t="shared" ref="M64:M65" ca="1" si="1">ROUND(L64,1)</f>
        <v>11.1</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f ca="1">IF(M49&gt;1000,M49*0.1%,IF(AND(M49&gt;500,M49&lt;=1000),M49*0.5%,IF(AND(M49&gt;50,M49&lt;=500),M49*1%,IF(AND(M49&gt;1,M49&lt;=50),M49*1.5%))))</f>
        <v>1.8580000000000001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575"/>
      <c r="K66" s="1332" t="s">
        <v>1387</v>
      </c>
      <c r="L66" s="1332">
        <f ca="1">M49*0.5%</f>
        <v>9.2900000000000009</v>
      </c>
      <c r="M66" s="302">
        <f ca="1">IF(L66&gt;0.5,0.5,ROUND(L66,0))</f>
        <v>0.5</v>
      </c>
      <c r="N66" s="2544" t="s">
        <v>1388</v>
      </c>
      <c r="Z66" s="1752"/>
      <c r="AI66" s="1753"/>
    </row>
    <row r="67" spans="1:35" ht="14.25" customHeight="1">
      <c r="A67" s="173" t="s">
        <v>328</v>
      </c>
      <c r="B67" s="174" t="s">
        <v>1389</v>
      </c>
      <c r="C67" s="2568">
        <f ca="1">C63-C66</f>
        <v>1770</v>
      </c>
      <c r="D67" s="170" t="s">
        <v>26</v>
      </c>
      <c r="E67" s="172"/>
      <c r="F67" s="1808"/>
      <c r="G67" s="1808"/>
      <c r="H67" s="1810"/>
      <c r="I67" s="129"/>
      <c r="J67" s="3575"/>
      <c r="K67" s="1332" t="s">
        <v>1390</v>
      </c>
      <c r="L67" s="1332">
        <f ca="1">IF(M49&gt;=10000,(8.25+(M49-10000)*0.01%),IF(AND(M49&gt;=8000,M49&lt;10000),(7.85+(M49-8000)*0.02%),IF(AND(M49&gt;=5000,M49&lt;8000),(6.65+(M49-5000)*0.04%),IF(AND(M49&gt;=2000,M49&lt;5000),(4.25+(PM49-2000)*0.08%),IF(AND(M49&gt;=1000,M49&lt;2000),(2.75+(M49-1000)*0.15%),IF(AND(M49&gt;=100,M49&lt;1000),(0.5+(M49-100)*0.25%),IF(AND(M49&gt;0,M49&lt;100),M49*0.5%)))))))</f>
        <v>4.0369999999999999</v>
      </c>
      <c r="M67" s="302">
        <f ca="1">ROUND(L67*0.9,1)</f>
        <v>3.6</v>
      </c>
      <c r="N67" s="2543"/>
      <c r="Z67" s="1752"/>
      <c r="AI67" s="1753"/>
    </row>
    <row r="68" spans="1:35" ht="14.25" customHeight="1" thickBot="1">
      <c r="A68" s="176" t="s">
        <v>329</v>
      </c>
      <c r="B68" s="177" t="s">
        <v>1391</v>
      </c>
      <c r="C68" s="2569">
        <f ca="1">IF(C67&lt;=0,0,ROUND(C67*D68,0))</f>
        <v>99</v>
      </c>
      <c r="D68" s="2570">
        <f>'数据-取费表'!B41</f>
        <v>5.6000000000000001E-2</v>
      </c>
      <c r="E68" s="178"/>
      <c r="F68" s="1808"/>
      <c r="G68" s="1808"/>
      <c r="H68" s="1810"/>
      <c r="I68" s="129"/>
      <c r="J68" s="3575"/>
      <c r="K68" s="1332" t="s">
        <v>1392</v>
      </c>
      <c r="L68" s="1332">
        <f ca="1">IF(M49&gt;10000,M49*0.5%,IF(AND(M49&gt;5000,M49&lt;=10000),M49*1%,IF(AND(M49&gt;1000,M49&lt;=5000),M49*2%,IF(AND(M49&gt;200,M49&lt;=1000),M49*3%,M49*5%))))</f>
        <v>37.160000000000004</v>
      </c>
      <c r="M68" s="302">
        <f ca="1">ROUND(L68,1)</f>
        <v>37.200000000000003</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f ca="1">ROUND(SUM(M63:M68),0)</f>
        <v>73</v>
      </c>
      <c r="N69" s="2545">
        <f ca="1">M69/M49</f>
        <v>3.9289558665231435E-2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159.90909090909091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1052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2129</v>
      </c>
      <c r="H90" s="357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159.90909090909091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1052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93"/>
      <c r="E100" s="3559" t="s">
        <v>1429</v>
      </c>
      <c r="F100" s="3559"/>
      <c r="G100" s="3559"/>
      <c r="H100" s="3593"/>
      <c r="I100" s="129"/>
    </row>
    <row r="101" spans="1:35" ht="18.75" customHeight="1">
      <c r="A101" s="3601" t="s">
        <v>1430</v>
      </c>
      <c r="B101" s="3602"/>
      <c r="C101" s="2585" t="str">
        <f>C4</f>
        <v>比较法-办公</v>
      </c>
      <c r="D101" s="2586" t="str">
        <f>D4</f>
        <v>收益法 (元)</v>
      </c>
      <c r="E101" s="3571" t="s">
        <v>1431</v>
      </c>
      <c r="F101" s="3572"/>
      <c r="G101" s="1827" t="s">
        <v>1432</v>
      </c>
      <c r="H101" s="2595">
        <f ca="1">H118</f>
        <v>1858</v>
      </c>
      <c r="I101" s="129"/>
    </row>
    <row r="102" spans="1:35" ht="18.75" customHeight="1">
      <c r="A102" s="3603" t="s">
        <v>1433</v>
      </c>
      <c r="B102" s="2584" t="s">
        <v>1432</v>
      </c>
      <c r="C102" s="2585">
        <f ca="1">IF(D32="楼面单价",ROUND(C19,0),C19)</f>
        <v>2326</v>
      </c>
      <c r="D102" s="2586">
        <f ca="1">IF(D32="楼面单价",ROUND(D19,0),D19)</f>
        <v>1155</v>
      </c>
      <c r="E102" s="3571"/>
      <c r="F102" s="3572"/>
      <c r="G102" s="1827" t="s">
        <v>1434</v>
      </c>
      <c r="H102" s="2555">
        <f ca="1">I118</f>
        <v>35335</v>
      </c>
      <c r="I102" s="129"/>
    </row>
    <row r="103" spans="1:35" ht="42.75" customHeight="1">
      <c r="A103" s="3603"/>
      <c r="B103" s="2584" t="s">
        <v>1434</v>
      </c>
      <c r="C103" s="2587">
        <f ca="1">C20</f>
        <v>44251</v>
      </c>
      <c r="D103" s="2588">
        <f ca="1">D20</f>
        <v>21961</v>
      </c>
      <c r="E103" s="3564" t="s">
        <v>1435</v>
      </c>
      <c r="F103" s="3565"/>
      <c r="G103" s="1828" t="s">
        <v>1436</v>
      </c>
      <c r="H103" s="2595">
        <f>IF(D36="正常操作",H104+H105+H106,H105+H106)</f>
        <v>0</v>
      </c>
      <c r="I103" s="129"/>
    </row>
    <row r="104" spans="1:35" ht="18.75" customHeight="1">
      <c r="A104" s="3603" t="s">
        <v>1437</v>
      </c>
      <c r="B104" s="2589" t="s">
        <v>1432</v>
      </c>
      <c r="C104" s="2590">
        <f ca="1">H118</f>
        <v>1858</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35335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f ca="1">IF(E107="——","——",H101-H103)</f>
        <v>1858</v>
      </c>
      <c r="I107" s="129"/>
    </row>
    <row r="108" spans="1:35" ht="18.75" customHeight="1">
      <c r="A108" s="129"/>
      <c r="B108" s="129"/>
      <c r="C108" s="129"/>
      <c r="D108" s="129"/>
      <c r="E108" s="3604"/>
      <c r="F108" s="3572"/>
      <c r="G108" s="1827" t="s">
        <v>1434</v>
      </c>
      <c r="H108" s="2555">
        <f ca="1">IF(H107=H101,H102,ROUND(H107*10000/'数据-汇总表'!E3,0))</f>
        <v>35335</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06"/>
      <c r="F112" s="3607"/>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北京市朝阳区朝外大街乙6号5层0609办公用房房地产</v>
      </c>
      <c r="B118" s="2329">
        <f>M18</f>
        <v>525.74</v>
      </c>
      <c r="C118" s="2329">
        <f>M19</f>
        <v>0</v>
      </c>
      <c r="D118" s="2329">
        <f ca="1">ROUND(IF(D32="总价",C34,E118*B118/10000),0)</f>
        <v>1328</v>
      </c>
      <c r="E118" s="2329">
        <f ca="1">ROUND(IF(C33="自定义",IF(D32="楼面单价",C34,D118*10000/B118),I118-G118),0)</f>
        <v>25265</v>
      </c>
      <c r="F118" s="2329">
        <f ca="1">ROUND(IF(D32="总价",C35,G118*B118/10000),0)</f>
        <v>529</v>
      </c>
      <c r="G118" s="2329">
        <f ca="1">ROUND(IF(D32="楼面单价",C35,F118*10000/B118),0)</f>
        <v>10070</v>
      </c>
      <c r="H118" s="2329">
        <f ca="1">ROUND(IF(D32="总价",C32,I118*B118/10000),0)</f>
        <v>1858</v>
      </c>
      <c r="I118" s="2329">
        <f ca="1">ROUND(IF(D32="楼面单价",C32,H118*10000/B118),0)</f>
        <v>35335</v>
      </c>
    </row>
    <row r="119" spans="1:27" ht="18.75" customHeight="1">
      <c r="A119" s="3579" t="s">
        <v>1452</v>
      </c>
      <c r="B119" s="3579"/>
      <c r="C119" s="3579"/>
      <c r="D119" s="3585" t="str">
        <f ca="1">NUMBERSTRING(INT(D118*10000),2)&amp;"元整"</f>
        <v>壹仟叁佰贰拾捌万元整</v>
      </c>
      <c r="E119" s="3586"/>
      <c r="F119" s="3585" t="str">
        <f ca="1">NUMBERSTRING(INT(F118*10000),2)&amp;"元整"</f>
        <v>伍佰贰拾玖万元整</v>
      </c>
      <c r="G119" s="3586"/>
      <c r="H119" s="3585" t="str">
        <f ca="1">NUMBERSTRING(INT(H118*10000),2)&amp;"元整"</f>
        <v>壹仟捌佰伍拾捌万元整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1858</v>
      </c>
      <c r="E122" s="3581"/>
      <c r="F122" s="3581"/>
      <c r="G122" s="3581"/>
      <c r="H122" s="3581"/>
      <c r="I122" s="3582"/>
      <c r="AA122" s="725"/>
    </row>
    <row r="123" spans="1:27" ht="18.75" customHeight="1">
      <c r="A123" s="3579" t="s">
        <v>1452</v>
      </c>
      <c r="B123" s="3579"/>
      <c r="C123" s="3579"/>
      <c r="D123" s="3585" t="str">
        <f ca="1">NUMBERSTRING(INT(D122*10000),2)&amp;"元整"</f>
        <v>壹仟捌佰伍拾捌万元整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525.74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v>
      </c>
      <c r="D19" s="849">
        <f ca="1">D9+D10</f>
        <v>525.74</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305</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525.74</v>
      </c>
      <c r="E37" s="249">
        <f>'数据-取费表'!B35</f>
        <v>200</v>
      </c>
      <c r="F37" s="259"/>
      <c r="G37" s="261" t="s">
        <v>1532</v>
      </c>
    </row>
    <row r="38" spans="1:7" ht="13.5" customHeight="1">
      <c r="A38" s="780" t="s">
        <v>354</v>
      </c>
      <c r="B38" s="215" t="s">
        <v>1533</v>
      </c>
      <c r="C38" s="220">
        <f ca="1">ROUND(C34*F38,0)</f>
        <v>8</v>
      </c>
      <c r="D38" s="220"/>
      <c r="E38" s="220"/>
      <c r="F38" s="259">
        <f>'数据-取费表'!B36</f>
        <v>2.5000000000000001E-2</v>
      </c>
      <c r="G38" s="219" t="s">
        <v>1528</v>
      </c>
    </row>
    <row r="39" spans="1:7" s="214" customFormat="1" ht="13.5" customHeight="1">
      <c r="A39" s="255" t="s">
        <v>1534</v>
      </c>
      <c r="B39" s="210" t="s">
        <v>1535</v>
      </c>
      <c r="C39" s="232">
        <f ca="1">ROUND(C33*F20,0)</f>
        <v>10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5.9999999999999995E-4</v>
      </c>
      <c r="D44" s="238"/>
      <c r="E44" s="238"/>
      <c r="F44" s="239"/>
      <c r="G44" s="3660"/>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445</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316</v>
      </c>
      <c r="D51" s="232"/>
      <c r="E51" s="232"/>
      <c r="F51" s="264"/>
      <c r="G51" s="234" t="s">
        <v>1560</v>
      </c>
    </row>
    <row r="52" spans="1:7" s="208" customFormat="1" ht="16.5" thickBot="1">
      <c r="A52" s="265" t="s">
        <v>1561</v>
      </c>
      <c r="B52" s="266"/>
      <c r="C52" s="267">
        <f ca="1">C31+C51</f>
        <v>331</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北京市朝阳区朝外大街乙6号5层0609办公用房房地产抵押价值预评估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344.65570000000002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105148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105148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105148</v>
      </c>
      <c r="D10" s="845">
        <f ca="1">IF(B1="",'数据-汇总表'!E6,IF(INDIRECT("'数据-取费表'!c"&amp;$G$1)="住宅",INDIRECT("'数据-取费表'!s"&amp;$G$1),INDIRECT("'数据-取费表'!k"&amp;$G$1)+INDIRECT("'数据-取费表'!s"&amp;$G$1)))</f>
        <v>525.74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105148</v>
      </c>
      <c r="D19" s="849">
        <f ca="1">D9+D10</f>
        <v>525.74</v>
      </c>
      <c r="E19" s="211">
        <f>'数据-取费表'!B31</f>
        <v>200</v>
      </c>
      <c r="F19" s="231"/>
      <c r="G19" s="1856"/>
    </row>
    <row r="20" spans="1:7" s="214" customFormat="1" ht="13.5" customHeight="1">
      <c r="A20" s="255" t="s">
        <v>1574</v>
      </c>
      <c r="B20" s="210" t="s">
        <v>1575</v>
      </c>
      <c r="C20" s="232">
        <f ca="1">ROUND((C5+C19)*F20,0)</f>
        <v>6309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12997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6404</v>
      </c>
      <c r="D24" s="238"/>
      <c r="E24" s="238"/>
      <c r="F24" s="239"/>
      <c r="G24" s="240" t="s">
        <v>1586</v>
      </c>
    </row>
    <row r="25" spans="1:7" s="214" customFormat="1" ht="24">
      <c r="A25" s="780" t="s">
        <v>1476</v>
      </c>
      <c r="B25" s="215" t="s">
        <v>1587</v>
      </c>
      <c r="C25" s="1128">
        <f ca="1">ROUND(IF('数据-取费表'!B22&lt;=1,C20*F22*'数据-取费表'!B22/2,C20*(POWER((1+F22),'数据-取费表'!B22/2)-1)),0)</f>
        <v>189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32491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32491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283927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3383137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3049292</v>
      </c>
      <c r="D34" s="217"/>
      <c r="E34" s="220"/>
      <c r="F34" s="257"/>
      <c r="G34" s="219"/>
    </row>
    <row r="35" spans="1:7" ht="13.5" customHeight="1">
      <c r="A35" s="780" t="s">
        <v>351</v>
      </c>
      <c r="B35" s="215" t="s">
        <v>1527</v>
      </c>
      <c r="C35" s="220">
        <f ca="1">ROUND(C34*F35,0)</f>
        <v>152465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105148</v>
      </c>
      <c r="D37" s="217">
        <f ca="1">D19</f>
        <v>525.74</v>
      </c>
      <c r="E37" s="249">
        <f>'数据-取费表'!B35</f>
        <v>200</v>
      </c>
      <c r="F37" s="259"/>
      <c r="G37" s="261"/>
    </row>
    <row r="38" spans="1:7" ht="13.5" customHeight="1">
      <c r="A38" s="780" t="s">
        <v>354</v>
      </c>
      <c r="B38" s="215" t="s">
        <v>1533</v>
      </c>
      <c r="C38" s="220">
        <f ca="1">ROUND(C34*F38,0)</f>
        <v>76232</v>
      </c>
      <c r="D38" s="220"/>
      <c r="E38" s="220"/>
      <c r="F38" s="259">
        <f>'数据-取费表'!B36</f>
        <v>2.5000000000000001E-2</v>
      </c>
      <c r="G38" s="219" t="s">
        <v>1528</v>
      </c>
    </row>
    <row r="39" spans="1:7" s="214" customFormat="1" ht="13.5" customHeight="1">
      <c r="A39" s="255" t="s">
        <v>1534</v>
      </c>
      <c r="B39" s="210" t="s">
        <v>1535</v>
      </c>
      <c r="C39" s="232">
        <f ca="1">ROUND(C33*F20,0)</f>
        <v>101494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104539</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101494</v>
      </c>
      <c r="D42" s="238"/>
      <c r="E42" s="238"/>
      <c r="F42" s="239"/>
      <c r="G42" s="3658" t="s">
        <v>1591</v>
      </c>
    </row>
    <row r="43" spans="1:7" ht="13.5" customHeight="1">
      <c r="A43" s="780" t="s">
        <v>347</v>
      </c>
      <c r="B43" s="215" t="s">
        <v>1545</v>
      </c>
      <c r="C43" s="238">
        <f ca="1">ROUND(IF('数据-取费表'!B22&lt;=1,C39*F22*'数据-取费表'!B20/2,C39*(POWER((1+F22),'数据-取费表'!B20/2)-1)),0)</f>
        <v>3045</v>
      </c>
      <c r="D43" s="238"/>
      <c r="E43" s="238"/>
      <c r="F43" s="239"/>
      <c r="G43" s="3659"/>
    </row>
    <row r="44" spans="1:7" ht="13.5" customHeight="1">
      <c r="A44" s="780" t="s">
        <v>348</v>
      </c>
      <c r="B44" s="215" t="s">
        <v>1546</v>
      </c>
      <c r="C44" s="238">
        <f ca="1">ROUND(IF('数据-取费表'!B22&lt;=1,C40*F22*'数据-取费表'!B20/2,C40*(POWER((1+F22),'数据-取费表'!B20/2)-1)),4)</f>
        <v>5.9999999999999995E-4</v>
      </c>
      <c r="D44" s="238"/>
      <c r="E44" s="238"/>
      <c r="F44" s="239"/>
      <c r="G44" s="3660"/>
    </row>
    <row r="45" spans="1:7" s="214" customFormat="1" ht="13.5" customHeight="1">
      <c r="A45" s="255" t="s">
        <v>1547</v>
      </c>
      <c r="B45" s="244" t="s">
        <v>1513</v>
      </c>
      <c r="C45" s="245">
        <f ca="1">C46</f>
        <v>522695</v>
      </c>
      <c r="D45" s="235">
        <f ca="1">C47</f>
        <v>3.0000000000000001E-3</v>
      </c>
      <c r="E45" s="236" t="s">
        <v>1539</v>
      </c>
      <c r="F45" s="246">
        <f ca="1">F27</f>
        <v>0.15</v>
      </c>
      <c r="G45" s="247" t="s">
        <v>1548</v>
      </c>
    </row>
    <row r="46" spans="1:7" s="214" customFormat="1" ht="13.5" customHeight="1">
      <c r="A46" s="780" t="s">
        <v>346</v>
      </c>
      <c r="B46" s="248" t="s">
        <v>1549</v>
      </c>
      <c r="C46" s="249">
        <f ca="1">ROUND((C33+C39)*F27,0)</f>
        <v>522695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4454409</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3162630</v>
      </c>
      <c r="D51" s="232"/>
      <c r="E51" s="232"/>
      <c r="F51" s="264"/>
      <c r="G51" s="234" t="s">
        <v>1560</v>
      </c>
    </row>
    <row r="52" spans="1:7" s="208" customFormat="1" ht="16.5" thickBot="1">
      <c r="A52" s="265" t="s">
        <v>1561</v>
      </c>
      <c r="B52" s="266"/>
      <c r="C52" s="267">
        <f ca="1">C31+C51</f>
        <v>3446557</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v>
      </c>
      <c r="C2" s="276" t="s">
        <v>1595</v>
      </c>
      <c r="D2" s="276"/>
      <c r="E2" s="2806"/>
      <c r="F2" s="2806"/>
      <c r="G2" s="2806"/>
      <c r="H2" s="2806"/>
      <c r="I2" s="2806"/>
      <c r="J2" s="2806"/>
      <c r="K2" s="2806"/>
    </row>
    <row r="3" spans="1:33" ht="18" customHeight="1" thickBot="1">
      <c r="A3" s="203" t="s">
        <v>1464</v>
      </c>
      <c r="B3" s="204">
        <f ca="1">ROUND(B2*10000/IF(C1="",'数据-汇总表'!E3,INDIRECT("'数据-取费表'!K"&amp;$K$1)),0)</f>
        <v>-247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525.74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2.5000000000000001E-2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525.74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525.74</v>
      </c>
      <c r="E20" s="21">
        <f>'数据-取费表'!B28</f>
        <v>200</v>
      </c>
      <c r="F20" s="804"/>
      <c r="G20" s="12"/>
      <c r="H20" s="809"/>
      <c r="I20" s="809"/>
      <c r="J20" s="809"/>
      <c r="K20" s="810"/>
    </row>
    <row r="21" spans="1:33" s="803" customFormat="1" ht="13.5" customHeight="1">
      <c r="A21" s="790" t="s">
        <v>357</v>
      </c>
      <c r="B21" s="813" t="s">
        <v>1628</v>
      </c>
      <c r="C21" s="814">
        <f ca="1">C16+C17+C18</f>
        <v>11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2.5000000000000001E-2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3254</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3294</v>
      </c>
      <c r="B103" s="3776"/>
      <c r="C103" s="3776"/>
      <c r="D103" s="3776"/>
      <c r="E103" s="3776"/>
      <c r="F103" s="3776"/>
      <c r="G103" s="3776"/>
      <c r="H103" s="3776"/>
      <c r="I103" s="3776"/>
      <c r="J103" s="3776"/>
      <c r="K103" s="3390"/>
      <c r="L103" s="3390"/>
      <c r="M103" s="3390"/>
      <c r="N103" s="3390"/>
    </row>
    <row r="104" spans="1:14">
      <c r="A104" s="3777" t="s">
        <v>3295</v>
      </c>
      <c r="B104" s="3777" t="s">
        <v>3296</v>
      </c>
      <c r="C104" s="3391" t="s">
        <v>3297</v>
      </c>
      <c r="D104" s="3392"/>
      <c r="E104" s="3392"/>
      <c r="F104" s="3392"/>
      <c r="G104" s="3392"/>
      <c r="H104" s="3392"/>
      <c r="I104" s="3392"/>
      <c r="J104" s="3393"/>
      <c r="K104" s="3394"/>
      <c r="L104" s="3394"/>
      <c r="M104" s="3394"/>
      <c r="N104" s="3394"/>
    </row>
    <row r="105" spans="1:14">
      <c r="A105" s="3777"/>
      <c r="B105" s="377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3311</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3434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2326.4521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44251</v>
      </c>
      <c r="C3" s="354" t="s">
        <v>1768</v>
      </c>
      <c r="D3" s="353">
        <f>IF(D1="",'数据-汇总表'!E3,SUMIF('数据-汇总表'!$C19:$C33,D1,'数据-汇总表'!$E19:$E33))</f>
        <v>525.74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ht="15">
      <c r="A5" s="358"/>
      <c r="B5" s="359"/>
      <c r="C5" s="3817" t="s">
        <v>3435</v>
      </c>
      <c r="D5" s="3699"/>
      <c r="E5" s="3823" t="s">
        <v>3435</v>
      </c>
      <c r="F5" s="3697"/>
      <c r="G5" s="3817" t="s">
        <v>3476</v>
      </c>
      <c r="H5" s="3699"/>
      <c r="I5" s="3817" t="s">
        <v>3475</v>
      </c>
      <c r="J5" s="3699"/>
      <c r="K5" s="559"/>
      <c r="L5" s="2715"/>
      <c r="M5" s="2716"/>
      <c r="N5" s="2716"/>
      <c r="O5" s="2716"/>
      <c r="P5" s="3741"/>
      <c r="Q5" s="3712"/>
      <c r="R5" s="3694"/>
      <c r="S5" s="3695"/>
      <c r="T5" s="3694"/>
      <c r="U5" s="3695"/>
      <c r="V5" s="3717"/>
      <c r="W5" s="3717"/>
      <c r="X5" s="1355"/>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1355"/>
      <c r="Y6" s="3715"/>
      <c r="Z6" s="3716"/>
      <c r="AA6" s="3689"/>
      <c r="AB6" s="3689"/>
      <c r="AC6" s="3738"/>
    </row>
    <row r="7" spans="1:29" s="108" customFormat="1" ht="15.75" thickBot="1">
      <c r="A7" s="362" t="s">
        <v>1679</v>
      </c>
      <c r="B7" s="363"/>
      <c r="C7" s="364">
        <f>'数据-取费表'!B2</f>
        <v>45817</v>
      </c>
      <c r="D7" s="365">
        <v>100</v>
      </c>
      <c r="E7" s="366">
        <f>C7</f>
        <v>45817</v>
      </c>
      <c r="F7" s="367">
        <f>SUMIF(59:59,YEAR(E7)&amp;"-"&amp;MONTH(E7),60:60)</f>
        <v>100</v>
      </c>
      <c r="G7" s="366">
        <f>C7</f>
        <v>45817</v>
      </c>
      <c r="H7" s="365">
        <f>SUMIF(59:59,YEAR(G7)&amp;"-"&amp;MONTH(G7),60:60)</f>
        <v>100</v>
      </c>
      <c r="I7" s="366">
        <f>C7</f>
        <v>45817</v>
      </c>
      <c r="J7" s="365">
        <f>SUMIF(59:59,YEAR(I7)&amp;"-"&amp;MONTH(I7),60:60)</f>
        <v>100</v>
      </c>
      <c r="K7" s="560"/>
      <c r="L7" s="2717"/>
      <c r="M7" s="2718"/>
      <c r="N7" s="2718"/>
      <c r="O7" s="2718"/>
      <c r="P7" s="3744"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3436</v>
      </c>
      <c r="D8" s="365">
        <v>100</v>
      </c>
      <c r="E8" s="368" t="s">
        <v>3437</v>
      </c>
      <c r="F8" s="367">
        <f>SUMIF(62:62,E8,63:63)-SUMIF(62:62,C8,63:63)+100</f>
        <v>102</v>
      </c>
      <c r="G8" s="368" t="s">
        <v>3437</v>
      </c>
      <c r="H8" s="365">
        <f>SUMIF(62:62,G8,63:63)-SUMIF(62:62,C8,63:63)+100</f>
        <v>102</v>
      </c>
      <c r="I8" s="368" t="s">
        <v>3437</v>
      </c>
      <c r="J8" s="365">
        <f>SUMIF(62:62,I8,63:63)-SUMIF(62:62,C8,63:63)+100</f>
        <v>102</v>
      </c>
      <c r="K8" s="560"/>
      <c r="L8" s="2717"/>
      <c r="M8" s="2718"/>
      <c r="N8" s="2718"/>
      <c r="O8" s="2718"/>
      <c r="P8" s="3744" t="s">
        <v>1683</v>
      </c>
      <c r="Q8" s="3691"/>
      <c r="R8" s="701" t="s">
        <v>14</v>
      </c>
      <c r="S8" s="702">
        <f t="shared" si="0"/>
        <v>102</v>
      </c>
      <c r="T8" s="701" t="s">
        <v>14</v>
      </c>
      <c r="U8" s="702">
        <f t="shared" si="1"/>
        <v>102</v>
      </c>
      <c r="V8" s="701" t="s">
        <v>14</v>
      </c>
      <c r="W8" s="702">
        <f t="shared" si="2"/>
        <v>102</v>
      </c>
      <c r="X8" s="703"/>
      <c r="Y8" s="3690" t="s">
        <v>1683</v>
      </c>
      <c r="Z8" s="3691"/>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822" t="s">
        <v>3468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t="str">
        <f>F66</f>
        <v>20（含）-10</v>
      </c>
      <c r="D10" s="127">
        <v>100</v>
      </c>
      <c r="E10" s="3434" t="str">
        <f>C10</f>
        <v>20（含）-10</v>
      </c>
      <c r="F10" s="127">
        <f>SUMIF(66:66,E10,67:67)-SUMIF(66:66,C10,67:67)+100</f>
        <v>100</v>
      </c>
      <c r="G10" s="3435" t="str">
        <f>C10</f>
        <v>20（含）-10</v>
      </c>
      <c r="H10" s="127">
        <f>SUMIF(66:66,G10,67:67)-SUMIF(66:66,C10,67:67)+100</f>
        <v>100</v>
      </c>
      <c r="I10" s="3434" t="str">
        <f>C10</f>
        <v>20（含）-10</v>
      </c>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31" t="s">
        <v>1691</v>
      </c>
      <c r="Q15" s="1352" t="str">
        <f t="shared" si="6"/>
        <v>办公集聚程度</v>
      </c>
      <c r="R15" s="705" t="s">
        <v>14</v>
      </c>
      <c r="S15" s="706">
        <f t="shared" si="0"/>
        <v>100</v>
      </c>
      <c r="T15" s="705" t="s">
        <v>14</v>
      </c>
      <c r="U15" s="706">
        <f t="shared" si="1"/>
        <v>100</v>
      </c>
      <c r="V15" s="705" t="s">
        <v>14</v>
      </c>
      <c r="W15" s="706">
        <f t="shared" si="2"/>
        <v>100</v>
      </c>
      <c r="X15" s="1355"/>
      <c r="Y15" s="3724" t="s">
        <v>1691</v>
      </c>
      <c r="Z15" s="1356" t="str">
        <f t="shared" si="7"/>
        <v>办公集聚程度</v>
      </c>
      <c r="AA15" s="1353">
        <f t="shared" si="3"/>
        <v>1</v>
      </c>
      <c r="AB15" s="1353">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32"/>
      <c r="Q16" s="1352"/>
      <c r="R16" s="705"/>
      <c r="S16" s="706"/>
      <c r="T16" s="705"/>
      <c r="U16" s="706"/>
      <c r="V16" s="705"/>
      <c r="W16" s="706"/>
      <c r="X16" s="1355"/>
      <c r="Y16" s="372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32"/>
      <c r="Q18" s="1352"/>
      <c r="R18" s="705"/>
      <c r="S18" s="706"/>
      <c r="T18" s="705"/>
      <c r="U18" s="706"/>
      <c r="V18" s="705"/>
      <c r="W18" s="706"/>
      <c r="X18" s="1355"/>
      <c r="Y18" s="372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32"/>
      <c r="Q20" s="1352"/>
      <c r="R20" s="705"/>
      <c r="S20" s="706"/>
      <c r="T20" s="705"/>
      <c r="U20" s="706"/>
      <c r="V20" s="705"/>
      <c r="W20" s="706"/>
      <c r="X20" s="1355"/>
      <c r="Y20" s="372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962">
        <f t="shared" ref="AC21" si="10">D21/J21</f>
        <v>1</v>
      </c>
    </row>
    <row r="22" spans="1:29" ht="15">
      <c r="A22" s="379"/>
      <c r="B22" s="581"/>
      <c r="C22" s="1964" t="s">
        <v>3457</v>
      </c>
      <c r="D22" s="399"/>
      <c r="E22" s="1964" t="s">
        <v>3457</v>
      </c>
      <c r="F22" s="399"/>
      <c r="G22" s="1964" t="s">
        <v>3457</v>
      </c>
      <c r="H22" s="399"/>
      <c r="I22" s="1964" t="s">
        <v>3457</v>
      </c>
      <c r="J22" s="399"/>
      <c r="K22" s="1130"/>
      <c r="L22" s="2722"/>
      <c r="M22" s="2716"/>
      <c r="N22" s="2716"/>
      <c r="O22" s="2716"/>
      <c r="P22" s="3732"/>
      <c r="Q22" s="1352"/>
      <c r="R22" s="705"/>
      <c r="S22" s="706"/>
      <c r="T22" s="705"/>
      <c r="U22" s="706"/>
      <c r="V22" s="705"/>
      <c r="W22" s="706"/>
      <c r="X22" s="1355"/>
      <c r="Y22" s="372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32"/>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32"/>
      <c r="Q24" s="1352"/>
      <c r="R24" s="705"/>
      <c r="S24" s="706"/>
      <c r="T24" s="705"/>
      <c r="U24" s="706"/>
      <c r="V24" s="705"/>
      <c r="W24" s="706"/>
      <c r="X24" s="1355"/>
      <c r="Y24" s="372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1352" t="str">
        <f>B25</f>
        <v>毗邻道路的类型与等级</v>
      </c>
      <c r="R25" s="705" t="s">
        <v>14</v>
      </c>
      <c r="S25" s="706">
        <f>F25</f>
        <v>100</v>
      </c>
      <c r="T25" s="705" t="s">
        <v>14</v>
      </c>
      <c r="U25" s="706">
        <f>H25</f>
        <v>100</v>
      </c>
      <c r="V25" s="705" t="s">
        <v>14</v>
      </c>
      <c r="W25" s="706">
        <f>J25</f>
        <v>100</v>
      </c>
      <c r="X25" s="1355"/>
      <c r="Y25" s="372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1352"/>
      <c r="R26" s="705"/>
      <c r="S26" s="706"/>
      <c r="T26" s="705"/>
      <c r="U26" s="706"/>
      <c r="V26" s="705"/>
      <c r="W26" s="706"/>
      <c r="X26" s="1355"/>
      <c r="Y26" s="3725"/>
      <c r="Z26" s="1356"/>
      <c r="AA26" s="1353">
        <v>1</v>
      </c>
      <c r="AB26" s="1353">
        <v>1</v>
      </c>
      <c r="AC26" s="1962">
        <v>1</v>
      </c>
    </row>
    <row r="27" spans="1:29" ht="15">
      <c r="A27" s="379"/>
      <c r="B27" s="580" t="s">
        <v>1783</v>
      </c>
      <c r="C27" s="582" t="s">
        <v>3448</v>
      </c>
      <c r="D27" s="386">
        <v>100</v>
      </c>
      <c r="E27" s="565" t="s">
        <v>3448</v>
      </c>
      <c r="F27" s="386">
        <f>SUMIF(89:89,E27,90:90)-SUMIF(89:89,C27,90:90)+100</f>
        <v>100</v>
      </c>
      <c r="G27" s="582" t="s">
        <v>3444</v>
      </c>
      <c r="H27" s="386">
        <f>SUMIF(89:89,G27,90:90)-SUMIF(89:89,C27,90:90)+100</f>
        <v>102</v>
      </c>
      <c r="I27" s="565" t="s">
        <v>3446</v>
      </c>
      <c r="J27" s="386">
        <f>SUMIF(89:89,I27,90:90)-SUMIF(89:89,C27,90:90)+100</f>
        <v>101</v>
      </c>
      <c r="K27" s="561">
        <v>1</v>
      </c>
      <c r="L27" s="2722"/>
      <c r="M27" s="2716"/>
      <c r="N27" s="2716"/>
      <c r="O27" s="2716"/>
      <c r="P27" s="3732"/>
      <c r="Q27" s="1352" t="str">
        <f t="shared" ref="Q27:Q47" si="11">B27</f>
        <v>楼层</v>
      </c>
      <c r="R27" s="705" t="s">
        <v>14</v>
      </c>
      <c r="S27" s="706">
        <f>F27</f>
        <v>100</v>
      </c>
      <c r="T27" s="705" t="s">
        <v>14</v>
      </c>
      <c r="U27" s="706">
        <f>H27</f>
        <v>102</v>
      </c>
      <c r="V27" s="705" t="s">
        <v>14</v>
      </c>
      <c r="W27" s="706">
        <f>J27</f>
        <v>101</v>
      </c>
      <c r="X27" s="1355"/>
      <c r="Y27" s="3725"/>
      <c r="Z27" s="1356" t="str">
        <f>Q27</f>
        <v>楼层</v>
      </c>
      <c r="AA27" s="1353">
        <f t="shared" si="3"/>
        <v>1</v>
      </c>
      <c r="AB27" s="1353">
        <f t="shared" si="4"/>
        <v>0.98039215686274506</v>
      </c>
      <c r="AC27" s="1962">
        <f t="shared" si="5"/>
        <v>0.99009900990099009</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1343" t="str">
        <f t="shared" si="11"/>
        <v>朝向</v>
      </c>
      <c r="R28" s="701" t="s">
        <v>14</v>
      </c>
      <c r="S28" s="702">
        <f>F28</f>
        <v>100</v>
      </c>
      <c r="T28" s="701" t="s">
        <v>14</v>
      </c>
      <c r="U28" s="702">
        <f>H28</f>
        <v>100</v>
      </c>
      <c r="V28" s="701" t="s">
        <v>14</v>
      </c>
      <c r="W28" s="702">
        <f>J28</f>
        <v>100</v>
      </c>
      <c r="X28" s="703"/>
      <c r="Y28" s="372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72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1352">
        <f t="shared" si="11"/>
        <v>111</v>
      </c>
      <c r="R32" s="705" t="s">
        <v>14</v>
      </c>
      <c r="S32" s="706">
        <f t="shared" si="12"/>
        <v>100</v>
      </c>
      <c r="T32" s="705" t="s">
        <v>14</v>
      </c>
      <c r="U32" s="706">
        <f t="shared" si="13"/>
        <v>100</v>
      </c>
      <c r="V32" s="705" t="s">
        <v>14</v>
      </c>
      <c r="W32" s="706">
        <f t="shared" si="14"/>
        <v>100</v>
      </c>
      <c r="X32" s="1355"/>
      <c r="Y32" s="3725"/>
      <c r="Z32" s="1356">
        <f t="shared" si="15"/>
        <v>111</v>
      </c>
      <c r="AA32" s="1353">
        <f t="shared" si="3"/>
        <v>1</v>
      </c>
      <c r="AB32" s="1353">
        <f t="shared" si="4"/>
        <v>1</v>
      </c>
      <c r="AC32" s="1962">
        <f t="shared" si="5"/>
        <v>1</v>
      </c>
    </row>
    <row r="33" spans="1:29" ht="15">
      <c r="A33" s="391" t="s">
        <v>1694</v>
      </c>
      <c r="B33" s="63" t="s">
        <v>1817</v>
      </c>
      <c r="C33" s="1967" t="s">
        <v>3450</v>
      </c>
      <c r="D33" s="418">
        <v>100</v>
      </c>
      <c r="E33" s="1967" t="s">
        <v>3450</v>
      </c>
      <c r="F33" s="412">
        <f>SUMIF(101:101,E33,102:102)-SUMIF(101:101,C33,102:102)+100</f>
        <v>100</v>
      </c>
      <c r="G33" s="1967" t="s">
        <v>3450</v>
      </c>
      <c r="H33" s="386">
        <f>SUMIF(101:101,G33,102:102)-SUMIF(101:101,C33,102:102)+100</f>
        <v>100</v>
      </c>
      <c r="I33" s="1967" t="s">
        <v>3450</v>
      </c>
      <c r="J33" s="418">
        <f>SUMIF(101:101,I33,102:102)-SUMIF(101:101,C33,102:102)+100</f>
        <v>100</v>
      </c>
      <c r="K33" s="561">
        <v>3</v>
      </c>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729" t="s">
        <v>1696</v>
      </c>
      <c r="Z33" s="1356" t="str">
        <f t="shared" si="15"/>
        <v>建筑类型</v>
      </c>
      <c r="AA33" s="1353">
        <f t="shared" si="3"/>
        <v>1</v>
      </c>
      <c r="AB33" s="1353">
        <f t="shared" si="4"/>
        <v>1</v>
      </c>
      <c r="AC33" s="1962">
        <f t="shared" si="5"/>
        <v>1</v>
      </c>
    </row>
    <row r="34" spans="1:29" s="422" customFormat="1" ht="15">
      <c r="A34" s="419"/>
      <c r="B34" s="375" t="s">
        <v>1697</v>
      </c>
      <c r="C34" s="420">
        <f>'数据-汇总表'!E3</f>
        <v>525.74</v>
      </c>
      <c r="D34" s="127">
        <v>100</v>
      </c>
      <c r="E34" s="381">
        <v>300</v>
      </c>
      <c r="F34" s="376">
        <f>LOOKUP(E34,104:104,105:105)-LOOKUP(C34,104:104,105:105)+100</f>
        <v>101</v>
      </c>
      <c r="G34" s="380">
        <v>739.78</v>
      </c>
      <c r="H34" s="127">
        <f>LOOKUP(G34,104:104,105:105)-LOOKUP(C34,104:104,105:105)+100</f>
        <v>100</v>
      </c>
      <c r="I34" s="380">
        <v>287.77</v>
      </c>
      <c r="J34" s="127">
        <f>LOOKUP(I34,104:104,105:105)-LOOKUP(C34,104:104,105:105)+100</f>
        <v>101</v>
      </c>
      <c r="K34" s="562"/>
      <c r="L34" s="2721"/>
      <c r="M34" s="2723"/>
      <c r="N34" s="2723"/>
      <c r="O34" s="2723"/>
      <c r="P34" s="3727"/>
      <c r="Q34" s="707" t="str">
        <f t="shared" si="11"/>
        <v>项目建筑规模</v>
      </c>
      <c r="R34" s="708" t="s">
        <v>14</v>
      </c>
      <c r="S34" s="709">
        <f t="shared" si="12"/>
        <v>101</v>
      </c>
      <c r="T34" s="708" t="s">
        <v>14</v>
      </c>
      <c r="U34" s="709">
        <f t="shared" si="13"/>
        <v>100</v>
      </c>
      <c r="V34" s="708" t="s">
        <v>14</v>
      </c>
      <c r="W34" s="709">
        <f t="shared" si="14"/>
        <v>101</v>
      </c>
      <c r="X34" s="710"/>
      <c r="Y34" s="3729"/>
      <c r="Z34" s="711" t="str">
        <f t="shared" si="15"/>
        <v>项目建筑规模</v>
      </c>
      <c r="AA34" s="1353">
        <f t="shared" si="3"/>
        <v>0.99009900990099009</v>
      </c>
      <c r="AB34" s="1353">
        <f t="shared" si="4"/>
        <v>1</v>
      </c>
      <c r="AC34" s="1962">
        <f t="shared" si="5"/>
        <v>0.99009900990099009</v>
      </c>
    </row>
    <row r="35" spans="1:29" ht="15">
      <c r="A35" s="423"/>
      <c r="B35" s="375" t="s">
        <v>1698</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1785</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1786</v>
      </c>
      <c r="C37" s="425">
        <f>'数据-取费表'!N6</f>
        <v>0.71</v>
      </c>
      <c r="D37" s="386">
        <v>100</v>
      </c>
      <c r="E37" s="425">
        <v>0.71</v>
      </c>
      <c r="F37" s="412">
        <f>LOOKUP(E37,111:111,112:112)-LOOKUP(C37,111:111,112:112)+100</f>
        <v>100</v>
      </c>
      <c r="G37" s="425">
        <v>0.74</v>
      </c>
      <c r="H37" s="412">
        <f>LOOKUP(G37,111:111,112:112)-LOOKUP(C37,111:111,112:112)+100</f>
        <v>100</v>
      </c>
      <c r="I37" s="425">
        <v>0.76</v>
      </c>
      <c r="J37" s="386">
        <f>LOOKUP(I37,111:111,112:112)-LOOKUP(C37,111:111,112:112)+100</f>
        <v>100</v>
      </c>
      <c r="K37" s="561">
        <v>1</v>
      </c>
      <c r="L37" s="2722"/>
      <c r="M37" s="2716"/>
      <c r="N37" s="2716"/>
      <c r="O37" s="2716"/>
      <c r="P37" s="3727"/>
      <c r="Q37" s="1352" t="str">
        <f t="shared" si="11"/>
        <v>成新度</v>
      </c>
      <c r="R37" s="705" t="s">
        <v>14</v>
      </c>
      <c r="S37" s="706">
        <f t="shared" si="12"/>
        <v>100</v>
      </c>
      <c r="T37" s="705" t="s">
        <v>14</v>
      </c>
      <c r="U37" s="706">
        <f t="shared" si="13"/>
        <v>100</v>
      </c>
      <c r="V37" s="705" t="s">
        <v>14</v>
      </c>
      <c r="W37" s="706">
        <f t="shared" si="14"/>
        <v>100</v>
      </c>
      <c r="X37" s="1355"/>
      <c r="Y37" s="372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1819</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729"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1792</v>
      </c>
      <c r="C43" s="411" t="s">
        <v>3453</v>
      </c>
      <c r="D43" s="386">
        <v>100</v>
      </c>
      <c r="E43" s="411" t="s">
        <v>3453</v>
      </c>
      <c r="F43" s="412">
        <f>SUMIF(123:123,E43,124:124)-SUMIF(123:123,C43,124:124)+100</f>
        <v>100</v>
      </c>
      <c r="G43" s="411" t="s">
        <v>3453</v>
      </c>
      <c r="H43" s="386">
        <f>SUMIF(123:123,G43,124:124)-SUMIF(123:123,C43,124:124)+100</f>
        <v>100</v>
      </c>
      <c r="I43" s="411" t="s">
        <v>3453</v>
      </c>
      <c r="J43" s="386">
        <f>SUMIF(123:123,I43,124:124)-SUMIF(123:123,C43,124:124)+100</f>
        <v>100</v>
      </c>
      <c r="K43" s="561">
        <v>2</v>
      </c>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3824" t="s">
        <v>3477</v>
      </c>
      <c r="C45" s="420">
        <f>'数据-取费表'!N18</f>
        <v>2002</v>
      </c>
      <c r="D45" s="127">
        <v>100</v>
      </c>
      <c r="E45" s="383">
        <v>2002</v>
      </c>
      <c r="F45" s="376">
        <f>SUMIF(127:127,E45,128:128)-SUMIF(127:127,C45,128:128)+100</f>
        <v>100</v>
      </c>
      <c r="G45" s="383">
        <v>2006</v>
      </c>
      <c r="H45" s="127">
        <f>SUMIF(127:127,G45,128:128)-SUMIF(127:127,C45,128:128)+100</f>
        <v>100</v>
      </c>
      <c r="I45" s="383">
        <v>2008</v>
      </c>
      <c r="J45" s="127">
        <f>SUMIF(127:127,I45,128:128)-SUMIF(127:127,C45,128:128)+100</f>
        <v>100</v>
      </c>
      <c r="K45" s="562"/>
      <c r="L45" s="2717"/>
      <c r="M45" s="2718"/>
      <c r="N45" s="2718"/>
      <c r="O45" s="2718"/>
      <c r="P45" s="3727"/>
      <c r="Q45" s="1343" t="str">
        <f t="shared" si="11"/>
        <v>建成年代</v>
      </c>
      <c r="R45" s="701" t="s">
        <v>14</v>
      </c>
      <c r="S45" s="702">
        <f t="shared" si="12"/>
        <v>100</v>
      </c>
      <c r="T45" s="701" t="s">
        <v>14</v>
      </c>
      <c r="U45" s="702">
        <f t="shared" si="13"/>
        <v>100</v>
      </c>
      <c r="V45" s="701" t="s">
        <v>14</v>
      </c>
      <c r="W45" s="702">
        <f t="shared" si="14"/>
        <v>100</v>
      </c>
      <c r="X45" s="703"/>
      <c r="Y45" s="3729"/>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1708</v>
      </c>
      <c r="B48" s="431"/>
      <c r="C48" s="1154" t="s">
        <v>0</v>
      </c>
      <c r="D48" s="1155"/>
      <c r="E48" s="1156">
        <v>43334</v>
      </c>
      <c r="F48" s="1157"/>
      <c r="G48" s="1158">
        <v>45014</v>
      </c>
      <c r="H48" s="1159"/>
      <c r="I48" s="1156">
        <v>49345</v>
      </c>
      <c r="J48" s="436"/>
      <c r="K48" s="714"/>
      <c r="L48" s="2724"/>
      <c r="M48" s="2716"/>
      <c r="N48" s="2716"/>
      <c r="O48" s="2716"/>
      <c r="P48" s="3704" t="str">
        <f>A48</f>
        <v>成交单价（元/平方米）</v>
      </c>
      <c r="Q48" s="3722"/>
      <c r="R48" s="3723">
        <f>E48</f>
        <v>43334</v>
      </c>
      <c r="S48" s="3723"/>
      <c r="T48" s="3723">
        <f>G48</f>
        <v>45014</v>
      </c>
      <c r="U48" s="3723"/>
      <c r="V48" s="3723">
        <f>I48</f>
        <v>49345</v>
      </c>
      <c r="W48" s="3723"/>
      <c r="X48" s="397"/>
      <c r="Y48" s="712"/>
      <c r="Z48" s="397"/>
      <c r="AA48" s="397"/>
      <c r="AB48" s="397"/>
      <c r="AC48" s="578"/>
    </row>
    <row r="49" spans="1:29" ht="15.75" thickBot="1">
      <c r="A49" s="437" t="s">
        <v>1793</v>
      </c>
      <c r="B49" s="438"/>
      <c r="C49" s="1160">
        <f>R50</f>
        <v>44251</v>
      </c>
      <c r="D49" s="2317" t="s">
        <v>2138</v>
      </c>
      <c r="E49" s="1161">
        <f>R49</f>
        <v>42064</v>
      </c>
      <c r="F49" s="2318"/>
      <c r="G49" s="1160">
        <f>T49</f>
        <v>43266</v>
      </c>
      <c r="H49" s="2318"/>
      <c r="I49" s="1161">
        <f>V49</f>
        <v>47424</v>
      </c>
      <c r="J49" s="2318"/>
      <c r="K49" s="2320">
        <f>F49+H49+J49</f>
        <v>0</v>
      </c>
      <c r="L49" s="2724"/>
      <c r="M49" s="2716"/>
      <c r="N49" s="2716"/>
      <c r="O49" s="2716"/>
      <c r="P49" s="3704" t="str">
        <f>A49</f>
        <v>比较价值（元/平方米）</v>
      </c>
      <c r="Q49" s="3722"/>
      <c r="R49" s="3723">
        <f>IF(F1="售价",ROUND(PRODUCT(R48,AA7:AA47),0),ROUND(PRODUCT(R48,AA7:AA47),1))</f>
        <v>42064</v>
      </c>
      <c r="S49" s="3723"/>
      <c r="T49" s="3723">
        <f>IF(F1="售价",ROUND(PRODUCT(T48,AB7:AB47),0),ROUND(PRODUCT(T48,AB7:AB47),1))</f>
        <v>43266</v>
      </c>
      <c r="U49" s="3723"/>
      <c r="V49" s="3723">
        <f>IF(F1="售价",ROUND(PRODUCT(V48,AC7:AC47),0),ROUND(PRODUCT(V48,AC7:AC47),1))</f>
        <v>47424</v>
      </c>
      <c r="W49" s="3723"/>
      <c r="X49" s="397"/>
      <c r="Y49" s="397"/>
      <c r="Z49" s="397"/>
      <c r="AA49" s="397"/>
      <c r="AB49" s="397"/>
      <c r="AC49" s="578"/>
    </row>
    <row r="50" spans="1:29" ht="15.75" thickBot="1">
      <c r="A50" s="441" t="s">
        <v>1794</v>
      </c>
      <c r="B50" s="442"/>
      <c r="C50" s="1163">
        <f>R50</f>
        <v>44251</v>
      </c>
      <c r="D50" s="1163"/>
      <c r="E50" s="1163"/>
      <c r="F50" s="1163"/>
      <c r="G50" s="1163"/>
      <c r="H50" s="1163"/>
      <c r="I50" s="1163"/>
      <c r="J50" s="443"/>
      <c r="K50" s="715"/>
      <c r="L50" s="2724"/>
      <c r="M50" s="2716"/>
      <c r="N50" s="2716"/>
      <c r="O50" s="2716"/>
      <c r="P50" s="3745" t="str">
        <f>A50</f>
        <v>估价对象XX用房的比较价值（楼面单价，元/平方米）</v>
      </c>
      <c r="Q50" s="3746"/>
      <c r="R50" s="3747">
        <f>IF(F1="售价",ROUND(IF(D49="简单平均",AVERAGE(R49:V49),R49*F49+T49*H49+V49*J49),0),ROUND(IF(D49="简单平均",AVERAGE(R49:V49),R49*F49+T49*H49+V49*J49),1))</f>
        <v>44251</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3.0192088246481452E-2</v>
      </c>
      <c r="F53" s="449" t="str">
        <f>IF(OR(E53&gt;=0.3,E53&lt;=-0.3),"超过30%","")</f>
        <v/>
      </c>
      <c r="G53" s="448">
        <f>IF(G48&lt;G49,G49/G48-1,G48/G49-1)</f>
        <v>4.0401238848056131E-2</v>
      </c>
      <c r="H53" s="449" t="str">
        <f>IF(OR(G53&gt;=0.3,G53&lt;=-0.3),"超过30%","")</f>
        <v/>
      </c>
      <c r="I53" s="448">
        <f>IF(I48&lt;I49,I49/I48-1,I48/I49-1)</f>
        <v>4.0506916329284826E-2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2.8575503993913953E-2</v>
      </c>
      <c r="F54" s="449" t="str">
        <f>IF(OR(E54&gt;=0.2,E54&lt;=-0.2),"超过20%","")</f>
        <v/>
      </c>
      <c r="G54" s="448">
        <f>IF(G49&lt;I49,I49/G49-1,G49/I49-1)</f>
        <v>9.6103175703785793E-2</v>
      </c>
      <c r="H54" s="449" t="str">
        <f>IF(OR(G54&gt;=0.2,G54&lt;=-0.2),"超过20%","")</f>
        <v/>
      </c>
      <c r="I54" s="448">
        <f>IF(I49&lt;E49,E49/I49-1,I49/E49-1)</f>
        <v>0.12742487637885125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3.8768634328702589E-2</v>
      </c>
      <c r="F55" s="449" t="str">
        <f>IF(OR(E55&gt;=0.3,E55&lt;=-0.3),"超过30%","")</f>
        <v/>
      </c>
      <c r="G55" s="448">
        <f>IF(G48&lt;I48,I48/G48-1,G48/I48-1)</f>
        <v>9.6214511041009532E-2</v>
      </c>
      <c r="H55" s="449" t="str">
        <f>IF(OR(G55&gt;=0.3,G55&lt;=-0.3),"超过30%","")</f>
        <v/>
      </c>
      <c r="I55" s="448">
        <f>IF(I48&lt;E48,E48/I48-1,I48/E48-1)</f>
        <v>0.13871325056537587</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18" t="s">
        <v>3438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3439</v>
      </c>
      <c r="D66" s="532" t="s">
        <v>3440</v>
      </c>
      <c r="E66" s="532" t="s">
        <v>3441</v>
      </c>
      <c r="F66" s="532" t="s">
        <v>3442</v>
      </c>
      <c r="G66" s="532" t="s">
        <v>3443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0（含）-2</v>
      </c>
      <c r="D68" s="496" t="str">
        <f t="shared" ref="D68:L68" si="18">D69&amp;"（含）"&amp;"-"&amp;E69</f>
        <v>2（含）-4</v>
      </c>
      <c r="E68" s="496" t="str">
        <f t="shared" si="18"/>
        <v>4（含）-6</v>
      </c>
      <c r="F68" s="496" t="str">
        <f t="shared" si="18"/>
        <v>6（含）-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2</v>
      </c>
      <c r="E69" s="498">
        <v>4</v>
      </c>
      <c r="F69" s="498">
        <v>6</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19" t="s">
        <v>3445</v>
      </c>
      <c r="D89" s="3819" t="s">
        <v>3447</v>
      </c>
      <c r="E89" s="3819" t="s">
        <v>3449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0" t="s">
        <v>3451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19" t="s">
        <v>3452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19" t="s">
        <v>3454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19" t="s">
        <v>3461</v>
      </c>
      <c r="D113" s="3819" t="s">
        <v>3462</v>
      </c>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19" t="s">
        <v>3456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19" t="s">
        <v>3458</v>
      </c>
      <c r="D117" s="3819" t="s">
        <v>3459</v>
      </c>
      <c r="E117" s="3819" t="s">
        <v>3460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21" t="s">
        <v>3464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19" t="s">
        <v>3454</v>
      </c>
      <c r="D123" s="3819" t="s">
        <v>3465</v>
      </c>
      <c r="E123" s="3819" t="s">
        <v>3466</v>
      </c>
      <c r="F123" s="3821" t="s">
        <v>3467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建成年代</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24"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3478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0.27339999999999998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5.2</v>
      </c>
      <c r="C3" s="354" t="s">
        <v>1665</v>
      </c>
      <c r="D3" s="353">
        <f>IF(D1="",'数据-汇总表'!E3,SUMIF('数据-汇总表'!$C19:$C33,D1,'数据-汇总表'!$E19:$E33))</f>
        <v>525.74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05" t="s">
        <v>1667</v>
      </c>
      <c r="D4" s="3706"/>
      <c r="E4" s="3707" t="s">
        <v>1668</v>
      </c>
      <c r="F4" s="3708"/>
      <c r="G4" s="3705" t="s">
        <v>1669</v>
      </c>
      <c r="H4" s="3706"/>
      <c r="I4" s="3705" t="s">
        <v>1670</v>
      </c>
      <c r="J4" s="3706"/>
      <c r="K4" s="559" t="s">
        <v>1671</v>
      </c>
      <c r="L4" s="2715"/>
      <c r="M4" s="2716"/>
      <c r="N4" s="2716"/>
      <c r="O4" s="2716"/>
      <c r="P4" s="3739" t="s">
        <v>1672</v>
      </c>
      <c r="Q4" s="3740"/>
      <c r="R4" s="3734" t="s">
        <v>1668</v>
      </c>
      <c r="S4" s="3735"/>
      <c r="T4" s="3734" t="s">
        <v>1669</v>
      </c>
      <c r="U4" s="3735"/>
      <c r="V4" s="3743" t="s">
        <v>1670</v>
      </c>
      <c r="W4" s="3743"/>
      <c r="X4" s="3474"/>
      <c r="Y4" s="3734" t="s">
        <v>1672</v>
      </c>
      <c r="Z4" s="3735"/>
      <c r="AA4" s="3733" t="s">
        <v>1668</v>
      </c>
      <c r="AB4" s="3733" t="s">
        <v>1669</v>
      </c>
      <c r="AC4" s="3736" t="s">
        <v>1670</v>
      </c>
    </row>
    <row r="5" spans="1:29" ht="15">
      <c r="A5" s="358"/>
      <c r="B5" s="359"/>
      <c r="C5" s="3817" t="s">
        <v>3435</v>
      </c>
      <c r="D5" s="3699"/>
      <c r="E5" s="3823" t="s">
        <v>3435</v>
      </c>
      <c r="F5" s="3697"/>
      <c r="G5" s="3817" t="s">
        <v>3476</v>
      </c>
      <c r="H5" s="3699"/>
      <c r="I5" s="3817" t="s">
        <v>3475</v>
      </c>
      <c r="J5" s="3699"/>
      <c r="K5" s="559"/>
      <c r="L5" s="2715"/>
      <c r="M5" s="2716"/>
      <c r="N5" s="2716"/>
      <c r="O5" s="2716"/>
      <c r="P5" s="3741"/>
      <c r="Q5" s="3712"/>
      <c r="R5" s="3694"/>
      <c r="S5" s="3695"/>
      <c r="T5" s="3694"/>
      <c r="U5" s="3695"/>
      <c r="V5" s="3717"/>
      <c r="W5" s="3717"/>
      <c r="X5" s="3472"/>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42"/>
      <c r="Q6" s="3714"/>
      <c r="R6" s="3694"/>
      <c r="S6" s="3695"/>
      <c r="T6" s="3715"/>
      <c r="U6" s="3716"/>
      <c r="V6" s="3717"/>
      <c r="W6" s="3717"/>
      <c r="X6" s="3472"/>
      <c r="Y6" s="3715"/>
      <c r="Z6" s="3716"/>
      <c r="AA6" s="3689"/>
      <c r="AB6" s="3689"/>
      <c r="AC6" s="3738"/>
    </row>
    <row r="7" spans="1:29" s="108" customFormat="1" ht="15.75" thickBot="1">
      <c r="A7" s="362" t="s">
        <v>1679</v>
      </c>
      <c r="B7" s="363"/>
      <c r="C7" s="364">
        <f>'数据-取费表'!B2</f>
        <v>45817</v>
      </c>
      <c r="D7" s="365">
        <v>100</v>
      </c>
      <c r="E7" s="366">
        <f>C7</f>
        <v>45817</v>
      </c>
      <c r="F7" s="367">
        <f>SUMIF(59:59,YEAR(E7)&amp;"-"&amp;MONTH(E7),60:60)</f>
        <v>100</v>
      </c>
      <c r="G7" s="366">
        <f>C7</f>
        <v>45817</v>
      </c>
      <c r="H7" s="365">
        <f>SUMIF(59:59,YEAR(G7)&amp;"-"&amp;MONTH(G7),60:60)</f>
        <v>100</v>
      </c>
      <c r="I7" s="366">
        <f>C7</f>
        <v>45817</v>
      </c>
      <c r="J7" s="365">
        <f>SUMIF(59:59,YEAR(I7)&amp;"-"&amp;MONTH(I7),60:60)</f>
        <v>100</v>
      </c>
      <c r="K7" s="560"/>
      <c r="L7" s="2717"/>
      <c r="M7" s="2718"/>
      <c r="N7" s="2718"/>
      <c r="O7" s="2718"/>
      <c r="P7" s="3744" t="s">
        <v>1680</v>
      </c>
      <c r="Q7" s="3718"/>
      <c r="R7" s="701" t="s">
        <v>14</v>
      </c>
      <c r="S7" s="702">
        <f t="shared" ref="S7:S15" si="0">F7</f>
        <v>100</v>
      </c>
      <c r="T7" s="701" t="s">
        <v>14</v>
      </c>
      <c r="U7" s="702">
        <f t="shared" ref="U7:U15" si="1">H7</f>
        <v>100</v>
      </c>
      <c r="V7" s="701" t="s">
        <v>14</v>
      </c>
      <c r="W7" s="702">
        <f t="shared" ref="W7:W15" si="2">J7</f>
        <v>100</v>
      </c>
      <c r="X7" s="703"/>
      <c r="Y7" s="3690" t="s">
        <v>1680</v>
      </c>
      <c r="Z7" s="3691"/>
      <c r="AA7" s="704">
        <f>D7/F7</f>
        <v>1</v>
      </c>
      <c r="AB7" s="704">
        <f>D7/H7</f>
        <v>1</v>
      </c>
      <c r="AC7" s="1959">
        <f>D7/J7</f>
        <v>1</v>
      </c>
    </row>
    <row r="8" spans="1:29" s="108" customFormat="1" ht="15.75" thickBot="1">
      <c r="A8" s="362" t="s">
        <v>1681</v>
      </c>
      <c r="B8" s="363"/>
      <c r="C8" s="368" t="s">
        <v>3436</v>
      </c>
      <c r="D8" s="365">
        <v>100</v>
      </c>
      <c r="E8" s="368" t="s">
        <v>3437</v>
      </c>
      <c r="F8" s="367">
        <f>SUMIF(62:62,E8,63:63)-SUMIF(62:62,C8,63:63)+100</f>
        <v>102</v>
      </c>
      <c r="G8" s="368" t="s">
        <v>3437</v>
      </c>
      <c r="H8" s="365">
        <f>SUMIF(62:62,G8,63:63)-SUMIF(62:62,C8,63:63)+100</f>
        <v>102</v>
      </c>
      <c r="I8" s="368" t="s">
        <v>3437</v>
      </c>
      <c r="J8" s="365">
        <f>SUMIF(62:62,I8,63:63)-SUMIF(62:62,C8,63:63)+100</f>
        <v>102</v>
      </c>
      <c r="K8" s="560"/>
      <c r="L8" s="2717"/>
      <c r="M8" s="2718"/>
      <c r="N8" s="2718"/>
      <c r="O8" s="2718"/>
      <c r="P8" s="3744" t="s">
        <v>1683</v>
      </c>
      <c r="Q8" s="3691"/>
      <c r="R8" s="701" t="s">
        <v>14</v>
      </c>
      <c r="S8" s="702">
        <f t="shared" si="0"/>
        <v>102</v>
      </c>
      <c r="T8" s="701" t="s">
        <v>14</v>
      </c>
      <c r="U8" s="702">
        <f t="shared" si="1"/>
        <v>102</v>
      </c>
      <c r="V8" s="701" t="s">
        <v>14</v>
      </c>
      <c r="W8" s="702">
        <f t="shared" si="2"/>
        <v>102</v>
      </c>
      <c r="X8" s="703"/>
      <c r="Y8" s="3690" t="s">
        <v>1683</v>
      </c>
      <c r="Z8" s="3691"/>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822" t="s">
        <v>3468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4" t="s">
        <v>1686</v>
      </c>
      <c r="Q9" s="3468" t="str">
        <f t="shared" ref="Q9:Q15" si="6">B9</f>
        <v>用途</v>
      </c>
      <c r="R9" s="701" t="s">
        <v>14</v>
      </c>
      <c r="S9" s="702">
        <f t="shared" si="0"/>
        <v>100</v>
      </c>
      <c r="T9" s="701" t="s">
        <v>14</v>
      </c>
      <c r="U9" s="702">
        <f t="shared" si="1"/>
        <v>100</v>
      </c>
      <c r="V9" s="701" t="s">
        <v>14</v>
      </c>
      <c r="W9" s="702">
        <f t="shared" si="2"/>
        <v>100</v>
      </c>
      <c r="X9" s="703"/>
      <c r="Y9" s="3634" t="s">
        <v>1687</v>
      </c>
      <c r="Z9" s="3467" t="str">
        <f t="shared" ref="Z9:Z15" si="7">Q9</f>
        <v>用途</v>
      </c>
      <c r="AA9" s="704">
        <f t="shared" si="3"/>
        <v>1</v>
      </c>
      <c r="AB9" s="704">
        <f t="shared" si="4"/>
        <v>1</v>
      </c>
      <c r="AC9" s="1959">
        <f t="shared" si="5"/>
        <v>1</v>
      </c>
    </row>
    <row r="10" spans="1:29" s="378" customFormat="1" ht="27">
      <c r="A10" s="374"/>
      <c r="B10" s="375" t="s">
        <v>1688</v>
      </c>
      <c r="C10" s="3434" t="str">
        <f>F66</f>
        <v>20（含）-10</v>
      </c>
      <c r="D10" s="127">
        <v>100</v>
      </c>
      <c r="E10" s="3434" t="str">
        <f>C10</f>
        <v>20（含）-10</v>
      </c>
      <c r="F10" s="127">
        <f>SUMIF(66:66,E10,67:67)-SUMIF(66:66,C10,67:67)+100</f>
        <v>100</v>
      </c>
      <c r="G10" s="3435" t="str">
        <f>C10</f>
        <v>20（含）-10</v>
      </c>
      <c r="H10" s="127">
        <f>SUMIF(66:66,G10,67:67)-SUMIF(66:66,C10,67:67)+100</f>
        <v>100</v>
      </c>
      <c r="I10" s="3434" t="str">
        <f>C10</f>
        <v>20（含）-10</v>
      </c>
      <c r="J10" s="127">
        <f>SUMIF(66:66,I10,67:67)-SUMIF(66:66,C10,67:67)+100</f>
        <v>100</v>
      </c>
      <c r="K10" s="560"/>
      <c r="L10" s="2719"/>
      <c r="M10" s="2720"/>
      <c r="N10" s="2720"/>
      <c r="O10" s="2720"/>
      <c r="P10" s="3704"/>
      <c r="Q10" s="3468" t="str">
        <f t="shared" si="6"/>
        <v>土地使用年限（年）</v>
      </c>
      <c r="R10" s="701" t="s">
        <v>14</v>
      </c>
      <c r="S10" s="702">
        <f t="shared" si="0"/>
        <v>100</v>
      </c>
      <c r="T10" s="701" t="s">
        <v>14</v>
      </c>
      <c r="U10" s="702">
        <f t="shared" si="1"/>
        <v>100</v>
      </c>
      <c r="V10" s="701" t="s">
        <v>14</v>
      </c>
      <c r="W10" s="702">
        <f t="shared" si="2"/>
        <v>100</v>
      </c>
      <c r="X10" s="703"/>
      <c r="Y10" s="3634"/>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3468" t="str">
        <f t="shared" si="6"/>
        <v>容积率</v>
      </c>
      <c r="R11" s="701" t="s">
        <v>14</v>
      </c>
      <c r="S11" s="702">
        <f t="shared" si="0"/>
        <v>100</v>
      </c>
      <c r="T11" s="701" t="s">
        <v>14</v>
      </c>
      <c r="U11" s="702">
        <f t="shared" si="1"/>
        <v>100</v>
      </c>
      <c r="V11" s="701" t="s">
        <v>14</v>
      </c>
      <c r="W11" s="702">
        <f t="shared" si="2"/>
        <v>100</v>
      </c>
      <c r="X11" s="703"/>
      <c r="Y11" s="3634"/>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3468">
        <f t="shared" si="6"/>
        <v>111</v>
      </c>
      <c r="R12" s="701" t="s">
        <v>14</v>
      </c>
      <c r="S12" s="702">
        <f t="shared" si="0"/>
        <v>100</v>
      </c>
      <c r="T12" s="701" t="s">
        <v>14</v>
      </c>
      <c r="U12" s="702">
        <f t="shared" si="1"/>
        <v>100</v>
      </c>
      <c r="V12" s="701" t="s">
        <v>14</v>
      </c>
      <c r="W12" s="702">
        <f t="shared" si="2"/>
        <v>100</v>
      </c>
      <c r="X12" s="703"/>
      <c r="Y12" s="3634"/>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3468">
        <f t="shared" si="6"/>
        <v>111</v>
      </c>
      <c r="R13" s="701" t="s">
        <v>14</v>
      </c>
      <c r="S13" s="702">
        <f t="shared" si="0"/>
        <v>100</v>
      </c>
      <c r="T13" s="701" t="s">
        <v>14</v>
      </c>
      <c r="U13" s="702">
        <f t="shared" si="1"/>
        <v>100</v>
      </c>
      <c r="V13" s="701" t="s">
        <v>14</v>
      </c>
      <c r="W13" s="702">
        <f t="shared" si="2"/>
        <v>100</v>
      </c>
      <c r="X13" s="703"/>
      <c r="Y13" s="3634"/>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3468">
        <f t="shared" si="6"/>
        <v>111</v>
      </c>
      <c r="R14" s="701" t="s">
        <v>14</v>
      </c>
      <c r="S14" s="702">
        <f t="shared" si="0"/>
        <v>100</v>
      </c>
      <c r="T14" s="701" t="s">
        <v>14</v>
      </c>
      <c r="U14" s="702">
        <f t="shared" si="1"/>
        <v>100</v>
      </c>
      <c r="V14" s="701" t="s">
        <v>14</v>
      </c>
      <c r="W14" s="702">
        <f t="shared" si="2"/>
        <v>100</v>
      </c>
      <c r="X14" s="703"/>
      <c r="Y14" s="3634"/>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31" t="s">
        <v>1691</v>
      </c>
      <c r="Q15" s="3470" t="str">
        <f t="shared" si="6"/>
        <v>办公集聚程度</v>
      </c>
      <c r="R15" s="705" t="s">
        <v>14</v>
      </c>
      <c r="S15" s="706">
        <f t="shared" si="0"/>
        <v>100</v>
      </c>
      <c r="T15" s="705" t="s">
        <v>14</v>
      </c>
      <c r="U15" s="706">
        <f t="shared" si="1"/>
        <v>100</v>
      </c>
      <c r="V15" s="705" t="s">
        <v>14</v>
      </c>
      <c r="W15" s="706">
        <f t="shared" si="2"/>
        <v>100</v>
      </c>
      <c r="X15" s="3472"/>
      <c r="Y15" s="3724" t="s">
        <v>1691</v>
      </c>
      <c r="Z15" s="3473" t="str">
        <f t="shared" si="7"/>
        <v>办公集聚程度</v>
      </c>
      <c r="AA15" s="3471">
        <f t="shared" si="3"/>
        <v>1</v>
      </c>
      <c r="AB15" s="3471">
        <f t="shared" si="4"/>
        <v>1</v>
      </c>
      <c r="AC15" s="1962">
        <f t="shared" si="5"/>
        <v>1</v>
      </c>
    </row>
    <row r="16" spans="1:29" ht="15">
      <c r="A16" s="379"/>
      <c r="B16" s="578"/>
      <c r="C16" s="1904" t="s">
        <v>3474</v>
      </c>
      <c r="D16" s="399"/>
      <c r="E16" s="1904" t="s">
        <v>3474</v>
      </c>
      <c r="F16" s="399"/>
      <c r="G16" s="1904" t="s">
        <v>3474</v>
      </c>
      <c r="H16" s="401"/>
      <c r="I16" s="1904" t="s">
        <v>3474</v>
      </c>
      <c r="J16" s="399"/>
      <c r="K16" s="564"/>
      <c r="L16" s="2722"/>
      <c r="M16" s="2716"/>
      <c r="N16" s="2716"/>
      <c r="O16" s="2716"/>
      <c r="P16" s="3732"/>
      <c r="Q16" s="3470"/>
      <c r="R16" s="705"/>
      <c r="S16" s="706"/>
      <c r="T16" s="705"/>
      <c r="U16" s="706"/>
      <c r="V16" s="705"/>
      <c r="W16" s="706"/>
      <c r="X16" s="3472"/>
      <c r="Y16" s="3725"/>
      <c r="Z16" s="3473"/>
      <c r="AA16" s="3471">
        <v>1</v>
      </c>
      <c r="AB16" s="3471">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32"/>
      <c r="Q17" s="3470" t="str">
        <f>B17</f>
        <v>交通便捷度</v>
      </c>
      <c r="R17" s="705" t="s">
        <v>14</v>
      </c>
      <c r="S17" s="706">
        <f>F17</f>
        <v>100</v>
      </c>
      <c r="T17" s="705" t="s">
        <v>14</v>
      </c>
      <c r="U17" s="706">
        <f>H17</f>
        <v>100</v>
      </c>
      <c r="V17" s="705" t="s">
        <v>14</v>
      </c>
      <c r="W17" s="706">
        <f>J17</f>
        <v>100</v>
      </c>
      <c r="X17" s="3472"/>
      <c r="Y17" s="3725"/>
      <c r="Z17" s="3473" t="str">
        <f>Q17</f>
        <v>交通便捷度</v>
      </c>
      <c r="AA17" s="3471">
        <f t="shared" si="3"/>
        <v>1</v>
      </c>
      <c r="AB17" s="3471">
        <f t="shared" si="4"/>
        <v>1</v>
      </c>
      <c r="AC17" s="1962">
        <f t="shared" si="5"/>
        <v>1</v>
      </c>
    </row>
    <row r="18" spans="1:29" ht="15">
      <c r="A18" s="379"/>
      <c r="B18" s="580"/>
      <c r="C18" s="1964" t="s">
        <v>3474</v>
      </c>
      <c r="D18" s="401"/>
      <c r="E18" s="1964" t="s">
        <v>3474</v>
      </c>
      <c r="F18" s="401"/>
      <c r="G18" s="1964" t="s">
        <v>3474</v>
      </c>
      <c r="H18" s="399"/>
      <c r="I18" s="1964" t="s">
        <v>3474</v>
      </c>
      <c r="J18" s="399"/>
      <c r="K18" s="564"/>
      <c r="L18" s="2722"/>
      <c r="M18" s="2716"/>
      <c r="N18" s="2716"/>
      <c r="O18" s="2716"/>
      <c r="P18" s="3732"/>
      <c r="Q18" s="3470"/>
      <c r="R18" s="705"/>
      <c r="S18" s="706"/>
      <c r="T18" s="705"/>
      <c r="U18" s="706"/>
      <c r="V18" s="705"/>
      <c r="W18" s="706"/>
      <c r="X18" s="3472"/>
      <c r="Y18" s="3725"/>
      <c r="Z18" s="3473"/>
      <c r="AA18" s="3471">
        <v>1</v>
      </c>
      <c r="AB18" s="3471">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32"/>
      <c r="Q19" s="3470" t="str">
        <f>B19</f>
        <v>公共配套设施</v>
      </c>
      <c r="R19" s="705" t="s">
        <v>14</v>
      </c>
      <c r="S19" s="706">
        <f>F19</f>
        <v>100</v>
      </c>
      <c r="T19" s="705" t="s">
        <v>14</v>
      </c>
      <c r="U19" s="706">
        <f>H19</f>
        <v>100</v>
      </c>
      <c r="V19" s="705" t="s">
        <v>14</v>
      </c>
      <c r="W19" s="706">
        <f>J19</f>
        <v>100</v>
      </c>
      <c r="X19" s="3472"/>
      <c r="Y19" s="3725"/>
      <c r="Z19" s="3473" t="str">
        <f>Q19</f>
        <v>公共配套设施</v>
      </c>
      <c r="AA19" s="3471">
        <f t="shared" si="3"/>
        <v>1</v>
      </c>
      <c r="AB19" s="3471">
        <f t="shared" si="4"/>
        <v>1</v>
      </c>
      <c r="AC19" s="1962">
        <f t="shared" si="5"/>
        <v>1</v>
      </c>
    </row>
    <row r="20" spans="1:29" ht="15">
      <c r="A20" s="379"/>
      <c r="B20" s="580"/>
      <c r="C20" s="1904" t="s">
        <v>3474</v>
      </c>
      <c r="D20" s="399"/>
      <c r="E20" s="1904" t="s">
        <v>3474</v>
      </c>
      <c r="F20" s="399"/>
      <c r="G20" s="1904" t="s">
        <v>3474</v>
      </c>
      <c r="H20" s="399"/>
      <c r="I20" s="1904" t="s">
        <v>3474</v>
      </c>
      <c r="J20" s="399"/>
      <c r="K20" s="564"/>
      <c r="L20" s="2722"/>
      <c r="M20" s="2716"/>
      <c r="N20" s="2716"/>
      <c r="O20" s="2716"/>
      <c r="P20" s="3732"/>
      <c r="Q20" s="3470"/>
      <c r="R20" s="705"/>
      <c r="S20" s="706"/>
      <c r="T20" s="705"/>
      <c r="U20" s="706"/>
      <c r="V20" s="705"/>
      <c r="W20" s="706"/>
      <c r="X20" s="3472"/>
      <c r="Y20" s="3725"/>
      <c r="Z20" s="3473"/>
      <c r="AA20" s="3471">
        <v>1</v>
      </c>
      <c r="AB20" s="3471">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32"/>
      <c r="Q21" s="3470" t="str">
        <f>B21</f>
        <v>基础设施水平</v>
      </c>
      <c r="R21" s="705" t="s">
        <v>14</v>
      </c>
      <c r="S21" s="706">
        <f>F21</f>
        <v>100</v>
      </c>
      <c r="T21" s="705" t="s">
        <v>14</v>
      </c>
      <c r="U21" s="706">
        <f>H21</f>
        <v>100</v>
      </c>
      <c r="V21" s="705" t="s">
        <v>14</v>
      </c>
      <c r="W21" s="706">
        <f>J21</f>
        <v>100</v>
      </c>
      <c r="X21" s="3472"/>
      <c r="Y21" s="3725"/>
      <c r="Z21" s="3473" t="str">
        <f>Q21</f>
        <v>基础设施水平</v>
      </c>
      <c r="AA21" s="3471">
        <f t="shared" ref="AA21" si="8">D21/F21</f>
        <v>1</v>
      </c>
      <c r="AB21" s="3471">
        <f t="shared" ref="AB21" si="9">D21/H21</f>
        <v>1</v>
      </c>
      <c r="AC21" s="1962">
        <f t="shared" ref="AC21" si="10">D21/J21</f>
        <v>1</v>
      </c>
    </row>
    <row r="22" spans="1:29" ht="15">
      <c r="A22" s="379"/>
      <c r="B22" s="581"/>
      <c r="C22" s="1964" t="s">
        <v>3457</v>
      </c>
      <c r="D22" s="399"/>
      <c r="E22" s="1964" t="s">
        <v>3457</v>
      </c>
      <c r="F22" s="399"/>
      <c r="G22" s="1964" t="s">
        <v>3457</v>
      </c>
      <c r="H22" s="399"/>
      <c r="I22" s="1964" t="s">
        <v>3457</v>
      </c>
      <c r="J22" s="399"/>
      <c r="K22" s="1130"/>
      <c r="L22" s="2722"/>
      <c r="M22" s="2716"/>
      <c r="N22" s="2716"/>
      <c r="O22" s="2716"/>
      <c r="P22" s="3732"/>
      <c r="Q22" s="3470"/>
      <c r="R22" s="705"/>
      <c r="S22" s="706"/>
      <c r="T22" s="705"/>
      <c r="U22" s="706"/>
      <c r="V22" s="705"/>
      <c r="W22" s="706"/>
      <c r="X22" s="3472"/>
      <c r="Y22" s="3725"/>
      <c r="Z22" s="3473"/>
      <c r="AA22" s="3471">
        <v>1</v>
      </c>
      <c r="AB22" s="3471">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32"/>
      <c r="Q23" s="3470" t="str">
        <f>B23</f>
        <v>环境质量</v>
      </c>
      <c r="R23" s="705" t="s">
        <v>14</v>
      </c>
      <c r="S23" s="706">
        <f>F23</f>
        <v>100</v>
      </c>
      <c r="T23" s="705" t="s">
        <v>14</v>
      </c>
      <c r="U23" s="706">
        <f>H23</f>
        <v>100</v>
      </c>
      <c r="V23" s="705" t="s">
        <v>14</v>
      </c>
      <c r="W23" s="706">
        <f>J23</f>
        <v>100</v>
      </c>
      <c r="X23" s="3472"/>
      <c r="Y23" s="3725"/>
      <c r="Z23" s="3473" t="str">
        <f>Q23</f>
        <v>环境质量</v>
      </c>
      <c r="AA23" s="3471">
        <f t="shared" si="3"/>
        <v>1</v>
      </c>
      <c r="AB23" s="3471">
        <f t="shared" si="4"/>
        <v>1</v>
      </c>
      <c r="AC23" s="1962">
        <f t="shared" si="5"/>
        <v>1</v>
      </c>
    </row>
    <row r="24" spans="1:29" ht="15">
      <c r="A24" s="379"/>
      <c r="B24" s="581"/>
      <c r="C24" s="1904" t="s">
        <v>3474</v>
      </c>
      <c r="D24" s="399"/>
      <c r="E24" s="1904" t="s">
        <v>3474</v>
      </c>
      <c r="F24" s="399"/>
      <c r="G24" s="1904" t="s">
        <v>3474</v>
      </c>
      <c r="H24" s="399"/>
      <c r="I24" s="1904" t="s">
        <v>3474</v>
      </c>
      <c r="J24" s="399"/>
      <c r="K24" s="564"/>
      <c r="L24" s="2722"/>
      <c r="M24" s="2716"/>
      <c r="N24" s="2716"/>
      <c r="O24" s="2716"/>
      <c r="P24" s="3732"/>
      <c r="Q24" s="3470"/>
      <c r="R24" s="705"/>
      <c r="S24" s="706"/>
      <c r="T24" s="705"/>
      <c r="U24" s="706"/>
      <c r="V24" s="705"/>
      <c r="W24" s="706"/>
      <c r="X24" s="3472"/>
      <c r="Y24" s="3725"/>
      <c r="Z24" s="3473"/>
      <c r="AA24" s="3471">
        <v>1</v>
      </c>
      <c r="AB24" s="3471">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2"/>
      <c r="Q25" s="3470" t="str">
        <f>B25</f>
        <v>毗邻道路的类型与等级</v>
      </c>
      <c r="R25" s="705" t="s">
        <v>14</v>
      </c>
      <c r="S25" s="706">
        <f>F25</f>
        <v>100</v>
      </c>
      <c r="T25" s="705" t="s">
        <v>14</v>
      </c>
      <c r="U25" s="706">
        <f>H25</f>
        <v>100</v>
      </c>
      <c r="V25" s="705" t="s">
        <v>14</v>
      </c>
      <c r="W25" s="706">
        <f>J25</f>
        <v>100</v>
      </c>
      <c r="X25" s="3472"/>
      <c r="Y25" s="3725"/>
      <c r="Z25" s="3473" t="str">
        <f>Q25</f>
        <v>毗邻道路的类型与等级</v>
      </c>
      <c r="AA25" s="3471">
        <f t="shared" si="3"/>
        <v>1</v>
      </c>
      <c r="AB25" s="3471">
        <f t="shared" si="4"/>
        <v>1</v>
      </c>
      <c r="AC25" s="1962">
        <f t="shared" si="5"/>
        <v>1</v>
      </c>
    </row>
    <row r="26" spans="1:29" ht="15">
      <c r="A26" s="358"/>
      <c r="B26" s="580"/>
      <c r="C26" s="582"/>
      <c r="D26" s="386"/>
      <c r="E26" s="565"/>
      <c r="F26" s="386"/>
      <c r="G26" s="582"/>
      <c r="H26" s="386"/>
      <c r="I26" s="565"/>
      <c r="J26" s="386"/>
      <c r="K26" s="564"/>
      <c r="L26" s="2722"/>
      <c r="M26" s="2716"/>
      <c r="N26" s="2716"/>
      <c r="O26" s="2716"/>
      <c r="P26" s="3732"/>
      <c r="Q26" s="3470"/>
      <c r="R26" s="705"/>
      <c r="S26" s="706"/>
      <c r="T26" s="705"/>
      <c r="U26" s="706"/>
      <c r="V26" s="705"/>
      <c r="W26" s="706"/>
      <c r="X26" s="3472"/>
      <c r="Y26" s="3725"/>
      <c r="Z26" s="3473"/>
      <c r="AA26" s="3471">
        <v>1</v>
      </c>
      <c r="AB26" s="3471">
        <v>1</v>
      </c>
      <c r="AC26" s="1962">
        <v>1</v>
      </c>
    </row>
    <row r="27" spans="1:29" ht="15">
      <c r="A27" s="379"/>
      <c r="B27" s="580" t="s">
        <v>1783</v>
      </c>
      <c r="C27" s="582" t="s">
        <v>3448</v>
      </c>
      <c r="D27" s="386">
        <v>100</v>
      </c>
      <c r="E27" s="565" t="s">
        <v>3444</v>
      </c>
      <c r="F27" s="386">
        <f>SUMIF(89:89,E27,90:90)-SUMIF(89:89,C27,90:90)+100</f>
        <v>102</v>
      </c>
      <c r="G27" s="582" t="s">
        <v>3444</v>
      </c>
      <c r="H27" s="386">
        <f>SUMIF(89:89,G27,90:90)-SUMIF(89:89,C27,90:90)+100</f>
        <v>102</v>
      </c>
      <c r="I27" s="565" t="s">
        <v>3444</v>
      </c>
      <c r="J27" s="386">
        <f>SUMIF(89:89,I27,90:90)-SUMIF(89:89,C27,90:90)+100</f>
        <v>102</v>
      </c>
      <c r="K27" s="561">
        <v>1</v>
      </c>
      <c r="L27" s="2722"/>
      <c r="M27" s="2716"/>
      <c r="N27" s="2716"/>
      <c r="O27" s="2716"/>
      <c r="P27" s="3732"/>
      <c r="Q27" s="3470" t="str">
        <f t="shared" ref="Q27:Q47" si="11">B27</f>
        <v>楼层</v>
      </c>
      <c r="R27" s="705" t="s">
        <v>14</v>
      </c>
      <c r="S27" s="706">
        <f>F27</f>
        <v>102</v>
      </c>
      <c r="T27" s="705" t="s">
        <v>14</v>
      </c>
      <c r="U27" s="706">
        <f>H27</f>
        <v>102</v>
      </c>
      <c r="V27" s="705" t="s">
        <v>14</v>
      </c>
      <c r="W27" s="706">
        <f>J27</f>
        <v>102</v>
      </c>
      <c r="X27" s="3472"/>
      <c r="Y27" s="3725"/>
      <c r="Z27" s="3473" t="str">
        <f>Q27</f>
        <v>楼层</v>
      </c>
      <c r="AA27" s="3471">
        <f t="shared" si="3"/>
        <v>0.98039215686274506</v>
      </c>
      <c r="AB27" s="3471">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2"/>
      <c r="Q28" s="3468" t="str">
        <f t="shared" si="11"/>
        <v>朝向</v>
      </c>
      <c r="R28" s="701" t="s">
        <v>14</v>
      </c>
      <c r="S28" s="702">
        <f>F28</f>
        <v>100</v>
      </c>
      <c r="T28" s="701" t="s">
        <v>14</v>
      </c>
      <c r="U28" s="702">
        <f>H28</f>
        <v>100</v>
      </c>
      <c r="V28" s="701" t="s">
        <v>14</v>
      </c>
      <c r="W28" s="702">
        <f>J28</f>
        <v>100</v>
      </c>
      <c r="X28" s="703"/>
      <c r="Y28" s="3725"/>
      <c r="Z28" s="3467" t="str">
        <f>Q28</f>
        <v>朝向</v>
      </c>
      <c r="AA28" s="3471">
        <f>D28/F28</f>
        <v>1</v>
      </c>
      <c r="AB28" s="3471">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2"/>
      <c r="Q29" s="3470">
        <f t="shared" si="11"/>
        <v>111</v>
      </c>
      <c r="R29" s="705" t="s">
        <v>14</v>
      </c>
      <c r="S29" s="706">
        <f t="shared" ref="S29:S47" si="12">F29</f>
        <v>100</v>
      </c>
      <c r="T29" s="705" t="s">
        <v>14</v>
      </c>
      <c r="U29" s="706">
        <f t="shared" ref="U29:U47" si="13">H29</f>
        <v>100</v>
      </c>
      <c r="V29" s="705" t="s">
        <v>14</v>
      </c>
      <c r="W29" s="706">
        <f t="shared" ref="W29:W47" si="14">J29</f>
        <v>100</v>
      </c>
      <c r="X29" s="3472"/>
      <c r="Y29" s="3725"/>
      <c r="Z29" s="3473">
        <f t="shared" ref="Z29:Z47" si="15">Q29</f>
        <v>111</v>
      </c>
      <c r="AA29" s="3471">
        <f t="shared" si="3"/>
        <v>1</v>
      </c>
      <c r="AB29" s="3471">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2"/>
      <c r="Q30" s="3470">
        <f t="shared" si="11"/>
        <v>111</v>
      </c>
      <c r="R30" s="705" t="s">
        <v>14</v>
      </c>
      <c r="S30" s="706">
        <f t="shared" si="12"/>
        <v>100</v>
      </c>
      <c r="T30" s="705" t="s">
        <v>14</v>
      </c>
      <c r="U30" s="706">
        <f t="shared" si="13"/>
        <v>100</v>
      </c>
      <c r="V30" s="705" t="s">
        <v>14</v>
      </c>
      <c r="W30" s="706">
        <f t="shared" si="14"/>
        <v>100</v>
      </c>
      <c r="X30" s="3472"/>
      <c r="Y30" s="3725"/>
      <c r="Z30" s="3473">
        <f t="shared" si="15"/>
        <v>111</v>
      </c>
      <c r="AA30" s="3471">
        <f t="shared" si="3"/>
        <v>1</v>
      </c>
      <c r="AB30" s="3471">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2"/>
      <c r="Q31" s="3470">
        <f t="shared" si="11"/>
        <v>111</v>
      </c>
      <c r="R31" s="705" t="s">
        <v>14</v>
      </c>
      <c r="S31" s="706">
        <f t="shared" si="12"/>
        <v>100</v>
      </c>
      <c r="T31" s="705" t="s">
        <v>14</v>
      </c>
      <c r="U31" s="706">
        <f t="shared" si="13"/>
        <v>100</v>
      </c>
      <c r="V31" s="705" t="s">
        <v>14</v>
      </c>
      <c r="W31" s="706">
        <f t="shared" si="14"/>
        <v>100</v>
      </c>
      <c r="X31" s="3472"/>
      <c r="Y31" s="3725"/>
      <c r="Z31" s="3473">
        <f t="shared" si="15"/>
        <v>111</v>
      </c>
      <c r="AA31" s="3471">
        <f t="shared" si="3"/>
        <v>1</v>
      </c>
      <c r="AB31" s="3471">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2"/>
      <c r="Q32" s="3470">
        <f t="shared" si="11"/>
        <v>111</v>
      </c>
      <c r="R32" s="705" t="s">
        <v>14</v>
      </c>
      <c r="S32" s="706">
        <f t="shared" si="12"/>
        <v>100</v>
      </c>
      <c r="T32" s="705" t="s">
        <v>14</v>
      </c>
      <c r="U32" s="706">
        <f t="shared" si="13"/>
        <v>100</v>
      </c>
      <c r="V32" s="705" t="s">
        <v>14</v>
      </c>
      <c r="W32" s="706">
        <f t="shared" si="14"/>
        <v>100</v>
      </c>
      <c r="X32" s="3472"/>
      <c r="Y32" s="3725"/>
      <c r="Z32" s="3473">
        <f t="shared" si="15"/>
        <v>111</v>
      </c>
      <c r="AA32" s="3471">
        <f t="shared" si="3"/>
        <v>1</v>
      </c>
      <c r="AB32" s="3471">
        <f t="shared" si="4"/>
        <v>1</v>
      </c>
      <c r="AC32" s="1962">
        <f t="shared" si="5"/>
        <v>1</v>
      </c>
    </row>
    <row r="33" spans="1:29" ht="15">
      <c r="A33" s="391" t="s">
        <v>1694</v>
      </c>
      <c r="B33" s="63" t="s">
        <v>1817</v>
      </c>
      <c r="C33" s="1967" t="s">
        <v>3450</v>
      </c>
      <c r="D33" s="418">
        <v>100</v>
      </c>
      <c r="E33" s="1967" t="s">
        <v>3450</v>
      </c>
      <c r="F33" s="412">
        <f>SUMIF(101:101,E33,102:102)-SUMIF(101:101,C33,102:102)+100</f>
        <v>100</v>
      </c>
      <c r="G33" s="1967" t="s">
        <v>3450</v>
      </c>
      <c r="H33" s="386">
        <f>SUMIF(101:101,G33,102:102)-SUMIF(101:101,C33,102:102)+100</f>
        <v>100</v>
      </c>
      <c r="I33" s="1967" t="s">
        <v>3450</v>
      </c>
      <c r="J33" s="418">
        <f>SUMIF(101:101,I33,102:102)-SUMIF(101:101,C33,102:102)+100</f>
        <v>100</v>
      </c>
      <c r="K33" s="561">
        <v>3</v>
      </c>
      <c r="L33" s="2722"/>
      <c r="M33" s="2716"/>
      <c r="N33" s="2716"/>
      <c r="O33" s="2716"/>
      <c r="P33" s="3726" t="s">
        <v>1696</v>
      </c>
      <c r="Q33" s="3470" t="str">
        <f t="shared" si="11"/>
        <v>建筑类型</v>
      </c>
      <c r="R33" s="705" t="s">
        <v>14</v>
      </c>
      <c r="S33" s="706">
        <f t="shared" si="12"/>
        <v>100</v>
      </c>
      <c r="T33" s="705" t="s">
        <v>14</v>
      </c>
      <c r="U33" s="706">
        <f t="shared" si="13"/>
        <v>100</v>
      </c>
      <c r="V33" s="705" t="s">
        <v>14</v>
      </c>
      <c r="W33" s="706">
        <f t="shared" si="14"/>
        <v>100</v>
      </c>
      <c r="X33" s="3472"/>
      <c r="Y33" s="3729" t="s">
        <v>1696</v>
      </c>
      <c r="Z33" s="3473" t="str">
        <f t="shared" si="15"/>
        <v>建筑类型</v>
      </c>
      <c r="AA33" s="3471">
        <f t="shared" si="3"/>
        <v>1</v>
      </c>
      <c r="AB33" s="3471">
        <f t="shared" si="4"/>
        <v>1</v>
      </c>
      <c r="AC33" s="1962">
        <f t="shared" si="5"/>
        <v>1</v>
      </c>
    </row>
    <row r="34" spans="1:29" s="422" customFormat="1" ht="15">
      <c r="A34" s="419"/>
      <c r="B34" s="375" t="s">
        <v>1697</v>
      </c>
      <c r="C34" s="420">
        <f>'数据-汇总表'!E3</f>
        <v>525.74</v>
      </c>
      <c r="D34" s="127">
        <v>100</v>
      </c>
      <c r="E34" s="381">
        <v>196.26</v>
      </c>
      <c r="F34" s="376">
        <f>LOOKUP(E34,104:104,105:105)-LOOKUP(C34,104:104,105:105)+100</f>
        <v>101</v>
      </c>
      <c r="G34" s="380">
        <v>156.97999999999999</v>
      </c>
      <c r="H34" s="127">
        <f>LOOKUP(G34,104:104,105:105)-LOOKUP(C34,104:104,105:105)+100</f>
        <v>101</v>
      </c>
      <c r="I34" s="380">
        <v>279</v>
      </c>
      <c r="J34" s="127">
        <f>LOOKUP(I34,104:104,105:105)-LOOKUP(C34,104:104,105:105)+100</f>
        <v>101</v>
      </c>
      <c r="K34" s="562"/>
      <c r="L34" s="2721"/>
      <c r="M34" s="2723"/>
      <c r="N34" s="2723"/>
      <c r="O34" s="2723"/>
      <c r="P34" s="3727"/>
      <c r="Q34" s="707" t="str">
        <f t="shared" si="11"/>
        <v>项目建筑规模</v>
      </c>
      <c r="R34" s="708" t="s">
        <v>14</v>
      </c>
      <c r="S34" s="709">
        <f t="shared" si="12"/>
        <v>101</v>
      </c>
      <c r="T34" s="708" t="s">
        <v>14</v>
      </c>
      <c r="U34" s="709">
        <f t="shared" si="13"/>
        <v>101</v>
      </c>
      <c r="V34" s="708" t="s">
        <v>14</v>
      </c>
      <c r="W34" s="709">
        <f t="shared" si="14"/>
        <v>101</v>
      </c>
      <c r="X34" s="710"/>
      <c r="Y34" s="3729"/>
      <c r="Z34" s="711" t="str">
        <f t="shared" si="15"/>
        <v>项目建筑规模</v>
      </c>
      <c r="AA34" s="3471">
        <f t="shared" si="3"/>
        <v>0.99009900990099009</v>
      </c>
      <c r="AB34" s="3471">
        <f t="shared" si="4"/>
        <v>0.99009900990099009</v>
      </c>
      <c r="AC34" s="1962">
        <f t="shared" si="5"/>
        <v>0.99009900990099009</v>
      </c>
    </row>
    <row r="35" spans="1:29" ht="15">
      <c r="A35" s="423"/>
      <c r="B35" s="375" t="s">
        <v>1698</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561">
        <v>1</v>
      </c>
      <c r="L35" s="2722"/>
      <c r="M35" s="2716"/>
      <c r="N35" s="2716"/>
      <c r="O35" s="2716"/>
      <c r="P35" s="3727"/>
      <c r="Q35" s="3470" t="str">
        <f t="shared" si="11"/>
        <v>建筑结构</v>
      </c>
      <c r="R35" s="705" t="s">
        <v>14</v>
      </c>
      <c r="S35" s="706">
        <f t="shared" si="12"/>
        <v>100</v>
      </c>
      <c r="T35" s="705" t="s">
        <v>14</v>
      </c>
      <c r="U35" s="706">
        <f t="shared" si="13"/>
        <v>100</v>
      </c>
      <c r="V35" s="705" t="s">
        <v>14</v>
      </c>
      <c r="W35" s="706">
        <f t="shared" si="14"/>
        <v>100</v>
      </c>
      <c r="X35" s="3472"/>
      <c r="Y35" s="3729"/>
      <c r="Z35" s="3473" t="str">
        <f t="shared" si="15"/>
        <v>建筑结构</v>
      </c>
      <c r="AA35" s="3471">
        <f t="shared" si="3"/>
        <v>1</v>
      </c>
      <c r="AB35" s="3471">
        <f t="shared" si="4"/>
        <v>1</v>
      </c>
      <c r="AC35" s="1962">
        <f t="shared" si="5"/>
        <v>1</v>
      </c>
    </row>
    <row r="36" spans="1:29" ht="15">
      <c r="A36" s="423"/>
      <c r="B36" s="375" t="s">
        <v>1785</v>
      </c>
      <c r="C36" s="411" t="s">
        <v>3453</v>
      </c>
      <c r="D36" s="386">
        <v>100</v>
      </c>
      <c r="E36" s="411" t="s">
        <v>3453</v>
      </c>
      <c r="F36" s="412">
        <f>SUMIF(108:108,E36,109:109)-SUMIF(108:108,C36,109:109)+100</f>
        <v>100</v>
      </c>
      <c r="G36" s="411" t="s">
        <v>3453</v>
      </c>
      <c r="H36" s="386">
        <f>SUMIF(108:108,G36,109:109)-SUMIF(108:108,C36,109:109)+100</f>
        <v>100</v>
      </c>
      <c r="I36" s="411" t="s">
        <v>3453</v>
      </c>
      <c r="J36" s="386">
        <f>SUMIF(108:108,I36,109:109)-SUMIF(108:108,C36,109:109)+100</f>
        <v>100</v>
      </c>
      <c r="K36" s="561">
        <v>2</v>
      </c>
      <c r="L36" s="2722"/>
      <c r="M36" s="2716"/>
      <c r="N36" s="2716"/>
      <c r="O36" s="2716"/>
      <c r="P36" s="3727"/>
      <c r="Q36" s="3470" t="str">
        <f t="shared" si="11"/>
        <v>公共部分装修</v>
      </c>
      <c r="R36" s="705" t="s">
        <v>14</v>
      </c>
      <c r="S36" s="706">
        <f t="shared" si="12"/>
        <v>100</v>
      </c>
      <c r="T36" s="705" t="s">
        <v>14</v>
      </c>
      <c r="U36" s="706">
        <f t="shared" si="13"/>
        <v>100</v>
      </c>
      <c r="V36" s="705" t="s">
        <v>14</v>
      </c>
      <c r="W36" s="706">
        <f t="shared" si="14"/>
        <v>100</v>
      </c>
      <c r="X36" s="3472"/>
      <c r="Y36" s="3729"/>
      <c r="Z36" s="3473" t="str">
        <f t="shared" si="15"/>
        <v>公共部分装修</v>
      </c>
      <c r="AA36" s="3471">
        <f t="shared" si="3"/>
        <v>1</v>
      </c>
      <c r="AB36" s="3471">
        <f t="shared" si="4"/>
        <v>1</v>
      </c>
      <c r="AC36" s="1962">
        <f t="shared" si="5"/>
        <v>1</v>
      </c>
    </row>
    <row r="37" spans="1:29" ht="15">
      <c r="A37" s="423"/>
      <c r="B37" s="375" t="s">
        <v>1786</v>
      </c>
      <c r="C37" s="425">
        <f>'数据-取费表'!N6</f>
        <v>0.71</v>
      </c>
      <c r="D37" s="386">
        <v>100</v>
      </c>
      <c r="E37" s="425">
        <v>0.71</v>
      </c>
      <c r="F37" s="412">
        <f>LOOKUP(E37,111:111,112:112)-LOOKUP(C37,111:111,112:112)+100</f>
        <v>100</v>
      </c>
      <c r="G37" s="425">
        <v>0.74</v>
      </c>
      <c r="H37" s="412">
        <f>LOOKUP(G37,111:111,112:112)-LOOKUP(C37,111:111,112:112)+100</f>
        <v>100</v>
      </c>
      <c r="I37" s="425">
        <v>0.76</v>
      </c>
      <c r="J37" s="386">
        <f>LOOKUP(I37,111:111,112:112)-LOOKUP(C37,111:111,112:112)+100</f>
        <v>100</v>
      </c>
      <c r="K37" s="561">
        <v>1</v>
      </c>
      <c r="L37" s="2722"/>
      <c r="M37" s="2716"/>
      <c r="N37" s="2716"/>
      <c r="O37" s="2716"/>
      <c r="P37" s="3727"/>
      <c r="Q37" s="3470" t="str">
        <f t="shared" si="11"/>
        <v>成新度</v>
      </c>
      <c r="R37" s="705" t="s">
        <v>14</v>
      </c>
      <c r="S37" s="706">
        <f t="shared" si="12"/>
        <v>100</v>
      </c>
      <c r="T37" s="705" t="s">
        <v>14</v>
      </c>
      <c r="U37" s="706">
        <f t="shared" si="13"/>
        <v>100</v>
      </c>
      <c r="V37" s="705" t="s">
        <v>14</v>
      </c>
      <c r="W37" s="706">
        <f t="shared" si="14"/>
        <v>100</v>
      </c>
      <c r="X37" s="3472"/>
      <c r="Y37" s="3729"/>
      <c r="Z37" s="3473" t="str">
        <f t="shared" si="15"/>
        <v>成新度</v>
      </c>
      <c r="AA37" s="3471">
        <f t="shared" si="3"/>
        <v>1</v>
      </c>
      <c r="AB37" s="347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3468" t="str">
        <f t="shared" si="11"/>
        <v>写字楼等级</v>
      </c>
      <c r="R38" s="701" t="s">
        <v>14</v>
      </c>
      <c r="S38" s="702">
        <f t="shared" si="12"/>
        <v>100</v>
      </c>
      <c r="T38" s="701" t="s">
        <v>14</v>
      </c>
      <c r="U38" s="702">
        <f t="shared" si="13"/>
        <v>100</v>
      </c>
      <c r="V38" s="701" t="s">
        <v>14</v>
      </c>
      <c r="W38" s="702">
        <f t="shared" si="14"/>
        <v>100</v>
      </c>
      <c r="X38" s="703"/>
      <c r="Y38" s="3729"/>
      <c r="Z38" s="3467" t="str">
        <f t="shared" si="15"/>
        <v>写字楼等级</v>
      </c>
      <c r="AA38" s="704">
        <f t="shared" si="3"/>
        <v>1</v>
      </c>
      <c r="AB38" s="704">
        <f t="shared" si="4"/>
        <v>1</v>
      </c>
      <c r="AC38" s="1959">
        <f t="shared" si="5"/>
        <v>1</v>
      </c>
    </row>
    <row r="39" spans="1:29" ht="15">
      <c r="A39" s="423"/>
      <c r="B39" s="375" t="s">
        <v>1819</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2"/>
      <c r="M39" s="2716"/>
      <c r="N39" s="2716"/>
      <c r="O39" s="2716"/>
      <c r="P39" s="3727" t="s">
        <v>1696</v>
      </c>
      <c r="Q39" s="3470" t="str">
        <f t="shared" si="11"/>
        <v>物业管理</v>
      </c>
      <c r="R39" s="705" t="s">
        <v>14</v>
      </c>
      <c r="S39" s="706">
        <f t="shared" si="12"/>
        <v>100</v>
      </c>
      <c r="T39" s="705" t="s">
        <v>14</v>
      </c>
      <c r="U39" s="706">
        <f t="shared" si="13"/>
        <v>100</v>
      </c>
      <c r="V39" s="705" t="s">
        <v>14</v>
      </c>
      <c r="W39" s="706">
        <f t="shared" si="14"/>
        <v>100</v>
      </c>
      <c r="X39" s="3472"/>
      <c r="Y39" s="3729" t="s">
        <v>1696</v>
      </c>
      <c r="Z39" s="3473" t="str">
        <f t="shared" si="15"/>
        <v>物业管理</v>
      </c>
      <c r="AA39" s="3471">
        <f t="shared" si="3"/>
        <v>1</v>
      </c>
      <c r="AB39" s="3471">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3470" t="str">
        <f t="shared" si="11"/>
        <v>市政基础设施</v>
      </c>
      <c r="R40" s="705" t="s">
        <v>14</v>
      </c>
      <c r="S40" s="706">
        <f t="shared" si="12"/>
        <v>100</v>
      </c>
      <c r="T40" s="705" t="s">
        <v>14</v>
      </c>
      <c r="U40" s="706">
        <f t="shared" si="13"/>
        <v>100</v>
      </c>
      <c r="V40" s="705" t="s">
        <v>14</v>
      </c>
      <c r="W40" s="706">
        <f t="shared" si="14"/>
        <v>100</v>
      </c>
      <c r="X40" s="3472"/>
      <c r="Y40" s="3729"/>
      <c r="Z40" s="3473" t="str">
        <f t="shared" si="15"/>
        <v>市政基础设施</v>
      </c>
      <c r="AA40" s="3471">
        <f t="shared" si="3"/>
        <v>1</v>
      </c>
      <c r="AB40" s="3471">
        <f t="shared" si="4"/>
        <v>1</v>
      </c>
      <c r="AC40" s="1962">
        <f t="shared" si="5"/>
        <v>1</v>
      </c>
    </row>
    <row r="41" spans="1:29" ht="15">
      <c r="A41" s="423"/>
      <c r="B41" s="375" t="s">
        <v>1789</v>
      </c>
      <c r="C41" s="565" t="s">
        <v>3463</v>
      </c>
      <c r="D41" s="386">
        <v>100</v>
      </c>
      <c r="E41" s="565" t="s">
        <v>3463</v>
      </c>
      <c r="F41" s="412">
        <f>SUMIF(119:119,E41,120:120)-SUMIF(119:119,C41,120:120)+100</f>
        <v>100</v>
      </c>
      <c r="G41" s="565" t="s">
        <v>3463</v>
      </c>
      <c r="H41" s="386">
        <f>SUMIF(119:119,G41,120:120)-SUMIF(119:119,C41,120:120)+100</f>
        <v>100</v>
      </c>
      <c r="I41" s="565" t="s">
        <v>3463</v>
      </c>
      <c r="J41" s="386">
        <f>SUMIF(119:119,I41,120:120)-SUMIF(119:119,C41,120:120)+100</f>
        <v>100</v>
      </c>
      <c r="K41" s="561">
        <v>2</v>
      </c>
      <c r="L41" s="2722"/>
      <c r="M41" s="2716"/>
      <c r="N41" s="2716"/>
      <c r="O41" s="2716"/>
      <c r="P41" s="3727"/>
      <c r="Q41" s="3470" t="str">
        <f t="shared" si="11"/>
        <v>层高</v>
      </c>
      <c r="R41" s="705" t="s">
        <v>14</v>
      </c>
      <c r="S41" s="706">
        <f t="shared" si="12"/>
        <v>100</v>
      </c>
      <c r="T41" s="705" t="s">
        <v>14</v>
      </c>
      <c r="U41" s="706">
        <f t="shared" si="13"/>
        <v>100</v>
      </c>
      <c r="V41" s="705" t="s">
        <v>14</v>
      </c>
      <c r="W41" s="706">
        <f t="shared" si="14"/>
        <v>100</v>
      </c>
      <c r="X41" s="3472"/>
      <c r="Y41" s="3729"/>
      <c r="Z41" s="3473" t="str">
        <f t="shared" si="15"/>
        <v>层高</v>
      </c>
      <c r="AA41" s="3471">
        <f t="shared" si="3"/>
        <v>1</v>
      </c>
      <c r="AB41" s="3471">
        <f t="shared" si="4"/>
        <v>1</v>
      </c>
      <c r="AC41" s="1962">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3471">
        <f t="shared" si="3"/>
        <v>1</v>
      </c>
      <c r="AB42" s="3471">
        <f t="shared" si="4"/>
        <v>1</v>
      </c>
      <c r="AC42" s="1962">
        <f t="shared" si="5"/>
        <v>1</v>
      </c>
    </row>
    <row r="43" spans="1:29" ht="15">
      <c r="A43" s="423"/>
      <c r="B43" s="375" t="s">
        <v>1792</v>
      </c>
      <c r="C43" s="411" t="s">
        <v>3453</v>
      </c>
      <c r="D43" s="386">
        <v>100</v>
      </c>
      <c r="E43" s="411" t="s">
        <v>3453</v>
      </c>
      <c r="F43" s="412">
        <f>SUMIF(123:123,E43,124:124)-SUMIF(123:123,C43,124:124)+100</f>
        <v>100</v>
      </c>
      <c r="G43" s="411" t="s">
        <v>3453</v>
      </c>
      <c r="H43" s="386">
        <f>SUMIF(123:123,G43,124:124)-SUMIF(123:123,C43,124:124)+100</f>
        <v>100</v>
      </c>
      <c r="I43" s="411" t="s">
        <v>3453</v>
      </c>
      <c r="J43" s="386">
        <f>SUMIF(123:123,I43,124:124)-SUMIF(123:123,C43,124:124)+100</f>
        <v>100</v>
      </c>
      <c r="K43" s="561">
        <v>2</v>
      </c>
      <c r="L43" s="2722"/>
      <c r="M43" s="2716"/>
      <c r="N43" s="2716"/>
      <c r="O43" s="2716"/>
      <c r="P43" s="3727"/>
      <c r="Q43" s="3470" t="str">
        <f t="shared" si="11"/>
        <v>内部装修</v>
      </c>
      <c r="R43" s="705" t="s">
        <v>14</v>
      </c>
      <c r="S43" s="706">
        <f t="shared" si="12"/>
        <v>100</v>
      </c>
      <c r="T43" s="705" t="s">
        <v>14</v>
      </c>
      <c r="U43" s="706">
        <f t="shared" si="13"/>
        <v>100</v>
      </c>
      <c r="V43" s="705" t="s">
        <v>14</v>
      </c>
      <c r="W43" s="706">
        <f t="shared" si="14"/>
        <v>100</v>
      </c>
      <c r="X43" s="3472"/>
      <c r="Y43" s="3729"/>
      <c r="Z43" s="3473" t="str">
        <f t="shared" si="15"/>
        <v>内部装修</v>
      </c>
      <c r="AA43" s="3471">
        <f t="shared" si="3"/>
        <v>1</v>
      </c>
      <c r="AB43" s="3471">
        <f t="shared" si="4"/>
        <v>1</v>
      </c>
      <c r="AC43" s="1962">
        <f t="shared" si="5"/>
        <v>1</v>
      </c>
    </row>
    <row r="44" spans="1:29" ht="15">
      <c r="A44" s="423"/>
      <c r="B44" s="375" t="s">
        <v>1707</v>
      </c>
      <c r="C44" s="411" t="s">
        <v>3474</v>
      </c>
      <c r="D44" s="386">
        <v>100</v>
      </c>
      <c r="E44" s="411" t="s">
        <v>3474</v>
      </c>
      <c r="F44" s="412">
        <f>SUMIF(125:125,E44,126:126)-SUMIF(125:125,C44,126:126)+100</f>
        <v>100</v>
      </c>
      <c r="G44" s="411" t="s">
        <v>3474</v>
      </c>
      <c r="H44" s="386">
        <f>SUMIF(125:125,G44,126:126)-SUMIF(125:125,C44,126:126)+100</f>
        <v>100</v>
      </c>
      <c r="I44" s="411" t="s">
        <v>3474</v>
      </c>
      <c r="J44" s="386">
        <f>SUMIF(125:125,I44,126:126)-SUMIF(125:125,C44,126:126)+100</f>
        <v>100</v>
      </c>
      <c r="K44" s="561">
        <v>1</v>
      </c>
      <c r="L44" s="2722"/>
      <c r="M44" s="2716"/>
      <c r="N44" s="2716"/>
      <c r="O44" s="2716"/>
      <c r="P44" s="3727"/>
      <c r="Q44" s="3470" t="str">
        <f t="shared" si="11"/>
        <v>内部装修维护情况</v>
      </c>
      <c r="R44" s="705" t="s">
        <v>14</v>
      </c>
      <c r="S44" s="706">
        <f t="shared" si="12"/>
        <v>100</v>
      </c>
      <c r="T44" s="705" t="s">
        <v>14</v>
      </c>
      <c r="U44" s="706">
        <f t="shared" si="13"/>
        <v>100</v>
      </c>
      <c r="V44" s="705" t="s">
        <v>14</v>
      </c>
      <c r="W44" s="706">
        <f t="shared" si="14"/>
        <v>100</v>
      </c>
      <c r="X44" s="3472"/>
      <c r="Y44" s="3729"/>
      <c r="Z44" s="3473" t="str">
        <f t="shared" si="15"/>
        <v>内部装修维护情况</v>
      </c>
      <c r="AA44" s="3471">
        <f t="shared" si="3"/>
        <v>1</v>
      </c>
      <c r="AB44" s="3471">
        <f t="shared" si="4"/>
        <v>1</v>
      </c>
      <c r="AC44" s="1962">
        <f t="shared" si="5"/>
        <v>1</v>
      </c>
    </row>
    <row r="45" spans="1:29" s="108" customFormat="1" ht="15">
      <c r="A45" s="424"/>
      <c r="B45" s="3824" t="s">
        <v>3477</v>
      </c>
      <c r="C45" s="420">
        <f>'数据-取费表'!N18</f>
        <v>2002</v>
      </c>
      <c r="D45" s="127">
        <v>100</v>
      </c>
      <c r="E45" s="383">
        <v>2002</v>
      </c>
      <c r="F45" s="376">
        <f>SUMIF(127:127,E45,128:128)-SUMIF(127:127,C45,128:128)+100</f>
        <v>100</v>
      </c>
      <c r="G45" s="383">
        <v>2006</v>
      </c>
      <c r="H45" s="127">
        <f>SUMIF(127:127,G45,128:128)-SUMIF(127:127,C45,128:128)+100</f>
        <v>100</v>
      </c>
      <c r="I45" s="383">
        <v>2008</v>
      </c>
      <c r="J45" s="127">
        <f>SUMIF(127:127,I45,128:128)-SUMIF(127:127,C45,128:128)+100</f>
        <v>100</v>
      </c>
      <c r="K45" s="562"/>
      <c r="L45" s="2717"/>
      <c r="M45" s="2718"/>
      <c r="N45" s="2718"/>
      <c r="O45" s="2718"/>
      <c r="P45" s="3727"/>
      <c r="Q45" s="3468" t="str">
        <f t="shared" si="11"/>
        <v>建成年代</v>
      </c>
      <c r="R45" s="701" t="s">
        <v>14</v>
      </c>
      <c r="S45" s="702">
        <f t="shared" si="12"/>
        <v>100</v>
      </c>
      <c r="T45" s="701" t="s">
        <v>14</v>
      </c>
      <c r="U45" s="702">
        <f t="shared" si="13"/>
        <v>100</v>
      </c>
      <c r="V45" s="701" t="s">
        <v>14</v>
      </c>
      <c r="W45" s="702">
        <f t="shared" si="14"/>
        <v>100</v>
      </c>
      <c r="X45" s="703"/>
      <c r="Y45" s="3729"/>
      <c r="Z45" s="3467"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3470">
        <f t="shared" si="11"/>
        <v>111</v>
      </c>
      <c r="R46" s="705" t="s">
        <v>14</v>
      </c>
      <c r="S46" s="706">
        <f t="shared" si="12"/>
        <v>100</v>
      </c>
      <c r="T46" s="705" t="s">
        <v>14</v>
      </c>
      <c r="U46" s="706">
        <f t="shared" si="13"/>
        <v>100</v>
      </c>
      <c r="V46" s="705" t="s">
        <v>14</v>
      </c>
      <c r="W46" s="706">
        <f t="shared" si="14"/>
        <v>100</v>
      </c>
      <c r="X46" s="3472"/>
      <c r="Y46" s="3729"/>
      <c r="Z46" s="3473">
        <f t="shared" si="15"/>
        <v>111</v>
      </c>
      <c r="AA46" s="3471">
        <f t="shared" si="3"/>
        <v>1</v>
      </c>
      <c r="AB46" s="3471">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3470">
        <f t="shared" si="11"/>
        <v>111</v>
      </c>
      <c r="R47" s="705" t="s">
        <v>14</v>
      </c>
      <c r="S47" s="706">
        <f t="shared" si="12"/>
        <v>100</v>
      </c>
      <c r="T47" s="705" t="s">
        <v>14</v>
      </c>
      <c r="U47" s="706">
        <f t="shared" si="13"/>
        <v>100</v>
      </c>
      <c r="V47" s="705" t="s">
        <v>14</v>
      </c>
      <c r="W47" s="706">
        <f t="shared" si="14"/>
        <v>100</v>
      </c>
      <c r="X47" s="3472"/>
      <c r="Y47" s="3730"/>
      <c r="Z47" s="3473">
        <f t="shared" si="15"/>
        <v>111</v>
      </c>
      <c r="AA47" s="3471">
        <f t="shared" si="3"/>
        <v>1</v>
      </c>
      <c r="AB47" s="3471">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704" t="str">
        <f>A48</f>
        <v>成交单价（元/平方米）</v>
      </c>
      <c r="Q48" s="3722"/>
      <c r="R48" s="3723">
        <f>E48</f>
        <v>5.5</v>
      </c>
      <c r="S48" s="3723"/>
      <c r="T48" s="3723">
        <f>G48</f>
        <v>5.5</v>
      </c>
      <c r="U48" s="3723"/>
      <c r="V48" s="3723">
        <f>I48</f>
        <v>5.5</v>
      </c>
      <c r="W48" s="3723"/>
      <c r="X48" s="397"/>
      <c r="Y48" s="712"/>
      <c r="Z48" s="397"/>
      <c r="AA48" s="397"/>
      <c r="AB48" s="397"/>
      <c r="AC48" s="578"/>
    </row>
    <row r="49" spans="1:29" ht="15.75" thickBot="1">
      <c r="A49" s="437" t="s">
        <v>1709</v>
      </c>
      <c r="B49" s="438"/>
      <c r="C49" s="1160">
        <f>R50</f>
        <v>5.2</v>
      </c>
      <c r="D49" s="2317" t="s">
        <v>2138</v>
      </c>
      <c r="E49" s="1161">
        <f>R49</f>
        <v>5.2</v>
      </c>
      <c r="F49" s="2318"/>
      <c r="G49" s="1160">
        <f>T49</f>
        <v>5.2</v>
      </c>
      <c r="H49" s="2318"/>
      <c r="I49" s="1161">
        <f>V49</f>
        <v>5.2</v>
      </c>
      <c r="J49" s="2318"/>
      <c r="K49" s="2320">
        <f>F49+H49+J49</f>
        <v>0</v>
      </c>
      <c r="L49" s="2724"/>
      <c r="M49" s="2716"/>
      <c r="N49" s="2716"/>
      <c r="O49" s="2716"/>
      <c r="P49" s="3704" t="str">
        <f>A49</f>
        <v>比较价值（元/平方米）</v>
      </c>
      <c r="Q49" s="3722"/>
      <c r="R49" s="3723">
        <f>IF(F1="售价",ROUND(PRODUCT(R48,AA7:AA47),0),ROUND(PRODUCT(R48,AA7:AA47),1))</f>
        <v>5.2</v>
      </c>
      <c r="S49" s="3723"/>
      <c r="T49" s="3723">
        <f>IF(F1="售价",ROUND(PRODUCT(T48,AB7:AB47),0),ROUND(PRODUCT(T48,AB7:AB47),1))</f>
        <v>5.2</v>
      </c>
      <c r="U49" s="3723"/>
      <c r="V49" s="3723">
        <f>IF(F1="售价",ROUND(PRODUCT(V48,AC7:AC47),0),ROUND(PRODUCT(V48,AC7:AC47),1))</f>
        <v>5.2</v>
      </c>
      <c r="W49" s="3723"/>
      <c r="X49" s="397"/>
      <c r="Y49" s="397"/>
      <c r="Z49" s="397"/>
      <c r="AA49" s="397"/>
      <c r="AB49" s="397"/>
      <c r="AC49" s="578"/>
    </row>
    <row r="50" spans="1:29" ht="15.75" thickBot="1">
      <c r="A50" s="441" t="s">
        <v>1710</v>
      </c>
      <c r="B50" s="442"/>
      <c r="C50" s="1163">
        <f>R50</f>
        <v>5.2</v>
      </c>
      <c r="D50" s="1163"/>
      <c r="E50" s="1163"/>
      <c r="F50" s="1163"/>
      <c r="G50" s="1163"/>
      <c r="H50" s="1163"/>
      <c r="I50" s="1163"/>
      <c r="J50" s="443"/>
      <c r="K50" s="715"/>
      <c r="L50" s="2724"/>
      <c r="M50" s="2716"/>
      <c r="N50" s="2716"/>
      <c r="O50" s="2716"/>
      <c r="P50" s="3745" t="str">
        <f>A50</f>
        <v>估价对象XX用房的比较价值（楼面单价，元/平方米）</v>
      </c>
      <c r="Q50" s="3746"/>
      <c r="R50" s="3747">
        <f>IF(F1="售价",ROUND(IF(D49="简单平均",AVERAGE(R49:V49),R49*F49+T49*H49+V49*J49),0),ROUND(IF(D49="简单平均",AVERAGE(R49:V49),R49*F49+T49*H49+V49*J49),1))</f>
        <v>5.2</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5.7692307692307709E-2</v>
      </c>
      <c r="F53" s="449" t="str">
        <f>IF(OR(E53&gt;=0.3,E53&lt;=-0.3),"超过30%","")</f>
        <v/>
      </c>
      <c r="G53" s="448">
        <f>IF(G48&lt;G49,G49/G48-1,G48/G49-1)</f>
        <v>5.7692307692307709E-2</v>
      </c>
      <c r="H53" s="449" t="str">
        <f>IF(OR(G53&gt;=0.3,G53&lt;=-0.3),"超过30%","")</f>
        <v/>
      </c>
      <c r="I53" s="448">
        <f>IF(I48&lt;I49,I49/I48-1,I48/I49-1)</f>
        <v>5.7692307692307709E-2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818" t="s">
        <v>3438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3439</v>
      </c>
      <c r="D66" s="532" t="s">
        <v>3440</v>
      </c>
      <c r="E66" s="532" t="s">
        <v>3441</v>
      </c>
      <c r="F66" s="532" t="s">
        <v>3442</v>
      </c>
      <c r="G66" s="532" t="s">
        <v>3443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0（含）-2</v>
      </c>
      <c r="D68" s="496" t="str">
        <f t="shared" ref="D68:L68" si="18">D69&amp;"（含）"&amp;"-"&amp;E69</f>
        <v>2（含）-4</v>
      </c>
      <c r="E68" s="496" t="str">
        <f t="shared" si="18"/>
        <v>4（含）-6</v>
      </c>
      <c r="F68" s="496" t="str">
        <f t="shared" si="18"/>
        <v>6（含）-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2</v>
      </c>
      <c r="E69" s="498">
        <v>4</v>
      </c>
      <c r="F69" s="498">
        <v>6</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19" t="s">
        <v>3445</v>
      </c>
      <c r="D89" s="3819" t="s">
        <v>3447</v>
      </c>
      <c r="E89" s="3819" t="s">
        <v>3449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0" t="s">
        <v>3451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19" t="s">
        <v>3452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19" t="s">
        <v>3454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19" t="s">
        <v>3461</v>
      </c>
      <c r="D113" s="3819" t="s">
        <v>3462</v>
      </c>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19" t="s">
        <v>3456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19" t="s">
        <v>3458</v>
      </c>
      <c r="D117" s="3819" t="s">
        <v>3459</v>
      </c>
      <c r="E117" s="3819" t="s">
        <v>3460</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21" t="s">
        <v>3464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19" t="s">
        <v>3454</v>
      </c>
      <c r="D123" s="3819" t="s">
        <v>3465</v>
      </c>
      <c r="E123" s="3819" t="s">
        <v>3466</v>
      </c>
      <c r="F123" s="3821" t="s">
        <v>3467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建成年代</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19.239999999999998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1154.5645999999999</v>
      </c>
      <c r="C2" s="1387" t="s">
        <v>879</v>
      </c>
      <c r="D2" s="1471">
        <f ca="1">C40+J29+L46</f>
        <v>11545646</v>
      </c>
      <c r="E2" s="1388" t="s">
        <v>880</v>
      </c>
      <c r="F2" s="1389"/>
      <c r="G2" s="2706"/>
      <c r="H2" s="2695"/>
      <c r="I2" s="2695"/>
      <c r="J2" s="2695"/>
      <c r="K2" s="2696"/>
      <c r="L2" s="2695"/>
      <c r="M2" s="2695"/>
    </row>
    <row r="3" spans="1:37" ht="18" customHeight="1" thickBot="1">
      <c r="A3" s="1390" t="s">
        <v>881</v>
      </c>
      <c r="B3" s="1391">
        <f ca="1">IF(ISERROR(D2/F43),0,ROUND(D2/F43,0))</f>
        <v>21961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899192</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898069</v>
      </c>
      <c r="D6" s="155" t="s">
        <v>2106</v>
      </c>
      <c r="E6" s="302" t="s">
        <v>696</v>
      </c>
      <c r="F6" s="303">
        <f ca="1">INDIRECT("'数据-取费表'!u"&amp;$G$1)</f>
        <v>5.2</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525.74</v>
      </c>
      <c r="G7" s="1384"/>
      <c r="H7" s="304"/>
      <c r="I7" s="3664"/>
      <c r="J7" s="306"/>
      <c r="K7" s="307"/>
      <c r="L7" s="302" t="s">
        <v>697</v>
      </c>
      <c r="M7" s="303">
        <f ca="1">F7</f>
        <v>525.74</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1123</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3162630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3049292</v>
      </c>
      <c r="D14" s="1345" t="s">
        <v>708</v>
      </c>
      <c r="E14" s="1342"/>
      <c r="F14" s="319"/>
      <c r="G14" s="1384"/>
      <c r="H14" s="982" t="s">
        <v>398</v>
      </c>
      <c r="I14" s="302" t="s">
        <v>709</v>
      </c>
      <c r="J14" s="21">
        <f ca="1">C29</f>
        <v>4454409</v>
      </c>
      <c r="K14" s="12"/>
      <c r="L14" s="807"/>
      <c r="M14" s="808"/>
    </row>
    <row r="15" spans="1:37" s="1397" customFormat="1" ht="18" customHeight="1" thickBot="1">
      <c r="A15" s="982" t="s">
        <v>399</v>
      </c>
      <c r="B15" s="302" t="s">
        <v>710</v>
      </c>
      <c r="C15" s="21">
        <f ca="1">ROUND(C14*F15,0)</f>
        <v>152465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13363</v>
      </c>
      <c r="K16" s="1087" t="s">
        <v>715</v>
      </c>
      <c r="L16" s="1088"/>
      <c r="M16" s="1072"/>
    </row>
    <row r="17" spans="1:37" s="1397" customFormat="1" ht="18" customHeight="1">
      <c r="A17" s="982" t="s">
        <v>681</v>
      </c>
      <c r="B17" s="302" t="s">
        <v>716</v>
      </c>
      <c r="C17" s="21">
        <f ca="1">ROUND(F17*(F43+INDIRECT("'数据-取费表'!S"&amp;$G$1)),0)</f>
        <v>105148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76232</v>
      </c>
      <c r="D18" s="302" t="s">
        <v>711</v>
      </c>
      <c r="E18" s="302" t="s">
        <v>712</v>
      </c>
      <c r="F18" s="322">
        <f>'数据-取费表'!B36</f>
        <v>2.5000000000000001E-2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3383137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101494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13363</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104539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-13363</v>
      </c>
      <c r="K25" s="1095" t="s">
        <v>753</v>
      </c>
      <c r="L25" s="1096"/>
      <c r="M25" s="1097"/>
    </row>
    <row r="26" spans="1:37" ht="18" customHeight="1">
      <c r="A26" s="982" t="s">
        <v>397</v>
      </c>
      <c r="B26" s="302" t="s">
        <v>754</v>
      </c>
      <c r="C26" s="21">
        <f ca="1">ROUND((C19+C20)*F26,0)</f>
        <v>522695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4454409</v>
      </c>
      <c r="D29" s="1092"/>
      <c r="E29" s="1090"/>
      <c r="F29" s="1093"/>
      <c r="G29" s="1396"/>
      <c r="H29" s="334" t="s">
        <v>396</v>
      </c>
      <c r="I29" s="335" t="s">
        <v>768</v>
      </c>
      <c r="J29" s="336">
        <f ca="1">ROUND(J26/(1+F40)^F41,0)</f>
        <v>0</v>
      </c>
      <c r="K29" s="337" t="s">
        <v>769</v>
      </c>
      <c r="L29" s="338"/>
      <c r="M29" s="339">
        <f ca="1">INDIRECT("'数据-取费表'!k"&amp;$G$1)</f>
        <v>525.74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85389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59871</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13363</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3163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8992</v>
      </c>
      <c r="D38" s="1092" t="s">
        <v>748</v>
      </c>
      <c r="E38" s="1090" t="s">
        <v>744</v>
      </c>
      <c r="F38" s="1086">
        <f ca="1">INDIRECT("'数据-取费表'!Am"&amp;$G$1)</f>
        <v>0.01</v>
      </c>
      <c r="G38" s="1384"/>
      <c r="H38" s="2700">
        <f ca="1">C38/C36</f>
        <v>0.67290279128938113</v>
      </c>
      <c r="I38" s="1398"/>
      <c r="J38" s="1399"/>
      <c r="K38" s="2704"/>
      <c r="L38" s="2700"/>
      <c r="M38" s="2700"/>
    </row>
    <row r="39" spans="1:18" ht="24.6" customHeight="1" thickTop="1">
      <c r="A39" s="1079" t="s">
        <v>394</v>
      </c>
      <c r="B39" s="1094" t="s">
        <v>772</v>
      </c>
      <c r="C39" s="310">
        <f ca="1">C5-C30</f>
        <v>813803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11102495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19.239999999999998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21118</v>
      </c>
      <c r="D43" s="337" t="s">
        <v>777</v>
      </c>
      <c r="E43" s="338" t="s">
        <v>778</v>
      </c>
      <c r="F43" s="339">
        <f ca="1">INDIRECT("'数据-取费表'!k"&amp;$G$1)</f>
        <v>525.74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-1129.5709999999999</v>
      </c>
      <c r="D45" s="3432" t="s">
        <v>3353</v>
      </c>
      <c r="E45" s="1400"/>
      <c r="F45" s="1400"/>
      <c r="O45" s="1403" t="s">
        <v>808</v>
      </c>
      <c r="P45" s="1461"/>
      <c r="Q45" s="1461"/>
      <c r="R45" s="1461"/>
    </row>
    <row r="46" spans="1:18" s="1384" customFormat="1" ht="13.5" thickBot="1">
      <c r="A46" s="1404" t="s">
        <v>809</v>
      </c>
      <c r="C46" s="1405">
        <f ca="1">ROUND(C45,0)</f>
        <v>-1130</v>
      </c>
      <c r="D46" s="1406" t="str">
        <f>C2</f>
        <v>万元</v>
      </c>
      <c r="I46" s="1407" t="s">
        <v>810</v>
      </c>
      <c r="J46" s="1408"/>
      <c r="K46" s="1409"/>
      <c r="L46" s="1410">
        <f ca="1">IF(M47="住宅",0,IF(L48&gt;J51,L60,J60))</f>
        <v>443151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50</v>
      </c>
      <c r="M47" s="1380" t="str">
        <f>IF(ISNUMBER(FIND("住宅",C1)),"住宅","非住宅")</f>
        <v>非住宅</v>
      </c>
      <c r="O47" s="1418" t="s">
        <v>403</v>
      </c>
      <c r="P47" s="1419" t="s">
        <v>817</v>
      </c>
      <c r="Q47" s="1420">
        <f ca="1">C40+J29</f>
        <v>11102495</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19.239999999999998</v>
      </c>
      <c r="O48" s="1418" t="s">
        <v>404</v>
      </c>
      <c r="P48" s="1419" t="s">
        <v>821</v>
      </c>
      <c r="Q48" s="1420">
        <f ca="1">J60</f>
        <v>443151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2002</v>
      </c>
      <c r="K49" s="1423" t="s">
        <v>824</v>
      </c>
      <c r="L49" s="1427"/>
      <c r="O49" s="1428" t="s">
        <v>405</v>
      </c>
      <c r="P49" s="1419" t="s">
        <v>825</v>
      </c>
      <c r="Q49" s="1420">
        <f ca="1">C29</f>
        <v>4454409</v>
      </c>
      <c r="R49" s="1420" t="s">
        <v>818</v>
      </c>
    </row>
    <row r="50" spans="1:18" s="1384" customFormat="1" ht="13.5" thickBot="1">
      <c r="A50" s="976"/>
      <c r="B50" s="979"/>
      <c r="C50" s="980"/>
      <c r="D50" s="953"/>
      <c r="E50" s="1056" t="s">
        <v>697</v>
      </c>
      <c r="F50" s="1057">
        <f ca="1">F7</f>
        <v>525.74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9900082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19.239999999999998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19.239999999999998</v>
      </c>
      <c r="K53" s="3661" t="s">
        <v>837</v>
      </c>
      <c r="L53" s="3662"/>
      <c r="O53" s="1418" t="s">
        <v>409</v>
      </c>
      <c r="P53" s="1419" t="s">
        <v>838</v>
      </c>
      <c r="Q53" s="1420">
        <f ca="1">Q47+Q48</f>
        <v>11545646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3162630</v>
      </c>
      <c r="D56" s="1447"/>
      <c r="E56" s="1448"/>
      <c r="F56" s="1440"/>
      <c r="I56" s="1449" t="s">
        <v>842</v>
      </c>
      <c r="J56" s="1450" t="s">
        <v>3419</v>
      </c>
      <c r="K56" s="1421" t="s">
        <v>843</v>
      </c>
      <c r="L56" s="1424" t="str">
        <f ca="1">IF(L48&lt;J51,"——",L48-J51)</f>
        <v>——</v>
      </c>
      <c r="O56" s="1418" t="s">
        <v>403</v>
      </c>
      <c r="P56" s="1419" t="s">
        <v>817</v>
      </c>
      <c r="Q56" s="1420">
        <f ca="1">C40+J29</f>
        <v>11102495</v>
      </c>
      <c r="R56" s="1420" t="s">
        <v>818</v>
      </c>
    </row>
    <row r="57" spans="1:18" s="1384" customFormat="1" ht="24.75" thickBot="1">
      <c r="A57" s="1451"/>
      <c r="B57" s="950" t="s">
        <v>767</v>
      </c>
      <c r="C57" s="238">
        <f ca="1">C29</f>
        <v>4454409</v>
      </c>
      <c r="D57" s="1452"/>
      <c r="E57" s="1453"/>
      <c r="F57" s="1454"/>
      <c r="I57" s="1455" t="s">
        <v>844</v>
      </c>
      <c r="J57" s="1456">
        <f ca="1">IF(OR(M47="住宅",J51&lt;L48,J56="是"),"——",J51-L48)</f>
        <v>17.760000000000002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16526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1781764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443151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11102495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13363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3163</v>
      </c>
      <c r="D65" s="964" t="s">
        <v>743</v>
      </c>
      <c r="E65" s="950" t="s">
        <v>744</v>
      </c>
      <c r="F65" s="330">
        <f t="shared" ca="1" si="0"/>
        <v>1E-3</v>
      </c>
      <c r="I65" s="1462" t="s">
        <v>867</v>
      </c>
      <c r="J65" s="1463">
        <v>40</v>
      </c>
      <c r="K65" s="1463">
        <v>30</v>
      </c>
      <c r="L65" s="1463">
        <v>50</v>
      </c>
      <c r="M65" s="1465">
        <v>0.02</v>
      </c>
      <c r="O65" s="1418" t="s">
        <v>403</v>
      </c>
      <c r="P65" s="1419" t="s">
        <v>868</v>
      </c>
      <c r="Q65" s="1420">
        <f ca="1">C40+J29</f>
        <v>11102495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-16526</v>
      </c>
      <c r="D67" s="963" t="s">
        <v>753</v>
      </c>
      <c r="E67" s="968"/>
      <c r="F67" s="969"/>
      <c r="O67" s="1428" t="s">
        <v>405</v>
      </c>
      <c r="P67" s="1419" t="s">
        <v>850</v>
      </c>
      <c r="Q67" s="1466">
        <f ca="1">L51</f>
        <v>9900082</v>
      </c>
      <c r="R67" s="1420" t="s">
        <v>870</v>
      </c>
    </row>
    <row r="68" spans="1:18" s="1384" customFormat="1" ht="16.5" thickBot="1">
      <c r="A68" s="947" t="s">
        <v>395</v>
      </c>
      <c r="B68" s="948" t="s">
        <v>774</v>
      </c>
      <c r="C68" s="301">
        <f ca="1">ROUND(C67*(1-((1+F70)/(1+F68))^F69)/(F68-F70),0)</f>
        <v>-193215</v>
      </c>
      <c r="D68" s="965" t="s">
        <v>758</v>
      </c>
      <c r="E68" s="950" t="s">
        <v>759</v>
      </c>
      <c r="F68" s="312">
        <f ca="1">F40</f>
        <v>5.5E-2</v>
      </c>
      <c r="O68" s="1428" t="s">
        <v>406</v>
      </c>
      <c r="P68" s="1467" t="s">
        <v>871</v>
      </c>
      <c r="Q68" s="1420">
        <f ca="1">ROUND(Q69-Q70*Q71,0)</f>
        <v>592419</v>
      </c>
      <c r="R68" s="1420" t="s">
        <v>414</v>
      </c>
    </row>
    <row r="69" spans="1:18" s="1384" customFormat="1" ht="13.5" thickBot="1">
      <c r="A69" s="951"/>
      <c r="B69" s="952"/>
      <c r="C69" s="306"/>
      <c r="D69" s="970" t="s">
        <v>762</v>
      </c>
      <c r="E69" s="950" t="s">
        <v>763</v>
      </c>
      <c r="F69" s="333">
        <f ca="1">F41</f>
        <v>19.239999999999998</v>
      </c>
      <c r="O69" s="1428" t="s">
        <v>411</v>
      </c>
      <c r="P69" s="1467" t="s">
        <v>872</v>
      </c>
      <c r="Q69" s="1420">
        <f ca="1">C39</f>
        <v>813803</v>
      </c>
      <c r="R69" s="1420" t="s">
        <v>818</v>
      </c>
    </row>
    <row r="70" spans="1:18" s="1384" customFormat="1" ht="13.5" thickBot="1">
      <c r="A70" s="954"/>
      <c r="B70" s="955"/>
      <c r="C70" s="310"/>
      <c r="D70" s="966"/>
      <c r="E70" s="950" t="s">
        <v>766</v>
      </c>
      <c r="F70" s="1054"/>
      <c r="O70" s="1428" t="s">
        <v>412</v>
      </c>
      <c r="P70" s="1467" t="s">
        <v>873</v>
      </c>
      <c r="Q70" s="1420">
        <f ca="1">C13</f>
        <v>3162630</v>
      </c>
      <c r="R70" s="1420" t="s">
        <v>818</v>
      </c>
    </row>
    <row r="71" spans="1:18" s="1384" customFormat="1" ht="13.5" thickBot="1">
      <c r="A71" s="971" t="s">
        <v>396</v>
      </c>
      <c r="B71" s="972" t="s">
        <v>776</v>
      </c>
      <c r="C71" s="336">
        <f ca="1">ROUND(C68/F71,0)</f>
        <v>-368</v>
      </c>
      <c r="D71" s="973" t="s">
        <v>777</v>
      </c>
      <c r="E71" s="974" t="s">
        <v>778</v>
      </c>
      <c r="F71" s="339">
        <f ca="1">F43</f>
        <v>525.74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221384</v>
      </c>
      <c r="D75" s="1384"/>
      <c r="E75" s="1384"/>
      <c r="F75" s="1384"/>
      <c r="K75" s="1402"/>
      <c r="L75" s="1384"/>
      <c r="O75" s="1418" t="s">
        <v>409</v>
      </c>
      <c r="P75" s="1419" t="s">
        <v>838</v>
      </c>
      <c r="Q75" s="1420">
        <f ca="1">Q65+Q66</f>
        <v>11102495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0.72799999999999998</v>
      </c>
    </row>
    <row r="80" spans="1:18">
      <c r="B80" s="340" t="s">
        <v>800</v>
      </c>
      <c r="C80" s="274">
        <f ca="1">ROUND(C75/C39,3)</f>
        <v>0.27200000000000002</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6" t="s">
        <v>2317</v>
      </c>
      <c r="K2" s="366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8" t="s">
        <v>2327</v>
      </c>
      <c r="K3" s="366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8" t="s">
        <v>2329</v>
      </c>
      <c r="K4" s="366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0" t="s">
        <v>2333</v>
      </c>
      <c r="B6" s="3671"/>
      <c r="C6" s="3672"/>
      <c r="D6" s="2870"/>
      <c r="E6" s="2871"/>
      <c r="F6" s="2872"/>
      <c r="G6" s="2873"/>
      <c r="H6" s="2848"/>
      <c r="I6" s="2849"/>
      <c r="J6" s="3673">
        <v>1</v>
      </c>
      <c r="K6" s="367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3"/>
      <c r="K7" s="367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7" t="s">
        <v>2347</v>
      </c>
      <c r="C8" s="3678"/>
      <c r="D8" s="2889" t="s">
        <v>2348</v>
      </c>
      <c r="E8" s="2890" t="s">
        <v>2349</v>
      </c>
      <c r="F8" s="2891" t="s">
        <v>2350</v>
      </c>
      <c r="G8" s="2892"/>
      <c r="H8" s="2848"/>
      <c r="I8" s="2849"/>
      <c r="J8" s="3673"/>
      <c r="K8" s="367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7" t="s">
        <v>2353</v>
      </c>
      <c r="C9" s="3678"/>
      <c r="D9" s="2889">
        <f>ROUND(D6*E9,0)</f>
        <v>0</v>
      </c>
      <c r="E9" s="2893"/>
      <c r="F9" s="2894" t="s">
        <v>2354</v>
      </c>
      <c r="G9" s="2873"/>
      <c r="H9" s="2848"/>
      <c r="I9" s="2849"/>
      <c r="J9" s="3673"/>
      <c r="K9" s="3675"/>
      <c r="L9" s="2883" t="s">
        <v>2355</v>
      </c>
      <c r="M9" s="2884"/>
      <c r="N9" s="2860"/>
      <c r="O9" s="2885"/>
      <c r="P9" s="2885"/>
      <c r="Q9" s="2886">
        <v>365</v>
      </c>
      <c r="R9" s="2887">
        <f t="shared" si="0"/>
        <v>0</v>
      </c>
      <c r="S9" s="2841"/>
      <c r="T9" s="2841"/>
      <c r="U9" s="2841"/>
      <c r="V9" s="2849"/>
    </row>
    <row r="10" spans="1:22" s="2853" customFormat="1" ht="13.15" customHeight="1">
      <c r="A10" s="2888">
        <v>2</v>
      </c>
      <c r="B10" s="3677" t="s">
        <v>2356</v>
      </c>
      <c r="C10" s="3678"/>
      <c r="D10" s="2889">
        <f>ROUND(D6*E10,0)</f>
        <v>0</v>
      </c>
      <c r="E10" s="2893"/>
      <c r="F10" s="2894" t="s">
        <v>2357</v>
      </c>
      <c r="G10" s="2873"/>
      <c r="H10" s="2848"/>
      <c r="I10" s="2849"/>
      <c r="J10" s="3673"/>
      <c r="K10" s="3675"/>
      <c r="L10" s="2883" t="s">
        <v>2358</v>
      </c>
      <c r="M10" s="2884"/>
      <c r="N10" s="2860"/>
      <c r="O10" s="2885"/>
      <c r="P10" s="2885"/>
      <c r="Q10" s="2886">
        <v>365</v>
      </c>
      <c r="R10" s="2887">
        <f t="shared" si="0"/>
        <v>0</v>
      </c>
      <c r="S10" s="2841"/>
      <c r="T10" s="2841"/>
      <c r="U10" s="2841"/>
      <c r="V10" s="2849"/>
    </row>
    <row r="11" spans="1:22" s="2853" customFormat="1" ht="13.15" customHeight="1">
      <c r="A11" s="2888">
        <v>3</v>
      </c>
      <c r="B11" s="3677" t="s">
        <v>2359</v>
      </c>
      <c r="C11" s="3678"/>
      <c r="D11" s="2889">
        <f>D12+D14+D15+D16</f>
        <v>0</v>
      </c>
      <c r="E11" s="2895" t="e">
        <f>D11/D6</f>
        <v>#DIV/0!</v>
      </c>
      <c r="F11" s="2891"/>
      <c r="G11" s="2892"/>
      <c r="H11" s="2848"/>
      <c r="I11" s="2849"/>
      <c r="J11" s="3673"/>
      <c r="K11" s="367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73"/>
      <c r="K12" s="367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3"/>
      <c r="K13" s="367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73"/>
      <c r="K14" s="367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73">
        <v>2</v>
      </c>
      <c r="K15" s="367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73"/>
      <c r="K16" s="367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73"/>
      <c r="K17" s="367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3"/>
      <c r="K18" s="367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3"/>
      <c r="K19" s="367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3"/>
      <c r="K21" s="367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3"/>
      <c r="K22" s="367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3"/>
      <c r="K23" s="367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3"/>
      <c r="K24" s="367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6" t="s">
        <v>2317</v>
      </c>
      <c r="K32" s="366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8" t="s">
        <v>2327</v>
      </c>
      <c r="K33" s="366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8" t="s">
        <v>2329</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3">
        <v>1</v>
      </c>
      <c r="K36" s="367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3"/>
      <c r="K40" s="367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1154.5645999999999</v>
      </c>
      <c r="C2" s="1872" t="s">
        <v>1651</v>
      </c>
      <c r="D2" s="1873" t="s">
        <v>1652</v>
      </c>
      <c r="E2" s="2607">
        <f>SUM(E6:E13)</f>
        <v>525.74</v>
      </c>
      <c r="F2" s="2707"/>
      <c r="G2" s="1489"/>
      <c r="H2" s="1489"/>
      <c r="I2" s="1489"/>
      <c r="J2" s="1489"/>
      <c r="K2" s="1489"/>
      <c r="L2" s="1489"/>
      <c r="M2" s="1489"/>
      <c r="N2" s="1489"/>
      <c r="O2" s="1489"/>
      <c r="P2" s="1489"/>
      <c r="Q2" s="1489"/>
      <c r="R2" s="1489"/>
      <c r="S2" s="1489"/>
    </row>
    <row r="3" spans="1:22" ht="15.75">
      <c r="A3" s="1870" t="s">
        <v>686</v>
      </c>
      <c r="B3" s="2601">
        <f ca="1">ROUND(B2*10000/E2,0)</f>
        <v>21961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1154.5645999999999</v>
      </c>
      <c r="C6" s="1872" t="s">
        <v>1651</v>
      </c>
      <c r="D6" s="2709"/>
      <c r="E6" s="2606">
        <f>IF(OR(A6=0,F6="否"),0,'数据-取费表'!K6+'数据-取费表'!S6)</f>
        <v>525.74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525.74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692" t="s">
        <v>1668</v>
      </c>
      <c r="S4" s="3693"/>
      <c r="T4" s="3692" t="s">
        <v>1669</v>
      </c>
      <c r="U4" s="3693"/>
      <c r="V4" s="3717" t="s">
        <v>1670</v>
      </c>
      <c r="W4" s="3717"/>
      <c r="X4" s="1355"/>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90"/>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1890"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1" t="s">
        <v>1691</v>
      </c>
      <c r="Q15" s="1352" t="str">
        <f t="shared" si="6"/>
        <v>居住社区成熟度</v>
      </c>
      <c r="R15" s="705" t="s">
        <v>18</v>
      </c>
      <c r="S15" s="706">
        <f t="shared" si="0"/>
        <v>100</v>
      </c>
      <c r="T15" s="705" t="s">
        <v>18</v>
      </c>
      <c r="U15" s="706">
        <f t="shared" si="1"/>
        <v>100</v>
      </c>
      <c r="V15" s="705" t="s">
        <v>18</v>
      </c>
      <c r="W15" s="706">
        <f t="shared" si="2"/>
        <v>100</v>
      </c>
      <c r="X15" s="1355"/>
      <c r="Y15" s="37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2"/>
      <c r="Q16" s="1352"/>
      <c r="R16" s="705"/>
      <c r="S16" s="706"/>
      <c r="T16" s="705"/>
      <c r="U16" s="706"/>
      <c r="V16" s="705"/>
      <c r="W16" s="706"/>
      <c r="X16" s="1355"/>
      <c r="Y16" s="372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2"/>
      <c r="Q17" s="1352" t="str">
        <f>B17</f>
        <v>交通便捷度</v>
      </c>
      <c r="R17" s="705" t="s">
        <v>18</v>
      </c>
      <c r="S17" s="706">
        <f>F17</f>
        <v>100</v>
      </c>
      <c r="T17" s="705" t="s">
        <v>18</v>
      </c>
      <c r="U17" s="706">
        <f>H17</f>
        <v>100</v>
      </c>
      <c r="V17" s="705" t="s">
        <v>18</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2"/>
      <c r="Q19" s="1352" t="str">
        <f>B19</f>
        <v>公共配套设施</v>
      </c>
      <c r="R19" s="705" t="s">
        <v>18</v>
      </c>
      <c r="S19" s="706">
        <f>F19</f>
        <v>100</v>
      </c>
      <c r="T19" s="705" t="s">
        <v>18</v>
      </c>
      <c r="U19" s="706">
        <f>H19</f>
        <v>100</v>
      </c>
      <c r="V19" s="705" t="s">
        <v>18</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2"/>
      <c r="Q22" s="1352"/>
      <c r="R22" s="705"/>
      <c r="S22" s="706"/>
      <c r="T22" s="705"/>
      <c r="U22" s="706"/>
      <c r="V22" s="705"/>
      <c r="W22" s="706"/>
      <c r="X22" s="1355"/>
      <c r="Y22" s="372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2"/>
      <c r="Q23" s="1352" t="str">
        <f>B23</f>
        <v>自然及人文环境</v>
      </c>
      <c r="R23" s="705" t="s">
        <v>18</v>
      </c>
      <c r="S23" s="706">
        <f>F23</f>
        <v>100</v>
      </c>
      <c r="T23" s="705" t="s">
        <v>18</v>
      </c>
      <c r="U23" s="706">
        <f>H23</f>
        <v>100</v>
      </c>
      <c r="V23" s="705" t="s">
        <v>18</v>
      </c>
      <c r="W23" s="706">
        <f>J23</f>
        <v>100</v>
      </c>
      <c r="X23" s="1355"/>
      <c r="Y23" s="37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2"/>
      <c r="Q26" s="1352" t="str">
        <f t="shared" si="11"/>
        <v>朝向</v>
      </c>
      <c r="R26" s="705" t="s">
        <v>18</v>
      </c>
      <c r="S26" s="706">
        <f t="shared" si="12"/>
        <v>100</v>
      </c>
      <c r="T26" s="705" t="s">
        <v>18</v>
      </c>
      <c r="U26" s="706">
        <f t="shared" si="13"/>
        <v>100</v>
      </c>
      <c r="V26" s="705" t="s">
        <v>18</v>
      </c>
      <c r="W26" s="706">
        <f t="shared" si="14"/>
        <v>100</v>
      </c>
      <c r="X26" s="1355"/>
      <c r="Y26" s="372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2"/>
      <c r="Q27" s="1343">
        <f t="shared" si="11"/>
        <v>111</v>
      </c>
      <c r="R27" s="701" t="s">
        <v>18</v>
      </c>
      <c r="S27" s="702">
        <f t="shared" si="12"/>
        <v>100</v>
      </c>
      <c r="T27" s="701" t="s">
        <v>18</v>
      </c>
      <c r="U27" s="702">
        <f t="shared" si="13"/>
        <v>100</v>
      </c>
      <c r="V27" s="701" t="s">
        <v>18</v>
      </c>
      <c r="W27" s="702">
        <f t="shared" si="14"/>
        <v>100</v>
      </c>
      <c r="X27" s="703"/>
      <c r="Y27" s="372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2"/>
      <c r="Q28" s="1352">
        <f t="shared" si="11"/>
        <v>111</v>
      </c>
      <c r="R28" s="705" t="s">
        <v>18</v>
      </c>
      <c r="S28" s="706">
        <f t="shared" si="12"/>
        <v>100</v>
      </c>
      <c r="T28" s="705" t="s">
        <v>18</v>
      </c>
      <c r="U28" s="706">
        <f t="shared" si="13"/>
        <v>100</v>
      </c>
      <c r="V28" s="705" t="s">
        <v>18</v>
      </c>
      <c r="W28" s="706">
        <f t="shared" si="14"/>
        <v>100</v>
      </c>
      <c r="X28" s="1355"/>
      <c r="Y28" s="37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2"/>
      <c r="Q29" s="1352">
        <f t="shared" si="11"/>
        <v>111</v>
      </c>
      <c r="R29" s="705" t="s">
        <v>18</v>
      </c>
      <c r="S29" s="706">
        <f t="shared" si="12"/>
        <v>100</v>
      </c>
      <c r="T29" s="705" t="s">
        <v>18</v>
      </c>
      <c r="U29" s="706">
        <f t="shared" si="13"/>
        <v>100</v>
      </c>
      <c r="V29" s="705" t="s">
        <v>18</v>
      </c>
      <c r="W29" s="706">
        <f t="shared" si="14"/>
        <v>100</v>
      </c>
      <c r="X29" s="1355"/>
      <c r="Y29" s="37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2"/>
      <c r="Q30" s="1352">
        <f t="shared" si="11"/>
        <v>111</v>
      </c>
      <c r="R30" s="705" t="s">
        <v>18</v>
      </c>
      <c r="S30" s="706">
        <f t="shared" si="12"/>
        <v>100</v>
      </c>
      <c r="T30" s="705" t="s">
        <v>18</v>
      </c>
      <c r="U30" s="706">
        <f t="shared" si="13"/>
        <v>100</v>
      </c>
      <c r="V30" s="705" t="s">
        <v>18</v>
      </c>
      <c r="W30" s="706">
        <f t="shared" si="14"/>
        <v>100</v>
      </c>
      <c r="X30" s="1355"/>
      <c r="Y30" s="372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2"/>
      <c r="Q31" s="1352">
        <f t="shared" si="11"/>
        <v>111</v>
      </c>
      <c r="R31" s="705" t="s">
        <v>18</v>
      </c>
      <c r="S31" s="706">
        <f t="shared" si="12"/>
        <v>100</v>
      </c>
      <c r="T31" s="705" t="s">
        <v>18</v>
      </c>
      <c r="U31" s="706">
        <f t="shared" si="13"/>
        <v>100</v>
      </c>
      <c r="V31" s="705" t="s">
        <v>18</v>
      </c>
      <c r="W31" s="706">
        <f t="shared" si="14"/>
        <v>100</v>
      </c>
      <c r="X31" s="1355"/>
      <c r="Y31" s="372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72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7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受贵公司委托，我公司对北京市朝阳区朝外大街乙6号5层0609办公用房房地产抵押价值进行了预评估。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估价对象为北京市朝阳区朝外大街乙6号5层0609办公用房房地产，为所有。根据《国有土地使用证》[]，估价对象（分摊）出让国有建设用地使用权面积为0平方米，建筑面积为525.74平方米。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0609办公用房房地产,属开发建设的办公项目，该项目尚在开发建设中。根据《国有土地使用证》[]，估价对象（分摊）出让国有建设用地使用权面积为0平方米，规划建筑面积为525.74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乙6号5层0609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525.74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717"/>
      <c r="AC6" s="3689"/>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1" t="s">
        <v>1691</v>
      </c>
      <c r="Q15" s="1352" t="str">
        <f t="shared" si="6"/>
        <v>商业繁华度</v>
      </c>
      <c r="R15" s="705" t="s">
        <v>14</v>
      </c>
      <c r="S15" s="706">
        <f t="shared" si="0"/>
        <v>100</v>
      </c>
      <c r="T15" s="705" t="s">
        <v>14</v>
      </c>
      <c r="U15" s="706">
        <f t="shared" si="1"/>
        <v>100</v>
      </c>
      <c r="V15" s="705" t="s">
        <v>14</v>
      </c>
      <c r="W15" s="706">
        <f t="shared" si="2"/>
        <v>100</v>
      </c>
      <c r="X15" s="1355"/>
      <c r="Y15" s="37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2"/>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2"/>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2"/>
      <c r="Q18" s="1352"/>
      <c r="R18" s="705"/>
      <c r="S18" s="706"/>
      <c r="T18" s="705"/>
      <c r="U18" s="706"/>
      <c r="V18" s="705"/>
      <c r="W18" s="706"/>
      <c r="X18" s="1355"/>
      <c r="Y18" s="372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2"/>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2"/>
      <c r="Q20" s="1352"/>
      <c r="R20" s="705"/>
      <c r="S20" s="706"/>
      <c r="T20" s="705"/>
      <c r="U20" s="706"/>
      <c r="V20" s="705"/>
      <c r="W20" s="706"/>
      <c r="X20" s="1355"/>
      <c r="Y20" s="372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2"/>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2"/>
      <c r="Q22" s="1352"/>
      <c r="R22" s="705"/>
      <c r="S22" s="706"/>
      <c r="T22" s="705"/>
      <c r="U22" s="706"/>
      <c r="V22" s="705"/>
      <c r="W22" s="706"/>
      <c r="X22" s="1355"/>
      <c r="Y22" s="372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2"/>
      <c r="Q23" s="1352" t="str">
        <f>B23</f>
        <v>自然及人文环境</v>
      </c>
      <c r="R23" s="705" t="s">
        <v>14</v>
      </c>
      <c r="S23" s="706">
        <f>F23</f>
        <v>100</v>
      </c>
      <c r="T23" s="705" t="s">
        <v>14</v>
      </c>
      <c r="U23" s="706">
        <f>H23</f>
        <v>100</v>
      </c>
      <c r="V23" s="705" t="s">
        <v>14</v>
      </c>
      <c r="W23" s="706">
        <f>J23</f>
        <v>100</v>
      </c>
      <c r="X23" s="1355"/>
      <c r="Y23" s="37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2"/>
      <c r="Q24" s="1352"/>
      <c r="R24" s="705"/>
      <c r="S24" s="706"/>
      <c r="T24" s="705"/>
      <c r="U24" s="706"/>
      <c r="V24" s="705"/>
      <c r="W24" s="706"/>
      <c r="X24" s="1355"/>
      <c r="Y24" s="37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2"/>
      <c r="Q25" s="1352" t="str">
        <f t="shared" ref="Q25:Q46" si="11">B25</f>
        <v>临街状况</v>
      </c>
      <c r="R25" s="705" t="s">
        <v>14</v>
      </c>
      <c r="S25" s="706">
        <f>F25</f>
        <v>100</v>
      </c>
      <c r="T25" s="705" t="s">
        <v>14</v>
      </c>
      <c r="U25" s="706">
        <f>H25</f>
        <v>100</v>
      </c>
      <c r="V25" s="705" t="s">
        <v>14</v>
      </c>
      <c r="W25" s="706">
        <f>J25</f>
        <v>100</v>
      </c>
      <c r="X25" s="1355"/>
      <c r="Y25" s="37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2"/>
      <c r="Q26" s="1352" t="str">
        <f t="shared" si="11"/>
        <v>平面位置/可视性</v>
      </c>
      <c r="R26" s="705" t="s">
        <v>14</v>
      </c>
      <c r="S26" s="706">
        <f>F26</f>
        <v>100</v>
      </c>
      <c r="T26" s="705" t="s">
        <v>14</v>
      </c>
      <c r="U26" s="706">
        <f>H26</f>
        <v>100</v>
      </c>
      <c r="V26" s="705" t="s">
        <v>14</v>
      </c>
      <c r="W26" s="706">
        <f>J26</f>
        <v>100</v>
      </c>
      <c r="X26" s="1355"/>
      <c r="Y26" s="372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2"/>
      <c r="Q27" s="1343" t="str">
        <f t="shared" si="11"/>
        <v>人流量</v>
      </c>
      <c r="R27" s="701" t="s">
        <v>14</v>
      </c>
      <c r="S27" s="702">
        <f>F27</f>
        <v>100</v>
      </c>
      <c r="T27" s="701" t="s">
        <v>14</v>
      </c>
      <c r="U27" s="702">
        <f>H27</f>
        <v>100</v>
      </c>
      <c r="V27" s="701" t="s">
        <v>14</v>
      </c>
      <c r="W27" s="702">
        <f>J27</f>
        <v>100</v>
      </c>
      <c r="X27" s="703"/>
      <c r="Y27" s="37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2"/>
      <c r="Q29" s="1352">
        <f t="shared" si="11"/>
        <v>111</v>
      </c>
      <c r="R29" s="705" t="s">
        <v>14</v>
      </c>
      <c r="S29" s="706">
        <f t="shared" si="12"/>
        <v>100</v>
      </c>
      <c r="T29" s="705" t="s">
        <v>14</v>
      </c>
      <c r="U29" s="706">
        <f t="shared" si="13"/>
        <v>100</v>
      </c>
      <c r="V29" s="705" t="s">
        <v>14</v>
      </c>
      <c r="W29" s="706">
        <f t="shared" si="14"/>
        <v>100</v>
      </c>
      <c r="X29" s="1355"/>
      <c r="Y29" s="37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2"/>
      <c r="Q30" s="1352">
        <f t="shared" si="11"/>
        <v>111</v>
      </c>
      <c r="R30" s="705" t="s">
        <v>14</v>
      </c>
      <c r="S30" s="706">
        <f t="shared" si="12"/>
        <v>100</v>
      </c>
      <c r="T30" s="705" t="s">
        <v>14</v>
      </c>
      <c r="U30" s="706">
        <f t="shared" si="13"/>
        <v>100</v>
      </c>
      <c r="V30" s="705" t="s">
        <v>14</v>
      </c>
      <c r="W30" s="706">
        <f t="shared" si="14"/>
        <v>100</v>
      </c>
      <c r="X30" s="1355"/>
      <c r="Y30" s="37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2"/>
      <c r="Q31" s="1352">
        <f t="shared" si="11"/>
        <v>111</v>
      </c>
      <c r="R31" s="705" t="s">
        <v>14</v>
      </c>
      <c r="S31" s="706">
        <f t="shared" si="12"/>
        <v>100</v>
      </c>
      <c r="T31" s="705" t="s">
        <v>14</v>
      </c>
      <c r="U31" s="706">
        <f t="shared" si="13"/>
        <v>100</v>
      </c>
      <c r="V31" s="705" t="s">
        <v>14</v>
      </c>
      <c r="W31" s="706">
        <f t="shared" si="14"/>
        <v>100</v>
      </c>
      <c r="X31" s="1355"/>
      <c r="Y31" s="37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7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7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525.74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5"/>
      <c r="Q16" s="1352"/>
      <c r="R16" s="705"/>
      <c r="S16" s="706"/>
      <c r="T16" s="705"/>
      <c r="U16" s="706"/>
      <c r="V16" s="705"/>
      <c r="W16" s="706"/>
      <c r="X16" s="1355"/>
      <c r="Y16" s="372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5"/>
      <c r="Q18" s="1352"/>
      <c r="R18" s="705"/>
      <c r="S18" s="706"/>
      <c r="T18" s="705"/>
      <c r="U18" s="706"/>
      <c r="V18" s="705"/>
      <c r="W18" s="706"/>
      <c r="X18" s="1355"/>
      <c r="Y18" s="372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2" t="str">
        <f>B19</f>
        <v>公共配套设施</v>
      </c>
      <c r="R19" s="705" t="s">
        <v>14</v>
      </c>
      <c r="S19" s="706">
        <f>F19</f>
        <v>100</v>
      </c>
      <c r="T19" s="705" t="s">
        <v>14</v>
      </c>
      <c r="U19" s="706">
        <f>H19</f>
        <v>100</v>
      </c>
      <c r="V19" s="705" t="s">
        <v>14</v>
      </c>
      <c r="W19" s="706">
        <f>J19</f>
        <v>100</v>
      </c>
      <c r="X19" s="1355"/>
      <c r="Y19" s="37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5"/>
      <c r="Q20" s="1352"/>
      <c r="R20" s="705"/>
      <c r="S20" s="706"/>
      <c r="T20" s="705"/>
      <c r="U20" s="706"/>
      <c r="V20" s="705"/>
      <c r="W20" s="706"/>
      <c r="X20" s="1355"/>
      <c r="Y20" s="372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2" t="str">
        <f>B21</f>
        <v>基础设施水平</v>
      </c>
      <c r="R21" s="705" t="s">
        <v>14</v>
      </c>
      <c r="S21" s="706">
        <f>F21</f>
        <v>100</v>
      </c>
      <c r="T21" s="705" t="s">
        <v>14</v>
      </c>
      <c r="U21" s="706">
        <f>H21</f>
        <v>100</v>
      </c>
      <c r="V21" s="705" t="s">
        <v>14</v>
      </c>
      <c r="W21" s="706">
        <f>J21</f>
        <v>100</v>
      </c>
      <c r="X21" s="1355"/>
      <c r="Y21" s="37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5"/>
      <c r="Q22" s="1352"/>
      <c r="R22" s="705"/>
      <c r="S22" s="706"/>
      <c r="T22" s="705"/>
      <c r="U22" s="706"/>
      <c r="V22" s="705"/>
      <c r="W22" s="706"/>
      <c r="X22" s="1355"/>
      <c r="Y22" s="372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2" t="str">
        <f>B23</f>
        <v>环境质量</v>
      </c>
      <c r="R23" s="705" t="s">
        <v>14</v>
      </c>
      <c r="S23" s="706">
        <f>F23</f>
        <v>100</v>
      </c>
      <c r="T23" s="705" t="s">
        <v>14</v>
      </c>
      <c r="U23" s="706">
        <f>H23</f>
        <v>100</v>
      </c>
      <c r="V23" s="705" t="s">
        <v>14</v>
      </c>
      <c r="W23" s="706">
        <f>J23</f>
        <v>100</v>
      </c>
      <c r="X23" s="1355"/>
      <c r="Y23" s="37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5"/>
      <c r="Q24" s="1352"/>
      <c r="R24" s="705"/>
      <c r="S24" s="706"/>
      <c r="T24" s="705"/>
      <c r="U24" s="706"/>
      <c r="V24" s="705"/>
      <c r="W24" s="706"/>
      <c r="X24" s="1355"/>
      <c r="Y24" s="37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2">
        <f>B25</f>
        <v>111</v>
      </c>
      <c r="R25" s="705" t="s">
        <v>14</v>
      </c>
      <c r="S25" s="706">
        <f>F25</f>
        <v>100</v>
      </c>
      <c r="T25" s="705" t="s">
        <v>14</v>
      </c>
      <c r="U25" s="706">
        <f>H25</f>
        <v>100</v>
      </c>
      <c r="V25" s="705" t="s">
        <v>14</v>
      </c>
      <c r="W25" s="706">
        <f>J25</f>
        <v>100</v>
      </c>
      <c r="X25" s="1355"/>
      <c r="Y25" s="37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2">
        <f t="shared" ref="Q26:Q40" si="11">B26</f>
        <v>111</v>
      </c>
      <c r="R26" s="705" t="s">
        <v>14</v>
      </c>
      <c r="S26" s="706">
        <f>F26</f>
        <v>100</v>
      </c>
      <c r="T26" s="705" t="s">
        <v>14</v>
      </c>
      <c r="U26" s="706">
        <f>H26</f>
        <v>100</v>
      </c>
      <c r="V26" s="705" t="s">
        <v>14</v>
      </c>
      <c r="W26" s="706">
        <f>J26</f>
        <v>100</v>
      </c>
      <c r="X26" s="1355"/>
      <c r="Y26" s="37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3">
        <f t="shared" si="11"/>
        <v>111</v>
      </c>
      <c r="R27" s="701" t="s">
        <v>14</v>
      </c>
      <c r="S27" s="702">
        <f>F27</f>
        <v>100</v>
      </c>
      <c r="T27" s="701" t="s">
        <v>14</v>
      </c>
      <c r="U27" s="702">
        <f>H27</f>
        <v>100</v>
      </c>
      <c r="V27" s="701" t="s">
        <v>14</v>
      </c>
      <c r="W27" s="702">
        <f>J27</f>
        <v>100</v>
      </c>
      <c r="X27" s="703"/>
      <c r="Y27" s="37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2">
        <f t="shared" si="11"/>
        <v>111</v>
      </c>
      <c r="R28" s="705" t="s">
        <v>14</v>
      </c>
      <c r="S28" s="706">
        <f t="shared" ref="S28:S40" si="12">F28</f>
        <v>100</v>
      </c>
      <c r="T28" s="705" t="s">
        <v>14</v>
      </c>
      <c r="U28" s="706">
        <f t="shared" ref="U28:U40" si="13">H28</f>
        <v>100</v>
      </c>
      <c r="V28" s="705" t="s">
        <v>14</v>
      </c>
      <c r="W28" s="706">
        <f t="shared" ref="W28:W40" si="14">J28</f>
        <v>100</v>
      </c>
      <c r="X28" s="1355"/>
      <c r="Y28" s="372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2" t="str">
        <f t="shared" si="11"/>
        <v>成新度</v>
      </c>
      <c r="R33" s="705" t="s">
        <v>14</v>
      </c>
      <c r="S33" s="706" t="e">
        <f t="shared" si="12"/>
        <v>#N/A</v>
      </c>
      <c r="T33" s="705" t="s">
        <v>14</v>
      </c>
      <c r="U33" s="706" t="e">
        <f t="shared" si="13"/>
        <v>#N/A</v>
      </c>
      <c r="V33" s="705" t="s">
        <v>14</v>
      </c>
      <c r="W33" s="706" t="e">
        <f t="shared" si="14"/>
        <v>#N/A</v>
      </c>
      <c r="X33" s="1355"/>
      <c r="Y33" s="37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2" t="str">
        <f t="shared" si="11"/>
        <v>市政基础设施</v>
      </c>
      <c r="R35" s="705" t="s">
        <v>14</v>
      </c>
      <c r="S35" s="706">
        <f t="shared" si="12"/>
        <v>100</v>
      </c>
      <c r="T35" s="705" t="s">
        <v>14</v>
      </c>
      <c r="U35" s="706">
        <f t="shared" si="13"/>
        <v>100</v>
      </c>
      <c r="V35" s="705" t="s">
        <v>14</v>
      </c>
      <c r="W35" s="706">
        <f t="shared" si="14"/>
        <v>100</v>
      </c>
      <c r="X35" s="1355"/>
      <c r="Y35" s="37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5"/>
      <c r="Q15" s="1352"/>
      <c r="R15" s="705"/>
      <c r="S15" s="706"/>
      <c r="T15" s="705"/>
      <c r="U15" s="706"/>
      <c r="V15" s="705"/>
      <c r="W15" s="706"/>
      <c r="X15" s="1355"/>
      <c r="Y15" s="372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5"/>
      <c r="Q17" s="1352"/>
      <c r="R17" s="705"/>
      <c r="S17" s="706"/>
      <c r="T17" s="705"/>
      <c r="U17" s="706"/>
      <c r="V17" s="705"/>
      <c r="W17" s="706"/>
      <c r="X17" s="1355"/>
      <c r="Y17" s="372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5"/>
      <c r="Q19" s="1352"/>
      <c r="R19" s="705"/>
      <c r="S19" s="706"/>
      <c r="T19" s="705"/>
      <c r="U19" s="706"/>
      <c r="V19" s="705"/>
      <c r="W19" s="706"/>
      <c r="X19" s="1355"/>
      <c r="Y19" s="372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5"/>
      <c r="Q21" s="1352"/>
      <c r="R21" s="705"/>
      <c r="S21" s="706"/>
      <c r="T21" s="705"/>
      <c r="U21" s="706"/>
      <c r="V21" s="705"/>
      <c r="W21" s="706"/>
      <c r="X21" s="1355"/>
      <c r="Y21" s="37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5"/>
      <c r="Q24" s="1352">
        <f t="shared" ref="Q24:Q36"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9" t="s">
        <v>1696</v>
      </c>
      <c r="Q32" s="1352" t="str">
        <f t="shared" si="11"/>
        <v>车位类型</v>
      </c>
      <c r="R32" s="705" t="s">
        <v>14</v>
      </c>
      <c r="S32" s="706">
        <f t="shared" si="12"/>
        <v>100</v>
      </c>
      <c r="T32" s="705" t="s">
        <v>14</v>
      </c>
      <c r="U32" s="706">
        <f t="shared" si="13"/>
        <v>100</v>
      </c>
      <c r="V32" s="705" t="s">
        <v>14</v>
      </c>
      <c r="W32" s="706">
        <f t="shared" si="14"/>
        <v>100</v>
      </c>
      <c r="X32" s="1355"/>
      <c r="Y32" s="37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2"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2"/>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2"/>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4" t="s">
        <v>1691</v>
      </c>
      <c r="Q14" s="1352" t="str">
        <f t="shared" si="6"/>
        <v>交通便捷度</v>
      </c>
      <c r="R14" s="705" t="s">
        <v>14</v>
      </c>
      <c r="S14" s="706">
        <f t="shared" si="0"/>
        <v>100</v>
      </c>
      <c r="T14" s="705" t="s">
        <v>14</v>
      </c>
      <c r="U14" s="706">
        <f t="shared" si="1"/>
        <v>100</v>
      </c>
      <c r="V14" s="705" t="s">
        <v>14</v>
      </c>
      <c r="W14" s="706">
        <f t="shared" si="2"/>
        <v>100</v>
      </c>
      <c r="X14" s="1355"/>
      <c r="Y14" s="37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5"/>
      <c r="Q15" s="1352"/>
      <c r="R15" s="705"/>
      <c r="S15" s="706"/>
      <c r="T15" s="705"/>
      <c r="U15" s="706"/>
      <c r="V15" s="705"/>
      <c r="W15" s="706"/>
      <c r="X15" s="1355"/>
      <c r="Y15" s="372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5"/>
      <c r="Q16" s="1352" t="str">
        <f>B16</f>
        <v>公共配套设施</v>
      </c>
      <c r="R16" s="705" t="s">
        <v>14</v>
      </c>
      <c r="S16" s="706">
        <f>F16</f>
        <v>100</v>
      </c>
      <c r="T16" s="705" t="s">
        <v>14</v>
      </c>
      <c r="U16" s="706">
        <f>H16</f>
        <v>100</v>
      </c>
      <c r="V16" s="705" t="s">
        <v>14</v>
      </c>
      <c r="W16" s="706">
        <f>J16</f>
        <v>100</v>
      </c>
      <c r="X16" s="1355"/>
      <c r="Y16" s="37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5"/>
      <c r="Q17" s="1352"/>
      <c r="R17" s="705"/>
      <c r="S17" s="706"/>
      <c r="T17" s="705"/>
      <c r="U17" s="706"/>
      <c r="V17" s="705"/>
      <c r="W17" s="706"/>
      <c r="X17" s="1355"/>
      <c r="Y17" s="372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5"/>
      <c r="Q18" s="1352" t="str">
        <f>B18</f>
        <v>基础设施水平</v>
      </c>
      <c r="R18" s="705" t="s">
        <v>14</v>
      </c>
      <c r="S18" s="706">
        <f>F18</f>
        <v>100</v>
      </c>
      <c r="T18" s="705" t="s">
        <v>14</v>
      </c>
      <c r="U18" s="706">
        <f>H18</f>
        <v>100</v>
      </c>
      <c r="V18" s="705" t="s">
        <v>14</v>
      </c>
      <c r="W18" s="706">
        <f>J18</f>
        <v>100</v>
      </c>
      <c r="X18" s="1355"/>
      <c r="Y18" s="37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5"/>
      <c r="Q19" s="1352"/>
      <c r="R19" s="705"/>
      <c r="S19" s="706"/>
      <c r="T19" s="705"/>
      <c r="U19" s="706"/>
      <c r="V19" s="705"/>
      <c r="W19" s="706"/>
      <c r="X19" s="1355"/>
      <c r="Y19" s="372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5"/>
      <c r="Q20" s="1352" t="str">
        <f>B20</f>
        <v>自然及人文环境</v>
      </c>
      <c r="R20" s="705" t="s">
        <v>14</v>
      </c>
      <c r="S20" s="706">
        <f>F20</f>
        <v>100</v>
      </c>
      <c r="T20" s="705" t="s">
        <v>14</v>
      </c>
      <c r="U20" s="706">
        <f>H20</f>
        <v>100</v>
      </c>
      <c r="V20" s="705" t="s">
        <v>14</v>
      </c>
      <c r="W20" s="706">
        <f>J20</f>
        <v>100</v>
      </c>
      <c r="X20" s="1355"/>
      <c r="Y20" s="37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5"/>
      <c r="Q21" s="1352"/>
      <c r="R21" s="705"/>
      <c r="S21" s="706"/>
      <c r="T21" s="705"/>
      <c r="U21" s="706"/>
      <c r="V21" s="705"/>
      <c r="W21" s="706"/>
      <c r="X21" s="1355"/>
      <c r="Y21" s="37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5"/>
      <c r="Q22" s="1352" t="str">
        <f>B22</f>
        <v>楼层</v>
      </c>
      <c r="R22" s="705" t="s">
        <v>14</v>
      </c>
      <c r="S22" s="706">
        <f>F22</f>
        <v>100</v>
      </c>
      <c r="T22" s="705" t="s">
        <v>14</v>
      </c>
      <c r="U22" s="706">
        <f>H22</f>
        <v>100</v>
      </c>
      <c r="V22" s="705" t="s">
        <v>14</v>
      </c>
      <c r="W22" s="706">
        <f>J22</f>
        <v>100</v>
      </c>
      <c r="X22" s="1355"/>
      <c r="Y22" s="37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5"/>
      <c r="Q23" s="1352">
        <f>B23</f>
        <v>111</v>
      </c>
      <c r="R23" s="705" t="s">
        <v>14</v>
      </c>
      <c r="S23" s="706">
        <f>F23</f>
        <v>100</v>
      </c>
      <c r="T23" s="705" t="s">
        <v>14</v>
      </c>
      <c r="U23" s="706">
        <f>H23</f>
        <v>100</v>
      </c>
      <c r="V23" s="705" t="s">
        <v>14</v>
      </c>
      <c r="W23" s="706">
        <f>J23</f>
        <v>100</v>
      </c>
      <c r="X23" s="1355"/>
      <c r="Y23" s="37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5"/>
      <c r="Q24" s="1352">
        <f t="shared" ref="Q24:Q34" si="11">B24</f>
        <v>111</v>
      </c>
      <c r="R24" s="705" t="s">
        <v>14</v>
      </c>
      <c r="S24" s="706">
        <f>F24</f>
        <v>100</v>
      </c>
      <c r="T24" s="705" t="s">
        <v>14</v>
      </c>
      <c r="U24" s="706">
        <f>H24</f>
        <v>100</v>
      </c>
      <c r="V24" s="705" t="s">
        <v>14</v>
      </c>
      <c r="W24" s="706">
        <f>J24</f>
        <v>100</v>
      </c>
      <c r="X24" s="1355"/>
      <c r="Y24" s="372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5"/>
      <c r="Q25" s="1343">
        <f t="shared" si="11"/>
        <v>111</v>
      </c>
      <c r="R25" s="701" t="s">
        <v>14</v>
      </c>
      <c r="S25" s="702">
        <f>F25</f>
        <v>100</v>
      </c>
      <c r="T25" s="701" t="s">
        <v>14</v>
      </c>
      <c r="U25" s="702">
        <f>H25</f>
        <v>100</v>
      </c>
      <c r="V25" s="701" t="s">
        <v>14</v>
      </c>
      <c r="W25" s="702">
        <f>J25</f>
        <v>100</v>
      </c>
      <c r="X25" s="703"/>
      <c r="Y25" s="372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9" t="s">
        <v>1696</v>
      </c>
      <c r="Q32" s="1352">
        <f t="shared" si="11"/>
        <v>111</v>
      </c>
      <c r="R32" s="705" t="s">
        <v>14</v>
      </c>
      <c r="S32" s="706">
        <f t="shared" si="12"/>
        <v>100</v>
      </c>
      <c r="T32" s="705" t="s">
        <v>14</v>
      </c>
      <c r="U32" s="706">
        <f t="shared" si="13"/>
        <v>100</v>
      </c>
      <c r="V32" s="705" t="s">
        <v>14</v>
      </c>
      <c r="W32" s="706">
        <f t="shared" si="14"/>
        <v>100</v>
      </c>
      <c r="X32" s="1355"/>
      <c r="Y32" s="37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5"/>
      <c r="M6" s="2716"/>
      <c r="N6" s="2716"/>
      <c r="O6" s="2716"/>
      <c r="P6" s="3713"/>
      <c r="Q6" s="3714"/>
      <c r="R6" s="3694"/>
      <c r="S6" s="3695"/>
      <c r="T6" s="3715"/>
      <c r="U6" s="3716"/>
      <c r="V6" s="3717"/>
      <c r="W6" s="3717"/>
      <c r="X6" s="1355"/>
      <c r="Y6" s="3715"/>
      <c r="Z6" s="3716"/>
      <c r="AA6" s="3689"/>
      <c r="AB6" s="3689"/>
      <c r="AC6" s="3689"/>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9"/>
      <c r="M10" s="2720"/>
      <c r="N10" s="2720"/>
      <c r="O10" s="2773"/>
      <c r="P10" s="3722"/>
      <c r="Q10" s="1343" t="str">
        <f t="shared" si="6"/>
        <v>土地使用年限（年）</v>
      </c>
      <c r="R10" s="701" t="s">
        <v>14</v>
      </c>
      <c r="S10" s="702">
        <f t="shared" si="0"/>
        <v>150</v>
      </c>
      <c r="T10" s="701" t="s">
        <v>14</v>
      </c>
      <c r="U10" s="702">
        <f t="shared" si="1"/>
        <v>150</v>
      </c>
      <c r="V10" s="701" t="s">
        <v>14</v>
      </c>
      <c r="W10" s="702">
        <f t="shared" si="2"/>
        <v>150</v>
      </c>
      <c r="X10" s="703"/>
      <c r="Y10" s="3634"/>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2"/>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4" t="s">
        <v>1691</v>
      </c>
      <c r="Q15" s="1352" t="str">
        <f t="shared" si="6"/>
        <v>居住社区成熟度</v>
      </c>
      <c r="R15" s="705" t="s">
        <v>14</v>
      </c>
      <c r="S15" s="706">
        <f t="shared" si="0"/>
        <v>100</v>
      </c>
      <c r="T15" s="705" t="s">
        <v>14</v>
      </c>
      <c r="U15" s="706">
        <f t="shared" si="1"/>
        <v>100</v>
      </c>
      <c r="V15" s="705" t="s">
        <v>14</v>
      </c>
      <c r="W15" s="706">
        <f t="shared" si="2"/>
        <v>100</v>
      </c>
      <c r="X15" s="1355"/>
      <c r="Y15" s="37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5"/>
      <c r="Q17" s="1352" t="str">
        <f>B17</f>
        <v>商业繁华度</v>
      </c>
      <c r="R17" s="705" t="s">
        <v>14</v>
      </c>
      <c r="S17" s="706">
        <f>F17</f>
        <v>100</v>
      </c>
      <c r="T17" s="705" t="s">
        <v>14</v>
      </c>
      <c r="U17" s="706">
        <f>H17</f>
        <v>100</v>
      </c>
      <c r="V17" s="705" t="s">
        <v>14</v>
      </c>
      <c r="W17" s="706">
        <f>J17</f>
        <v>100</v>
      </c>
      <c r="X17" s="1355"/>
      <c r="Y17" s="37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5"/>
      <c r="Q19" s="1352" t="str">
        <f>B19</f>
        <v>办公集聚程度</v>
      </c>
      <c r="R19" s="705" t="s">
        <v>14</v>
      </c>
      <c r="S19" s="706">
        <f>F19</f>
        <v>100</v>
      </c>
      <c r="T19" s="705" t="s">
        <v>14</v>
      </c>
      <c r="U19" s="706">
        <f>H19</f>
        <v>100</v>
      </c>
      <c r="V19" s="705" t="s">
        <v>14</v>
      </c>
      <c r="W19" s="706">
        <f>J19</f>
        <v>100</v>
      </c>
      <c r="X19" s="1355"/>
      <c r="Y19" s="37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5"/>
      <c r="Q20" s="1352"/>
      <c r="R20" s="705"/>
      <c r="S20" s="706"/>
      <c r="T20" s="705"/>
      <c r="U20" s="706"/>
      <c r="V20" s="705"/>
      <c r="W20" s="706"/>
      <c r="X20" s="1355"/>
      <c r="Y20" s="372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5"/>
      <c r="Q21" s="1352" t="str">
        <f>B21</f>
        <v>交通便捷度</v>
      </c>
      <c r="R21" s="705" t="s">
        <v>14</v>
      </c>
      <c r="S21" s="706">
        <f>F21</f>
        <v>100</v>
      </c>
      <c r="T21" s="705" t="s">
        <v>14</v>
      </c>
      <c r="U21" s="706">
        <f>H21</f>
        <v>100</v>
      </c>
      <c r="V21" s="705" t="s">
        <v>14</v>
      </c>
      <c r="W21" s="706">
        <f>J21</f>
        <v>100</v>
      </c>
      <c r="X21" s="1355"/>
      <c r="Y21" s="37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5"/>
      <c r="Q23" s="1352" t="str">
        <f t="shared" ref="Q23:Q37" si="8">B23</f>
        <v>区域土地利用方向</v>
      </c>
      <c r="R23" s="705" t="s">
        <v>14</v>
      </c>
      <c r="S23" s="706">
        <f>F23</f>
        <v>100</v>
      </c>
      <c r="T23" s="705" t="s">
        <v>14</v>
      </c>
      <c r="U23" s="706">
        <f>H23</f>
        <v>100</v>
      </c>
      <c r="V23" s="705" t="s">
        <v>14</v>
      </c>
      <c r="W23" s="706">
        <f>J23</f>
        <v>100</v>
      </c>
      <c r="X23" s="1355"/>
      <c r="Y23" s="37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5"/>
      <c r="Q24" s="1352"/>
      <c r="R24" s="705"/>
      <c r="S24" s="706"/>
      <c r="T24" s="705"/>
      <c r="U24" s="706"/>
      <c r="V24" s="705"/>
      <c r="W24" s="706"/>
      <c r="X24" s="1355"/>
      <c r="Y24" s="372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5"/>
      <c r="Q25" s="1352" t="str">
        <f t="shared" si="8"/>
        <v>自然及人文环境状况</v>
      </c>
      <c r="R25" s="705" t="s">
        <v>14</v>
      </c>
      <c r="S25" s="706">
        <f>F25</f>
        <v>100</v>
      </c>
      <c r="T25" s="705" t="s">
        <v>14</v>
      </c>
      <c r="U25" s="706">
        <f>H25</f>
        <v>100</v>
      </c>
      <c r="V25" s="705" t="s">
        <v>14</v>
      </c>
      <c r="W25" s="706">
        <f>J25</f>
        <v>100</v>
      </c>
      <c r="X25" s="1355"/>
      <c r="Y25" s="37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5"/>
      <c r="Q26" s="1352"/>
      <c r="R26" s="705"/>
      <c r="S26" s="706"/>
      <c r="T26" s="705"/>
      <c r="U26" s="706"/>
      <c r="V26" s="705"/>
      <c r="W26" s="706"/>
      <c r="X26" s="1355"/>
      <c r="Y26" s="372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5"/>
      <c r="Q27" s="1343" t="str">
        <f t="shared" si="8"/>
        <v>公共配套设施</v>
      </c>
      <c r="R27" s="701" t="s">
        <v>14</v>
      </c>
      <c r="S27" s="702">
        <f>F27</f>
        <v>100</v>
      </c>
      <c r="T27" s="701" t="s">
        <v>14</v>
      </c>
      <c r="U27" s="702">
        <f>H27</f>
        <v>100</v>
      </c>
      <c r="V27" s="701" t="s">
        <v>14</v>
      </c>
      <c r="W27" s="702">
        <f>J27</f>
        <v>100</v>
      </c>
      <c r="X27" s="703"/>
      <c r="Y27" s="372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5"/>
      <c r="Q28" s="1343"/>
      <c r="R28" s="701"/>
      <c r="S28" s="702"/>
      <c r="T28" s="701"/>
      <c r="U28" s="702"/>
      <c r="V28" s="701"/>
      <c r="W28" s="702"/>
      <c r="X28" s="703"/>
      <c r="Y28" s="372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5"/>
      <c r="Q29" s="1343"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5"/>
      <c r="Q30" s="1343"/>
      <c r="R30" s="701"/>
      <c r="S30" s="702"/>
      <c r="T30" s="701"/>
      <c r="U30" s="702"/>
      <c r="V30" s="701"/>
      <c r="W30" s="702"/>
      <c r="X30" s="703"/>
      <c r="Y30" s="37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5"/>
      <c r="Q32" s="1352" t="str">
        <f t="shared" si="8"/>
        <v>毗邻道路的类型与等级</v>
      </c>
      <c r="R32" s="705" t="s">
        <v>14</v>
      </c>
      <c r="S32" s="706">
        <f t="shared" si="10"/>
        <v>100</v>
      </c>
      <c r="T32" s="705" t="s">
        <v>14</v>
      </c>
      <c r="U32" s="706">
        <f t="shared" si="11"/>
        <v>100</v>
      </c>
      <c r="V32" s="705" t="s">
        <v>14</v>
      </c>
      <c r="W32" s="706">
        <f t="shared" si="12"/>
        <v>100</v>
      </c>
      <c r="X32" s="1355"/>
      <c r="Y32" s="37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5"/>
      <c r="Q33" s="1352"/>
      <c r="R33" s="705"/>
      <c r="S33" s="706"/>
      <c r="T33" s="705"/>
      <c r="U33" s="706"/>
      <c r="V33" s="705"/>
      <c r="W33" s="706"/>
      <c r="X33" s="1355"/>
      <c r="Y33" s="37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5"/>
      <c r="Q34" s="1352" t="str">
        <f t="shared" si="8"/>
        <v>土地级别</v>
      </c>
      <c r="R34" s="705" t="s">
        <v>14</v>
      </c>
      <c r="S34" s="706">
        <f t="shared" si="10"/>
        <v>100</v>
      </c>
      <c r="T34" s="705" t="s">
        <v>14</v>
      </c>
      <c r="U34" s="706">
        <f t="shared" si="11"/>
        <v>100</v>
      </c>
      <c r="V34" s="705" t="s">
        <v>14</v>
      </c>
      <c r="W34" s="706">
        <f t="shared" si="12"/>
        <v>100</v>
      </c>
      <c r="X34" s="1355"/>
      <c r="Y34" s="37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5"/>
      <c r="Q35" s="1352">
        <f t="shared" si="8"/>
        <v>111</v>
      </c>
      <c r="R35" s="705" t="s">
        <v>14</v>
      </c>
      <c r="S35" s="706">
        <f t="shared" si="10"/>
        <v>100</v>
      </c>
      <c r="T35" s="705" t="s">
        <v>14</v>
      </c>
      <c r="U35" s="706">
        <f t="shared" si="11"/>
        <v>100</v>
      </c>
      <c r="V35" s="705" t="s">
        <v>14</v>
      </c>
      <c r="W35" s="706">
        <f t="shared" si="12"/>
        <v>100</v>
      </c>
      <c r="X35" s="1355"/>
      <c r="Y35" s="37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9" t="s">
        <v>1696</v>
      </c>
      <c r="Q42" s="1352" t="str">
        <f t="shared" si="14"/>
        <v>工程地质条件</v>
      </c>
      <c r="R42" s="705" t="s">
        <v>14</v>
      </c>
      <c r="S42" s="706">
        <f t="shared" si="10"/>
        <v>100</v>
      </c>
      <c r="T42" s="705" t="s">
        <v>14</v>
      </c>
      <c r="U42" s="706">
        <f t="shared" si="11"/>
        <v>100</v>
      </c>
      <c r="V42" s="705" t="s">
        <v>14</v>
      </c>
      <c r="W42" s="706">
        <f t="shared" si="12"/>
        <v>100</v>
      </c>
      <c r="X42" s="1355"/>
      <c r="Y42" s="37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525.74</v>
      </c>
      <c r="F56" s="886" t="e">
        <f t="shared" ref="F56:F64" si="15">ROUND(B56*E56/10000,0)</f>
        <v>#DIV/0!</v>
      </c>
      <c r="G56" s="3704"/>
      <c r="H56" s="372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525.74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692" t="s">
        <v>1771</v>
      </c>
      <c r="S4" s="3693"/>
      <c r="T4" s="3692" t="s">
        <v>1772</v>
      </c>
      <c r="U4" s="3693"/>
      <c r="V4" s="3717" t="s">
        <v>1773</v>
      </c>
      <c r="W4" s="3717"/>
      <c r="X4" s="1355"/>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5"/>
      <c r="M5" s="2716"/>
      <c r="N5" s="2716"/>
      <c r="O5" s="2716"/>
      <c r="P5" s="3711"/>
      <c r="Q5" s="3712"/>
      <c r="R5" s="3694"/>
      <c r="S5" s="3695"/>
      <c r="T5" s="3694"/>
      <c r="U5" s="3695"/>
      <c r="V5" s="3717"/>
      <c r="W5" s="3717"/>
      <c r="X5" s="1355"/>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694"/>
      <c r="S6" s="3695"/>
      <c r="T6" s="3715"/>
      <c r="U6" s="3716"/>
      <c r="V6" s="3717"/>
      <c r="W6" s="3717"/>
      <c r="X6" s="1355"/>
      <c r="Y6" s="3715"/>
      <c r="Z6" s="3716"/>
      <c r="AA6" s="3689"/>
      <c r="AB6" s="3689"/>
      <c r="AC6" s="3689"/>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2"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9"/>
      <c r="M10" s="2720"/>
      <c r="N10" s="2720"/>
      <c r="O10" s="2773"/>
      <c r="P10" s="3722"/>
      <c r="Q10" s="1343" t="str">
        <f t="shared" si="6"/>
        <v>土地使用年限（年）</v>
      </c>
      <c r="R10" s="701" t="s">
        <v>14</v>
      </c>
      <c r="S10" s="702">
        <f t="shared" si="0"/>
        <v>150</v>
      </c>
      <c r="T10" s="701" t="s">
        <v>14</v>
      </c>
      <c r="U10" s="702">
        <f t="shared" si="1"/>
        <v>150</v>
      </c>
      <c r="V10" s="701" t="s">
        <v>14</v>
      </c>
      <c r="W10" s="702">
        <f t="shared" si="2"/>
        <v>150</v>
      </c>
      <c r="X10" s="703"/>
      <c r="Y10" s="3634"/>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2"/>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2"/>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2"/>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2"/>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4" t="s">
        <v>1691</v>
      </c>
      <c r="Q15" s="1352" t="str">
        <f t="shared" si="6"/>
        <v>产业集聚程度</v>
      </c>
      <c r="R15" s="705" t="s">
        <v>14</v>
      </c>
      <c r="S15" s="706">
        <f t="shared" si="0"/>
        <v>100</v>
      </c>
      <c r="T15" s="705" t="s">
        <v>14</v>
      </c>
      <c r="U15" s="706">
        <f t="shared" si="1"/>
        <v>100</v>
      </c>
      <c r="V15" s="705" t="s">
        <v>14</v>
      </c>
      <c r="W15" s="706">
        <f t="shared" si="2"/>
        <v>100</v>
      </c>
      <c r="X15" s="1355"/>
      <c r="Y15" s="37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5"/>
      <c r="Q16" s="1352"/>
      <c r="R16" s="705"/>
      <c r="S16" s="706"/>
      <c r="T16" s="705"/>
      <c r="U16" s="706"/>
      <c r="V16" s="705"/>
      <c r="W16" s="706"/>
      <c r="X16" s="1355"/>
      <c r="Y16" s="372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5"/>
      <c r="Q17" s="1352" t="str">
        <f>B17</f>
        <v>交通便捷度</v>
      </c>
      <c r="R17" s="705" t="s">
        <v>14</v>
      </c>
      <c r="S17" s="706">
        <f>F17</f>
        <v>100</v>
      </c>
      <c r="T17" s="705" t="s">
        <v>14</v>
      </c>
      <c r="U17" s="706">
        <f>H17</f>
        <v>100</v>
      </c>
      <c r="V17" s="705" t="s">
        <v>14</v>
      </c>
      <c r="W17" s="706">
        <f>J17</f>
        <v>100</v>
      </c>
      <c r="X17" s="1355"/>
      <c r="Y17" s="37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5"/>
      <c r="Q18" s="1352"/>
      <c r="R18" s="705"/>
      <c r="S18" s="706"/>
      <c r="T18" s="705"/>
      <c r="U18" s="706"/>
      <c r="V18" s="705"/>
      <c r="W18" s="706"/>
      <c r="X18" s="1355"/>
      <c r="Y18" s="372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5"/>
      <c r="Q19" s="1352" t="str">
        <f t="shared" ref="Q19:Q33" si="8">B19</f>
        <v>区域土地利用方向</v>
      </c>
      <c r="R19" s="705" t="s">
        <v>14</v>
      </c>
      <c r="S19" s="706">
        <f>F19</f>
        <v>100</v>
      </c>
      <c r="T19" s="705" t="s">
        <v>14</v>
      </c>
      <c r="U19" s="706">
        <f>H19</f>
        <v>100</v>
      </c>
      <c r="V19" s="705" t="s">
        <v>14</v>
      </c>
      <c r="W19" s="706">
        <f>J19</f>
        <v>100</v>
      </c>
      <c r="X19" s="1355"/>
      <c r="Y19" s="37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5"/>
      <c r="Q20" s="1352"/>
      <c r="R20" s="705"/>
      <c r="S20" s="706"/>
      <c r="T20" s="705"/>
      <c r="U20" s="706"/>
      <c r="V20" s="705"/>
      <c r="W20" s="706"/>
      <c r="X20" s="1355"/>
      <c r="Y20" s="372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5"/>
      <c r="Q21" s="1352" t="str">
        <f t="shared" si="8"/>
        <v>环境状况</v>
      </c>
      <c r="R21" s="705" t="s">
        <v>14</v>
      </c>
      <c r="S21" s="706">
        <f>F21</f>
        <v>100</v>
      </c>
      <c r="T21" s="705" t="s">
        <v>14</v>
      </c>
      <c r="U21" s="706">
        <f>H21</f>
        <v>100</v>
      </c>
      <c r="V21" s="705" t="s">
        <v>14</v>
      </c>
      <c r="W21" s="706">
        <f>J21</f>
        <v>100</v>
      </c>
      <c r="X21" s="1355"/>
      <c r="Y21" s="37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5"/>
      <c r="Q22" s="1352"/>
      <c r="R22" s="705"/>
      <c r="S22" s="706"/>
      <c r="T22" s="705"/>
      <c r="U22" s="706"/>
      <c r="V22" s="705"/>
      <c r="W22" s="706"/>
      <c r="X22" s="1355"/>
      <c r="Y22" s="372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5"/>
      <c r="Q23" s="1343" t="str">
        <f t="shared" si="8"/>
        <v>公共配套设施</v>
      </c>
      <c r="R23" s="701" t="s">
        <v>14</v>
      </c>
      <c r="S23" s="702">
        <f>F23</f>
        <v>100</v>
      </c>
      <c r="T23" s="701" t="s">
        <v>14</v>
      </c>
      <c r="U23" s="702">
        <f>H23</f>
        <v>100</v>
      </c>
      <c r="V23" s="701" t="s">
        <v>14</v>
      </c>
      <c r="W23" s="702">
        <f>J23</f>
        <v>100</v>
      </c>
      <c r="X23" s="703"/>
      <c r="Y23" s="372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5"/>
      <c r="Q24" s="1343"/>
      <c r="R24" s="701"/>
      <c r="S24" s="702"/>
      <c r="T24" s="701"/>
      <c r="U24" s="702"/>
      <c r="V24" s="701"/>
      <c r="W24" s="702"/>
      <c r="X24" s="703"/>
      <c r="Y24" s="372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5"/>
      <c r="Q25" s="1343"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5"/>
      <c r="Q26" s="1343"/>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5"/>
      <c r="Q28" s="1352" t="str">
        <f t="shared" si="8"/>
        <v>毗邻道路的类型与等级</v>
      </c>
      <c r="R28" s="705" t="s">
        <v>14</v>
      </c>
      <c r="S28" s="706">
        <f t="shared" si="10"/>
        <v>100</v>
      </c>
      <c r="T28" s="705" t="s">
        <v>14</v>
      </c>
      <c r="U28" s="706">
        <f t="shared" si="11"/>
        <v>100</v>
      </c>
      <c r="V28" s="705" t="s">
        <v>14</v>
      </c>
      <c r="W28" s="706">
        <f t="shared" si="12"/>
        <v>100</v>
      </c>
      <c r="X28" s="1355"/>
      <c r="Y28" s="37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5"/>
      <c r="Q29" s="1352"/>
      <c r="R29" s="705"/>
      <c r="S29" s="706"/>
      <c r="T29" s="705"/>
      <c r="U29" s="706"/>
      <c r="V29" s="705"/>
      <c r="W29" s="706"/>
      <c r="X29" s="1355"/>
      <c r="Y29" s="37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5"/>
      <c r="Q30" s="1352" t="str">
        <f t="shared" si="8"/>
        <v>土地级别</v>
      </c>
      <c r="R30" s="705" t="s">
        <v>14</v>
      </c>
      <c r="S30" s="706">
        <f t="shared" si="10"/>
        <v>100</v>
      </c>
      <c r="T30" s="705" t="s">
        <v>14</v>
      </c>
      <c r="U30" s="706">
        <f t="shared" si="11"/>
        <v>100</v>
      </c>
      <c r="V30" s="705" t="s">
        <v>14</v>
      </c>
      <c r="W30" s="706">
        <f t="shared" si="12"/>
        <v>100</v>
      </c>
      <c r="X30" s="1355"/>
      <c r="Y30" s="372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5"/>
      <c r="Q31" s="1352">
        <f t="shared" si="8"/>
        <v>111</v>
      </c>
      <c r="R31" s="705" t="s">
        <v>14</v>
      </c>
      <c r="S31" s="706">
        <f t="shared" si="10"/>
        <v>100</v>
      </c>
      <c r="T31" s="705" t="s">
        <v>14</v>
      </c>
      <c r="U31" s="706">
        <f t="shared" si="11"/>
        <v>100</v>
      </c>
      <c r="V31" s="705" t="s">
        <v>14</v>
      </c>
      <c r="W31" s="706">
        <f t="shared" si="12"/>
        <v>100</v>
      </c>
      <c r="X31" s="1355"/>
      <c r="Y31" s="372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9" t="s">
        <v>1696</v>
      </c>
      <c r="Q37" s="1352" t="str">
        <f t="shared" si="14"/>
        <v>工程地质条件</v>
      </c>
      <c r="R37" s="705" t="s">
        <v>14</v>
      </c>
      <c r="S37" s="706">
        <f t="shared" si="10"/>
        <v>100</v>
      </c>
      <c r="T37" s="705" t="s">
        <v>14</v>
      </c>
      <c r="U37" s="706">
        <f t="shared" si="11"/>
        <v>100</v>
      </c>
      <c r="V37" s="705" t="s">
        <v>14</v>
      </c>
      <c r="W37" s="706">
        <f t="shared" si="12"/>
        <v>100</v>
      </c>
      <c r="X37" s="1355"/>
      <c r="Y37" s="37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525.74</v>
      </c>
      <c r="F51" s="639" t="e">
        <f t="shared" ref="F51:F60" si="15">ROUND(B51*E51/10000,0)</f>
        <v>#DIV/0!</v>
      </c>
      <c r="G51" s="3704"/>
      <c r="H51" s="372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2"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5" t="s">
        <v>2631</v>
      </c>
      <c r="B27" s="3782" t="s">
        <v>2612</v>
      </c>
      <c r="C27" s="3103" t="s">
        <v>2452</v>
      </c>
      <c r="D27" s="3104"/>
      <c r="E27" s="3105">
        <v>1</v>
      </c>
      <c r="F27" s="3106" t="s">
        <v>2453</v>
      </c>
      <c r="G27" s="3106"/>
    </row>
    <row r="28" spans="1:13" ht="19.5" customHeight="1">
      <c r="A28" s="3786"/>
      <c r="B28" s="3783"/>
      <c r="C28" s="3107" t="s">
        <v>2454</v>
      </c>
      <c r="D28" s="3108"/>
      <c r="E28" s="3109">
        <v>1</v>
      </c>
      <c r="F28" s="3106" t="s">
        <v>2455</v>
      </c>
      <c r="G28" s="3106"/>
    </row>
    <row r="29" spans="1:13" ht="19.5" customHeight="1">
      <c r="A29" s="3786"/>
      <c r="B29" s="3783"/>
      <c r="C29" s="3107" t="s">
        <v>2456</v>
      </c>
      <c r="D29" s="3108"/>
      <c r="E29" s="3109">
        <v>0.8</v>
      </c>
      <c r="F29" s="3106" t="s">
        <v>2457</v>
      </c>
      <c r="G29" s="3106"/>
    </row>
    <row r="30" spans="1:13" ht="19.5" customHeight="1">
      <c r="A30" s="3786"/>
      <c r="B30" s="3783"/>
      <c r="C30" s="3107" t="s">
        <v>2458</v>
      </c>
      <c r="D30" s="3108"/>
      <c r="E30" s="3109">
        <v>0.8</v>
      </c>
      <c r="F30" s="3106" t="s">
        <v>2459</v>
      </c>
      <c r="G30" s="3106"/>
    </row>
    <row r="31" spans="1:13" ht="19.5" customHeight="1">
      <c r="A31" s="3786"/>
      <c r="B31" s="3783"/>
      <c r="C31" s="3107" t="s">
        <v>2460</v>
      </c>
      <c r="D31" s="3108"/>
      <c r="E31" s="3109">
        <v>0.8</v>
      </c>
      <c r="F31" s="3106" t="s">
        <v>2461</v>
      </c>
      <c r="G31" s="3106"/>
    </row>
    <row r="32" spans="1:13" ht="19.5" customHeight="1">
      <c r="A32" s="3786"/>
      <c r="B32" s="3783"/>
      <c r="C32" s="3107" t="s">
        <v>2462</v>
      </c>
      <c r="D32" s="3108"/>
      <c r="E32" s="3109">
        <v>0.7</v>
      </c>
      <c r="F32" s="3106" t="s">
        <v>2463</v>
      </c>
      <c r="G32" s="3106"/>
    </row>
    <row r="33" spans="1:7" ht="19.5" customHeight="1">
      <c r="A33" s="3786"/>
      <c r="B33" s="3783"/>
      <c r="C33" s="3107" t="s">
        <v>2464</v>
      </c>
      <c r="D33" s="3108"/>
      <c r="E33" s="3109">
        <v>0.8</v>
      </c>
      <c r="F33" s="3106" t="s">
        <v>2465</v>
      </c>
      <c r="G33" s="3106"/>
    </row>
    <row r="34" spans="1:7" ht="19.5" customHeight="1">
      <c r="A34" s="3786"/>
      <c r="B34" s="3783"/>
      <c r="C34" s="3107" t="s">
        <v>2466</v>
      </c>
      <c r="D34" s="3108"/>
      <c r="E34" s="3109">
        <v>0.6</v>
      </c>
      <c r="F34" s="3106" t="s">
        <v>2467</v>
      </c>
      <c r="G34" s="3106"/>
    </row>
    <row r="35" spans="1:7" ht="19.5" customHeight="1">
      <c r="A35" s="3786"/>
      <c r="B35" s="3783"/>
      <c r="C35" s="3107" t="s">
        <v>2468</v>
      </c>
      <c r="D35" s="3108"/>
      <c r="E35" s="3109">
        <v>0.2</v>
      </c>
      <c r="F35" s="3106" t="s">
        <v>2469</v>
      </c>
      <c r="G35" s="3106"/>
    </row>
    <row r="36" spans="1:7" ht="19.5" customHeight="1">
      <c r="A36" s="3786"/>
      <c r="B36" s="3783"/>
      <c r="C36" s="3107" t="s">
        <v>2470</v>
      </c>
      <c r="D36" s="3108"/>
      <c r="E36" s="3109">
        <v>0.2</v>
      </c>
      <c r="F36" s="3106" t="s">
        <v>2471</v>
      </c>
      <c r="G36" s="3106"/>
    </row>
    <row r="37" spans="1:7" ht="19.5" customHeight="1">
      <c r="A37" s="3786"/>
      <c r="B37" s="3788" t="s">
        <v>2632</v>
      </c>
      <c r="C37" s="3107" t="s">
        <v>2472</v>
      </c>
      <c r="D37" s="3108"/>
      <c r="E37" s="3109">
        <v>0.6</v>
      </c>
      <c r="F37" s="3106" t="s">
        <v>2473</v>
      </c>
      <c r="G37" s="3106"/>
    </row>
    <row r="38" spans="1:7" ht="19.5" customHeight="1">
      <c r="A38" s="3786"/>
      <c r="B38" s="3783"/>
      <c r="C38" s="3107" t="s">
        <v>2474</v>
      </c>
      <c r="D38" s="3108"/>
      <c r="E38" s="3109">
        <v>0.6</v>
      </c>
      <c r="F38" s="3106" t="s">
        <v>2475</v>
      </c>
      <c r="G38" s="3106"/>
    </row>
    <row r="39" spans="1:7" ht="19.5" customHeight="1" thickBot="1">
      <c r="A39" s="3787"/>
      <c r="B39" s="378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2"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9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8"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8"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3.5">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13.5">
      <c r="A85" s="3118">
        <v>13</v>
      </c>
      <c r="B85" s="3783"/>
      <c r="C85" s="3092" t="s">
        <v>2676</v>
      </c>
      <c r="D85" s="3092" t="s">
        <v>2677</v>
      </c>
      <c r="E85" s="3118">
        <v>0.1</v>
      </c>
      <c r="F85" s="3118">
        <v>15</v>
      </c>
    </row>
    <row r="86" spans="1:6" ht="13.5">
      <c r="A86" s="3118">
        <v>14</v>
      </c>
      <c r="B86" s="3783"/>
      <c r="C86" s="3092" t="s">
        <v>2678</v>
      </c>
      <c r="D86" s="3092" t="s">
        <v>2679</v>
      </c>
      <c r="E86" s="3118">
        <v>0.1</v>
      </c>
      <c r="F86" s="3118">
        <v>15</v>
      </c>
    </row>
    <row r="87" spans="1:6" ht="13.5">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92"/>
      <c r="C89" s="3092" t="s">
        <v>2684</v>
      </c>
      <c r="D89" s="3092" t="s">
        <v>2685</v>
      </c>
      <c r="E89" s="3118">
        <v>0.1</v>
      </c>
      <c r="F89" s="3118">
        <v>15</v>
      </c>
    </row>
    <row r="90" spans="1:6" ht="13.5">
      <c r="A90" s="3118">
        <v>18</v>
      </c>
      <c r="B90" s="3788" t="s">
        <v>2686</v>
      </c>
      <c r="C90" s="3092" t="s">
        <v>2687</v>
      </c>
      <c r="D90" s="3092" t="s">
        <v>2688</v>
      </c>
      <c r="E90" s="3118">
        <v>0.2</v>
      </c>
      <c r="F90" s="3118">
        <v>25</v>
      </c>
    </row>
    <row r="91" spans="1:6" ht="24">
      <c r="A91" s="3118">
        <v>19</v>
      </c>
      <c r="B91" s="3783"/>
      <c r="C91" s="3092" t="s">
        <v>2689</v>
      </c>
      <c r="D91" s="3092" t="s">
        <v>2690</v>
      </c>
      <c r="E91" s="3118">
        <v>0.2</v>
      </c>
      <c r="F91" s="3118">
        <v>25</v>
      </c>
    </row>
    <row r="92" spans="1:6" ht="13.5">
      <c r="A92" s="3118">
        <v>20</v>
      </c>
      <c r="B92" s="3783"/>
      <c r="C92" s="3092" t="s">
        <v>2691</v>
      </c>
      <c r="D92" s="3092" t="s">
        <v>2692</v>
      </c>
      <c r="E92" s="3118">
        <v>0.15</v>
      </c>
      <c r="F92" s="3118">
        <v>20</v>
      </c>
    </row>
    <row r="93" spans="1:6" ht="13.5">
      <c r="A93" s="3118">
        <v>21</v>
      </c>
      <c r="B93" s="3783"/>
      <c r="C93" s="3092" t="s">
        <v>2693</v>
      </c>
      <c r="D93" s="3092" t="s">
        <v>2694</v>
      </c>
      <c r="E93" s="3118">
        <v>0.15</v>
      </c>
      <c r="F93" s="3118">
        <v>20</v>
      </c>
    </row>
    <row r="94" spans="1:6" ht="13.5">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13.5">
      <c r="A96" s="3118">
        <v>24</v>
      </c>
      <c r="B96" s="3783"/>
      <c r="C96" s="3092" t="s">
        <v>2699</v>
      </c>
      <c r="D96" s="3092" t="s">
        <v>2700</v>
      </c>
      <c r="E96" s="3118">
        <v>0.1</v>
      </c>
      <c r="F96" s="3118">
        <v>15</v>
      </c>
    </row>
    <row r="97" spans="1:6" ht="13.5">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13.5">
      <c r="A100" s="3118">
        <v>28</v>
      </c>
      <c r="B100" s="3783"/>
      <c r="C100" s="3092" t="s">
        <v>2707</v>
      </c>
      <c r="D100" s="3092" t="s">
        <v>2708</v>
      </c>
      <c r="E100" s="3118">
        <v>0.1</v>
      </c>
      <c r="F100" s="3118">
        <v>15</v>
      </c>
    </row>
    <row r="101" spans="1:6" ht="13.5">
      <c r="A101" s="3118">
        <v>29</v>
      </c>
      <c r="B101" s="3783"/>
      <c r="C101" s="3092" t="s">
        <v>2709</v>
      </c>
      <c r="D101" s="3092" t="s">
        <v>2710</v>
      </c>
      <c r="E101" s="3118">
        <v>0.1</v>
      </c>
      <c r="F101" s="3118">
        <v>15</v>
      </c>
    </row>
    <row r="102" spans="1:6" ht="13.5">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92"/>
      <c r="C106" s="3092" t="s">
        <v>2719</v>
      </c>
      <c r="D106" s="3092" t="s">
        <v>2720</v>
      </c>
      <c r="E106" s="3118">
        <v>0.1</v>
      </c>
      <c r="F106" s="3118">
        <v>15</v>
      </c>
    </row>
    <row r="107" spans="1:6" ht="24">
      <c r="A107" s="3118">
        <v>35</v>
      </c>
      <c r="B107" s="3788" t="s">
        <v>2721</v>
      </c>
      <c r="C107" s="3118" t="s">
        <v>2722</v>
      </c>
      <c r="D107" s="3092" t="s">
        <v>2723</v>
      </c>
      <c r="E107" s="3118">
        <v>0.15</v>
      </c>
      <c r="F107" s="3118">
        <v>20</v>
      </c>
    </row>
    <row r="108" spans="1:6" ht="13.5">
      <c r="A108" s="3118">
        <v>36</v>
      </c>
      <c r="B108" s="3783"/>
      <c r="C108" s="3118" t="s">
        <v>2724</v>
      </c>
      <c r="D108" s="3092" t="s">
        <v>2725</v>
      </c>
      <c r="E108" s="3118">
        <v>0.15</v>
      </c>
      <c r="F108" s="3118">
        <v>20</v>
      </c>
    </row>
    <row r="109" spans="1:6" ht="13.5">
      <c r="A109" s="3118">
        <v>37</v>
      </c>
      <c r="B109" s="3783"/>
      <c r="C109" s="3118" t="s">
        <v>2726</v>
      </c>
      <c r="D109" s="3092" t="s">
        <v>2727</v>
      </c>
      <c r="E109" s="3118">
        <v>0.15</v>
      </c>
      <c r="F109" s="3118">
        <v>20</v>
      </c>
    </row>
    <row r="110" spans="1:6" ht="13.5">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92"/>
      <c r="C112" s="3118" t="s">
        <v>2732</v>
      </c>
      <c r="D112" s="3092" t="s">
        <v>2733</v>
      </c>
      <c r="E112" s="3118">
        <v>0.1</v>
      </c>
      <c r="F112" s="3118">
        <v>15</v>
      </c>
    </row>
    <row r="113" spans="1:6" ht="13.5">
      <c r="A113" s="3118">
        <v>41</v>
      </c>
      <c r="B113" s="3793" t="s">
        <v>2734</v>
      </c>
      <c r="C113" s="3118" t="s">
        <v>2735</v>
      </c>
      <c r="D113" s="3092" t="s">
        <v>2736</v>
      </c>
      <c r="E113" s="3118">
        <v>0.1</v>
      </c>
      <c r="F113" s="3118">
        <v>15</v>
      </c>
    </row>
    <row r="114" spans="1:6" ht="13.5">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13.5">
      <c r="A116" s="3118">
        <v>44</v>
      </c>
      <c r="B116" s="3788" t="s">
        <v>2741</v>
      </c>
      <c r="C116" s="3118" t="s">
        <v>2742</v>
      </c>
      <c r="D116" s="3092" t="s">
        <v>2743</v>
      </c>
      <c r="E116" s="3118">
        <v>0.1</v>
      </c>
      <c r="F116" s="3118">
        <v>15</v>
      </c>
    </row>
    <row r="117" spans="1:6" ht="24">
      <c r="A117" s="3118">
        <v>45</v>
      </c>
      <c r="B117" s="3792"/>
      <c r="C117" s="3092" t="s">
        <v>2744</v>
      </c>
      <c r="D117" s="3092" t="s">
        <v>2745</v>
      </c>
      <c r="E117" s="3118">
        <v>0.1</v>
      </c>
      <c r="F117" s="3118">
        <v>15</v>
      </c>
    </row>
    <row r="118" spans="1:6" ht="24">
      <c r="A118" s="3118">
        <v>46</v>
      </c>
      <c r="B118" s="3788" t="s">
        <v>2746</v>
      </c>
      <c r="C118" s="3118" t="s">
        <v>2747</v>
      </c>
      <c r="D118" s="3092" t="s">
        <v>2748</v>
      </c>
      <c r="E118" s="3118">
        <v>0.1</v>
      </c>
      <c r="F118" s="3118">
        <v>15</v>
      </c>
    </row>
    <row r="119" spans="1:6" ht="24">
      <c r="A119" s="3118">
        <v>47</v>
      </c>
      <c r="B119" s="3792"/>
      <c r="C119" s="3118" t="s">
        <v>2749</v>
      </c>
      <c r="D119" s="3092" t="s">
        <v>2750</v>
      </c>
      <c r="E119" s="3118">
        <v>0.1</v>
      </c>
      <c r="F119" s="3118">
        <v>15</v>
      </c>
    </row>
    <row r="120" spans="1:6" ht="13.5">
      <c r="A120" s="3118">
        <v>48</v>
      </c>
      <c r="B120" s="3788" t="s">
        <v>2751</v>
      </c>
      <c r="C120" s="3118" t="s">
        <v>2752</v>
      </c>
      <c r="D120" s="3092" t="s">
        <v>2753</v>
      </c>
      <c r="E120" s="3118">
        <v>0.1</v>
      </c>
      <c r="F120" s="3118">
        <v>15</v>
      </c>
    </row>
    <row r="121" spans="1:6" ht="13.5">
      <c r="A121" s="3118">
        <v>49</v>
      </c>
      <c r="B121" s="3792"/>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3" t="s">
        <v>2769</v>
      </c>
      <c r="C127" s="3118" t="s">
        <v>2770</v>
      </c>
      <c r="D127" s="3092" t="s">
        <v>2771</v>
      </c>
      <c r="E127" s="3118">
        <v>0.1</v>
      </c>
      <c r="F127" s="3118">
        <v>15</v>
      </c>
    </row>
    <row r="128" spans="1:6" ht="13.5">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13.5">
      <c r="A131" s="3118">
        <v>59</v>
      </c>
      <c r="B131" s="3793"/>
      <c r="C131" s="3118" t="s">
        <v>2779</v>
      </c>
      <c r="D131" s="3092" t="s">
        <v>2780</v>
      </c>
      <c r="E131" s="3118">
        <v>0.1</v>
      </c>
      <c r="F131" s="3118">
        <v>15</v>
      </c>
    </row>
    <row r="132" spans="1:6" ht="13.5">
      <c r="A132" s="3118">
        <v>60</v>
      </c>
      <c r="B132" s="3788" t="s">
        <v>2781</v>
      </c>
      <c r="C132" s="3118" t="s">
        <v>2782</v>
      </c>
      <c r="D132" s="3092" t="s">
        <v>2783</v>
      </c>
      <c r="E132" s="3118">
        <v>0.1</v>
      </c>
      <c r="F132" s="3118">
        <v>15</v>
      </c>
    </row>
    <row r="133" spans="1:6" ht="13.5">
      <c r="A133" s="3118">
        <v>61</v>
      </c>
      <c r="B133" s="379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3" t="s">
        <v>2789</v>
      </c>
      <c r="C135" s="3118" t="s">
        <v>2790</v>
      </c>
      <c r="D135" s="3092" t="s">
        <v>2791</v>
      </c>
      <c r="E135" s="3118">
        <v>0.1</v>
      </c>
      <c r="F135" s="3118">
        <v>15</v>
      </c>
    </row>
    <row r="136" spans="1:6" ht="13.5">
      <c r="A136" s="3118">
        <v>64</v>
      </c>
      <c r="B136" s="3793"/>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1858</v>
      </c>
      <c r="E5" s="1491"/>
    </row>
    <row r="6" spans="1:5" ht="15.75">
      <c r="A6" s="1491"/>
      <c r="B6" s="3477"/>
      <c r="C6" s="1494" t="s">
        <v>911</v>
      </c>
      <c r="D6" s="850" t="str">
        <f ca="1">NUMBERSTRING(INT(D5*10000),2)&amp;"元整"</f>
        <v>壹仟捌佰伍拾捌万元整</v>
      </c>
      <c r="E6" s="1491"/>
    </row>
    <row r="7" spans="1:5" ht="15.75">
      <c r="A7" s="1491"/>
      <c r="B7" s="3482"/>
      <c r="C7" s="1495" t="s">
        <v>912</v>
      </c>
      <c r="D7" s="851">
        <f ca="1">结果表!H102</f>
        <v>35335</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1858</v>
      </c>
      <c r="E13" s="1491"/>
    </row>
    <row r="14" spans="1:5" ht="15.75">
      <c r="A14" s="1491"/>
      <c r="B14" s="3477"/>
      <c r="C14" s="1494" t="s">
        <v>911</v>
      </c>
      <c r="D14" s="850" t="str">
        <f ca="1">NUMBERSTRING(INT(D13*10000),2)&amp;"元整"</f>
        <v>壹仟捌佰伍拾捌万元整</v>
      </c>
      <c r="E14" s="1491"/>
    </row>
    <row r="15" spans="1:5" ht="15">
      <c r="A15" s="1491"/>
      <c r="B15" s="3482"/>
      <c r="C15" s="1495" t="s">
        <v>921</v>
      </c>
      <c r="D15" s="859">
        <f ca="1">结果表!H108</f>
        <v>35335</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28159</v>
      </c>
      <c r="C2" s="2" t="s">
        <v>106</v>
      </c>
      <c r="D2" s="199"/>
      <c r="E2" s="199"/>
      <c r="F2" s="199"/>
      <c r="G2" s="199"/>
    </row>
    <row r="3" spans="1:7" s="200" customFormat="1" ht="18" customHeight="1" thickBot="1">
      <c r="A3" s="203" t="s">
        <v>58</v>
      </c>
      <c r="B3" s="204">
        <f ca="1">ROUND(B2*10000/'数据-汇总表'!E3,0)</f>
        <v>535607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v>
      </c>
      <c r="D10" s="845">
        <f>'数据-汇总表'!E6</f>
        <v>525.74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525.74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1275</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305</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525.74</v>
      </c>
      <c r="E37" s="249">
        <f>'数据-取费表'!B35</f>
        <v>200</v>
      </c>
      <c r="F37" s="259"/>
      <c r="G37" s="261" t="s">
        <v>92</v>
      </c>
    </row>
    <row r="38" spans="1:7" ht="13.5" customHeight="1">
      <c r="A38" s="780" t="s">
        <v>354</v>
      </c>
      <c r="B38" s="215" t="s">
        <v>36</v>
      </c>
      <c r="C38" s="220">
        <f>ROUND(C34*F38,0)</f>
        <v>8</v>
      </c>
      <c r="D38" s="220"/>
      <c r="E38" s="220"/>
      <c r="F38" s="259">
        <f>'数据-取费表'!B36</f>
        <v>2.5000000000000001E-2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5.9999999999999995E-4</v>
      </c>
      <c r="D44" s="238"/>
      <c r="E44" s="238"/>
      <c r="F44" s="239"/>
      <c r="G44" s="3660"/>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445</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316</v>
      </c>
      <c r="D51" s="232"/>
      <c r="E51" s="232"/>
      <c r="F51" s="264"/>
      <c r="G51" s="234" t="s">
        <v>37</v>
      </c>
    </row>
    <row r="52" spans="1:7" s="208" customFormat="1" ht="16.5" thickBot="1">
      <c r="A52" s="265" t="s">
        <v>38</v>
      </c>
      <c r="B52" s="266"/>
      <c r="C52" s="267">
        <f ca="1">C31+C51</f>
        <v>28159</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4" t="s">
        <v>3181</v>
      </c>
      <c r="B1" s="379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5" t="s">
        <v>3232</v>
      </c>
      <c r="B1" s="3795"/>
      <c r="C1" s="3795"/>
      <c r="D1" s="3795"/>
      <c r="E1" s="3795"/>
      <c r="F1" s="379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45817</v>
      </c>
      <c r="B1" s="3210" t="s">
        <v>3378</v>
      </c>
      <c r="C1" s="3211"/>
      <c r="D1" s="3211"/>
      <c r="E1" s="3211"/>
      <c r="F1" s="3211"/>
      <c r="G1" s="3211"/>
      <c r="H1" s="3211"/>
      <c r="I1" s="3211"/>
      <c r="J1" s="3165"/>
      <c r="K1" s="3211" t="s">
        <v>454</v>
      </c>
      <c r="L1" s="3211"/>
      <c r="M1" s="3211"/>
      <c r="N1" s="3211"/>
      <c r="O1" s="3211"/>
      <c r="P1" s="3211"/>
      <c r="Q1" s="3165"/>
      <c r="R1" s="3797" t="s">
        <v>456</v>
      </c>
      <c r="S1" s="3798"/>
      <c r="T1" s="3798"/>
      <c r="U1" s="3798"/>
      <c r="V1" s="3798"/>
      <c r="W1" s="3798"/>
      <c r="X1" s="3165"/>
      <c r="Y1" s="3797" t="s">
        <v>457</v>
      </c>
      <c r="Z1" s="3798"/>
      <c r="AA1" s="3798"/>
      <c r="AB1" s="3798"/>
      <c r="AC1" s="3798"/>
      <c r="AD1" s="379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7" t="s">
        <v>2827</v>
      </c>
      <c r="S29" s="3798"/>
      <c r="T29" s="3798"/>
      <c r="U29" s="3798"/>
      <c r="V29" s="3798"/>
      <c r="W29" s="3798"/>
      <c r="X29" s="3165"/>
      <c r="Y29" s="3797" t="s">
        <v>2828</v>
      </c>
      <c r="Z29" s="3798"/>
      <c r="AA29" s="3798"/>
      <c r="AB29" s="3798"/>
      <c r="AC29" s="3798"/>
      <c r="AD29" s="379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4" workbookViewId="0">
      <selection activeCell="N89" sqref="N89"/>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
  <sheetViews>
    <sheetView topLeftCell="A22" workbookViewId="0">
      <selection activeCell="B39" sqref="B39"/>
    </sheetView>
  </sheetViews>
  <sheetFormatPr defaultRowHeight="13.5"/>
  <sheetData>
    <row r="39" spans="2:2">
      <c r="B39" s="3815"/>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925</v>
      </c>
      <c r="E3" s="854" t="s">
        <v>931</v>
      </c>
      <c r="F3" s="854" t="s">
        <v>925</v>
      </c>
      <c r="G3" s="854" t="s">
        <v>926</v>
      </c>
      <c r="H3" s="854" t="s">
        <v>925</v>
      </c>
      <c r="I3" s="854" t="s">
        <v>926</v>
      </c>
    </row>
    <row r="4" spans="1:9" ht="15">
      <c r="A4" s="1505" t="str">
        <f>项目基本情况!S2</f>
        <v>北京市朝阳区朝外大街乙6号5层0609办公用房房地产</v>
      </c>
      <c r="B4" s="854">
        <f>项目基本情况!C17</f>
        <v>525.74</v>
      </c>
      <c r="C4" s="854">
        <f>项目基本情况!C18</f>
        <v>0</v>
      </c>
      <c r="D4" s="854">
        <f ca="1">结果表!D118</f>
        <v>1328</v>
      </c>
      <c r="E4" s="854">
        <f ca="1">结果表!E118</f>
        <v>25265</v>
      </c>
      <c r="F4" s="854">
        <f ca="1">结果表!F118</f>
        <v>529</v>
      </c>
      <c r="G4" s="854">
        <f ca="1">结果表!G118</f>
        <v>10070</v>
      </c>
      <c r="H4" s="854">
        <f ca="1">结果表!H118</f>
        <v>1858</v>
      </c>
      <c r="I4" s="854">
        <f ca="1">结果表!I118</f>
        <v>35335</v>
      </c>
    </row>
    <row r="5" spans="1:9" ht="30" customHeight="1">
      <c r="A5" s="3488" t="s">
        <v>927</v>
      </c>
      <c r="B5" s="3488"/>
      <c r="C5" s="3488"/>
      <c r="D5" s="3488" t="str">
        <f ca="1">结果表!D119</f>
        <v>壹仟叁佰贰拾捌万元整</v>
      </c>
      <c r="E5" s="3488"/>
      <c r="F5" s="3488" t="str">
        <f ca="1">结果表!F119</f>
        <v>伍佰贰拾玖万元整</v>
      </c>
      <c r="G5" s="3488"/>
      <c r="H5" s="3488" t="str">
        <f ca="1">结果表!H119</f>
        <v>壹仟捌佰伍拾捌万元整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1858</v>
      </c>
      <c r="E8" s="3489"/>
      <c r="F8" s="3489"/>
      <c r="G8" s="3489"/>
      <c r="H8" s="3489"/>
      <c r="I8" s="3489"/>
    </row>
    <row r="9" spans="1:9" ht="15">
      <c r="A9" s="3488" t="s">
        <v>927</v>
      </c>
      <c r="B9" s="3488"/>
      <c r="C9" s="3488"/>
      <c r="D9" s="3488" t="str">
        <f ca="1">结果表!D123</f>
        <v>壹仟捌佰伍拾捌万元整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3"/>
      <c r="E18" s="3514" t="s">
        <v>2162</v>
      </c>
      <c r="F18" s="3513"/>
      <c r="G18" s="351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2025-06-09T09:10:28Z</dcterms:modified>
</cp:coreProperties>
</file>