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/>
  <c r="B10" i="64"/>
  <c r="B9" i="64"/>
  <c r="D29" i="64"/>
  <c r="C15" i="64"/>
  <c r="I1" i="65"/>
  <c r="E14" i="64"/>
  <c r="I2" i="65"/>
  <c r="D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/>
  <c r="H10" i="63"/>
  <c r="C19" i="43"/>
  <c r="J20" i="43"/>
  <c r="A16" i="43"/>
  <c r="D20" i="63"/>
  <c r="D19" i="63"/>
  <c r="K1" i="60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F66" i="63"/>
  <c r="G66" i="63" s="1"/>
  <c r="D66" i="63" s="1"/>
  <c r="F62" i="63"/>
  <c r="G62" i="63" s="1"/>
  <c r="D62" i="63" s="1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 s="1"/>
  <c r="B68" i="63" s="1"/>
  <c r="G76" i="63"/>
  <c r="D54" i="63"/>
  <c r="D45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C58" i="39"/>
  <c r="D56" i="39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5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D58" i="39"/>
  <c r="E56" i="39"/>
  <c r="F56" i="39" s="1"/>
  <c r="F20" i="59"/>
  <c r="F11" i="9" s="1"/>
  <c r="T13" i="67"/>
  <c r="D13" i="67"/>
  <c r="C12" i="67"/>
  <c r="E58" i="39"/>
  <c r="C11" i="67"/>
  <c r="D12" i="67"/>
  <c r="B3" i="43"/>
  <c r="D11" i="67"/>
  <c r="D10" i="67"/>
  <c r="I19" i="43"/>
  <c r="B4" i="43"/>
  <c r="G5" i="65"/>
  <c r="D5" i="65"/>
  <c r="G4" i="65"/>
  <c r="D7" i="65"/>
  <c r="E6" i="65"/>
  <c r="H4" i="65"/>
  <c r="D8" i="65"/>
  <c r="G7" i="65"/>
  <c r="H7" i="65"/>
  <c r="H6" i="65"/>
  <c r="E4" i="65"/>
  <c r="G6" i="65"/>
  <c r="D4" i="65"/>
  <c r="E5" i="65"/>
  <c r="H8" i="65"/>
  <c r="G8" i="65"/>
  <c r="H5" i="65"/>
  <c r="D6" i="65"/>
  <c r="E7" i="65"/>
  <c r="E8" i="65"/>
  <c r="F29" i="59" l="1"/>
  <c r="F33" i="59" s="1"/>
  <c r="B17" i="9" s="1"/>
  <c r="L1" i="60"/>
  <c r="M1" i="60" s="1"/>
  <c r="E20" i="64"/>
  <c r="H87" i="43"/>
  <c r="D17" i="64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C48" i="39"/>
  <c r="B3" i="39" s="1"/>
  <c r="E42" i="63"/>
  <c r="B4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 s="1"/>
  <c r="F64" i="63"/>
  <c r="G64" i="63" s="1"/>
  <c r="D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D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2" i="65"/>
  <c r="E20" i="43"/>
  <c r="G3" i="65"/>
  <c r="G1" i="65"/>
  <c r="E60" i="63" l="1"/>
  <c r="B58" i="63" s="1"/>
  <c r="C15" i="63" s="1"/>
  <c r="C20" i="63" s="1"/>
  <c r="C22" i="63" s="1"/>
  <c r="B5" i="63" s="1"/>
  <c r="F7" i="59" s="1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B4" i="63" l="1"/>
  <c r="E20" i="63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C116" i="43" l="1"/>
  <c r="D114" i="43"/>
  <c r="J56" i="39"/>
  <c r="I58" i="39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J58" i="39" l="1"/>
  <c r="K56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C27" i="43" l="1"/>
  <c r="C26" i="43"/>
  <c r="B2" i="43" s="1"/>
  <c r="K58" i="39"/>
  <c r="L56" i="39"/>
  <c r="F9" i="59"/>
  <c r="B12" i="9" s="1"/>
  <c r="F10" i="59"/>
  <c r="B13" i="9" s="1"/>
  <c r="B14" i="9" l="1"/>
  <c r="L58" i="39"/>
  <c r="M56" i="39"/>
  <c r="F4" i="59"/>
  <c r="F24" i="59" s="1"/>
  <c r="N56" i="39" l="1"/>
  <c r="M58" i="39"/>
  <c r="B15" i="9"/>
  <c r="F35" i="59"/>
  <c r="B18" i="9" s="1"/>
  <c r="C11" i="68" s="1"/>
  <c r="F25" i="59"/>
  <c r="O56" i="39" l="1"/>
  <c r="O58" i="39" s="1"/>
  <c r="N58" i="3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<sst xmlns="http://schemas.openxmlformats.org/spreadsheetml/2006/main" count="3952" uniqueCount="1794">
  <si>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</si>
  <si>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</si>
  <si>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</si>
  <si>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</si>
  <si>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</si>
  <si>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</si>
  <si>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</si>
  <si>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</si>
  <si>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</si>
  <si>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</si>
  <si>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</si>
  <si>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</si>
  <si>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</si>
  <si>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</si>
  <si>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</si>
  <si>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</si>
  <si>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</si>
  <si>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</si>
  <si>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</si>
  <si>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</si>
  <si>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</si>
  <si>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</si>
  <si>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</si>
  <si>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</si>
  <si>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</si>
  <si>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</si>
  <si>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</si>
  <si>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</si>
  <si>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</si>
  <si>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</si>
  <si>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</si>
  <si>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</si>
  <si>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</si>
  <si>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</si>
  <si>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</si>
  <si>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</si>
  <si>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</si>
  <si>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</si>
  <si>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</si>
  <si>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</si>
  <si>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</si>
  <si>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</si>
  <si>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</si>
  <si>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</si>
  <si>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</si>
  <si>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</si>
  <si>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</si>
  <si>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</si>
  <si>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</si>
  <si>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</si>
  <si>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</si>
  <si>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</si>
  <si>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</si>
  <si>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</si>
  <si>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</si>
  <si>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</si>
  <si>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</si>
  <si>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</si>
  <si>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</si>
  <si>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</si>
  <si>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</si>
  <si>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</si>
  <si>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</si>
  <si>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</si>
  <si>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</si>
  <si>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</si>
  <si>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</si>
  <si>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</si>
  <si>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</si>
  <si>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</si>
  <si>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</si>
  <si>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</si>
  <si>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</si>
  <si>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</si>
  <si>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</si>
  <si>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</si>
  <si>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</si>
  <si>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</si>
  <si>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</si>
  <si>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</si>
  <si>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</si>
  <si>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</si>
  <si>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</si>
  <si>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</si>
  <si>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</si>
  <si>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</si>
  <si>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</si>
  <si>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</si>
  <si>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</si>
  <si>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</si>
  <si>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</si>
  <si>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</si>
  <si>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</si>
  <si>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</si>
  <si>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</si>
  <si>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</si>
  <si>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</si>
  <si>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</si>
  <si>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</si>
  <si>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</si>
  <si>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</si>
  <si>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</si>
  <si>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</si>
  <si>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</si>
  <si>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</si>
  <si>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</si>
  <si>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</si>
  <si>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</si>
  <si>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</si>
  <si>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</si>
  <si>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</si>
  <si>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</si>
  <si>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</si>
  <si>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</si>
  <si>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</si>
  <si>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</si>
  <si>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</si>
  <si>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</si>
  <si>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</si>
  <si>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</si>
  <si>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</si>
  <si>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</si>
  <si>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</si>
  <si>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</si>
  <si>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</si>
  <si>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</si>
  <si>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</si>
  <si>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</si>
  <si>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</si>
  <si>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</si>
  <si>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</si>
  <si>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</si>
  <si>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</si>
  <si>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</si>
  <si>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</si>
  <si>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</si>
  <si>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</si>
  <si>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</si>
  <si>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</si>
  <si>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</si>
  <si>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</si>
  <si>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</si>
  <si>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</si>
  <si>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</si>
  <si>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</si>
  <si>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</si>
  <si>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</si>
  <si>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</si>
  <si>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</si>
  <si>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</si>
  <si>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</si>
  <si>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</si>
  <si>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</si>
  <si>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</si>
  <si>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</si>
  <si>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</si>
  <si>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</si>
  <si>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</si>
  <si>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</si>
  <si>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</si>
  <si>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</si>
  <si>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</si>
  <si>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</si>
  <si>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</si>
  <si>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</si>
  <si>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</si>
  <si>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</si>
  <si>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</si>
  <si>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</si>
  <si>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</si>
  <si>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</si>
  <si>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</si>
  <si>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</si>
  <si>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</si>
  <si>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</si>
  <si>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</si>
  <si>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</si>
  <si>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</si>
  <si>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</si>
  <si>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</si>
  <si>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</si>
  <si>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</si>
  <si>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</si>
  <si>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</si>
  <si>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</si>
  <si>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</si>
  <si>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</si>
  <si>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</si>
  <si>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</si>
  <si>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</si>
  <si>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</si>
  <si>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</si>
  <si>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</si>
  <si>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</si>
  <si>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</si>
  <si>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</si>
  <si>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</si>
  <si>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</si>
  <si>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</si>
  <si>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</si>
  <si>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</si>
  <si>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</si>
  <si>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</si>
  <si>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</si>
  <si>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</si>
  <si>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</si>
  <si>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</si>
  <si>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</si>
  <si>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</si>
  <si>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</si>
  <si>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</si>
  <si>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</si>
  <si>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</si>
  <si>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</si>
  <si>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</si>
  <si>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</si>
  <si>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</si>
  <si>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</si>
  <si>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</si>
  <si>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</si>
  <si>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</si>
  <si>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</si>
  <si>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</si>
  <si>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</si>
  <si>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</si>
  <si>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</si>
  <si>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</si>
  <si>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</si>
  <si>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</si>
  <si>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</si>
  <si>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</si>
  <si>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</si>
  <si>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</si>
  <si>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</si>
  <si>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</si>
  <si>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</si>
  <si>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</si>
  <si>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</si>
  <si>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</si>
  <si>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</si>
  <si>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</si>
  <si>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</si>
  <si>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</si>
  <si>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</si>
  <si>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</si>
  <si>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</si>
  <si>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</si>
  <si>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</si>
  <si>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</si>
  <si>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</si>
  <si>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</si>
  <si>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</si>
  <si>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</si>
  <si>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</si>
  <si>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</si>
  <si>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</si>
  <si>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</si>
  <si>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</si>
  <si>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</si>
  <si>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</si>
  <si>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</si>
  <si>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</si>
  <si>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</si>
  <si>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</si>
  <si>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</si>
  <si>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</si>
  <si>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</si>
  <si>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</si>
  <si>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</si>
  <si>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</si>
  <si>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</si>
  <si>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</si>
  <si>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</si>
  <si>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</si>
  <si>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</si>
  <si>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</si>
  <si>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</si>
  <si>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</si>
  <si>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</si>
  <si>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</si>
  <si>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</si>
  <si>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</si>
  <si>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</si>
  <si>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</si>
  <si>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</si>
  <si>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</si>
  <si>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</si>
  <si>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</si>
  <si>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</si>
  <si>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</si>
  <si>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</si>
  <si>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</si>
  <si>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</si>
  <si>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</si>
  <si>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</si>
  <si>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</si>
  <si>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</si>
  <si>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</si>
  <si>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</si>
  <si>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</si>
  <si>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</si>
  <si>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</si>
  <si>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</si>
  <si>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</si>
  <si>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</si>
  <si>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</si>
  <si>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</si>
  <si>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</si>
  <si>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</si>
  <si>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</si>
  <si>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</si>
  <si>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</si>
  <si>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</si>
  <si>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</si>
  <si>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</si>
  <si>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</si>
  <si>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</si>
  <si>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</si>
  <si>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</si>
  <si>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</si>
  <si>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</si>
  <si>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</si>
  <si>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</si>
  <si>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</si>
  <si>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</si>
  <si>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</si>
  <si>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</si>
  <si>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</si>
  <si>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</si>
  <si>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</si>
  <si>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</si>
  <si>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</si>
  <si>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</si>
  <si>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</si>
  <si>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</si>
  <si>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</si>
  <si>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</si>
  <si>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</si>
  <si>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</si>
  <si>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</si>
  <si>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</si>
  <si>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</si>
  <si>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</si>
  <si>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</si>
  <si>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</si>
  <si>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</si>
  <si>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</si>
  <si>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</si>
  <si>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</si>
  <si>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</si>
  <si>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</si>
  <si>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</si>
  <si>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</si>
  <si>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</si>
  <si>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</si>
  <si>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</si>
  <si>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</si>
  <si>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</si>
  <si>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</si>
  <si>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</si>
  <si>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</si>
  <si>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</si>
  <si>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</si>
  <si>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</si>
  <si>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</si>
  <si>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</si>
  <si>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</si>
  <si>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</si>
  <si>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</si>
  <si>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</si>
  <si>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</si>
  <si>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</si>
  <si>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</si>
  <si>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</si>
  <si>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</si>
  <si>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</si>
  <si>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</si>
  <si>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</si>
  <si>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</si>
  <si>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</si>
  <si>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</si>
  <si>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</si>
  <si>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</si>
  <si>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</si>
  <si>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</si>
  <si>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</si>
  <si>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</si>
  <si>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</si>
  <si>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</si>
  <si>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</si>
  <si>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</si>
  <si>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</si>
  <si>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</si>
  <si>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</si>
  <si>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</si>
  <si>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</si>
  <si>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</si>
  <si>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</si>
  <si>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</si>
  <si>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</si>
  <si>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</si>
  <si>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</si>
  <si>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</si>
  <si>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</si>
  <si>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</si>
  <si>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</si>
  <si>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</si>
  <si>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</si>
  <si>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</si>
  <si>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</si>
  <si>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</si>
  <si>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</si>
  <si>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</si>
  <si>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</si>
  <si>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</si>
  <si>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</si>
  <si>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</si>
  <si>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</si>
  <si>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</si>
  <si>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</si>
  <si>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</si>
  <si>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</si>
  <si>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</si>
  <si>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</si>
  <si>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</si>
  <si>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</si>
  <si>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</si>
  <si>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</si>
  <si>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</si>
  <si>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</si>
  <si>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</si>
  <si>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</si>
  <si>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</si>
  <si>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</si>
  <si>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</si>
  <si>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</si>
  <si>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</si>
  <si>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</si>
  <si>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</si>
  <si>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</si>
  <si>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</si>
  <si>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</si>
  <si>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</si>
  <si>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</si>
  <si>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</si>
  <si>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</si>
  <si>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</si>
  <si>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</si>
  <si>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</si>
  <si>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</si>
  <si>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</si>
  <si>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</si>
  <si>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</si>
  <si>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</si>
  <si>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</si>
  <si>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</si>
  <si>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</si>
  <si>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</si>
  <si>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</si>
  <si>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</si>
  <si>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</si>
  <si>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</si>
  <si>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</si>
  <si>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</si>
  <si>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</si>
  <si>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</si>
  <si>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</si>
  <si>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</si>
  <si>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</si>
  <si>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</si>
  <si>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</si>
  <si>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</si>
  <si>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</si>
  <si>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</si>
  <si>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</si>
  <si>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</si>
  <si>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</si>
  <si>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</si>
  <si>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</si>
  <si>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</si>
  <si>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</si>
  <si>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</si>
  <si>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</si>
  <si>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</si>
  <si>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</si>
  <si>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</si>
  <si>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</si>
  <si>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</si>
  <si>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</si>
  <si>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</si>
  <si>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</si>
  <si>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</si>
  <si>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</si>
  <si>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</si>
  <si>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</si>
  <si>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</si>
  <si>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</si>
  <si>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</si>
  <si>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</si>
  <si>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</si>
  <si>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</si>
  <si>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</si>
  <si>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</si>
  <si>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</si>
  <si>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</si>
  <si>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</si>
  <si>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</si>
  <si>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</si>
  <si>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</si>
  <si>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</si>
  <si>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</si>
  <si>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</si>
  <si>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</si>
  <si>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</si>
  <si>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</si>
  <si>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</si>
  <si>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</si>
  <si>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</si>
  <si>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</si>
  <si>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</si>
  <si>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</si>
  <si>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</si>
  <si>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</si>
  <si>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</si>
  <si>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</si>
  <si>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</si>
  <si>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</si>
  <si>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</si>
  <si>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</si>
  <si>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</si>
  <si>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</si>
  <si>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</si>
  <si>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</si>
  <si>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</si>
  <si>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</si>
  <si>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</si>
  <si>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</si>
  <si>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</si>
  <si>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</si>
  <si>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</si>
  <si>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</si>
  <si>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</si>
  <si>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</si>
  <si>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</si>
  <si>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</si>
  <si>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</si>
  <si>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</si>
  <si>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</si>
  <si>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</si>
  <si>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</si>
  <si>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</si>
  <si>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</si>
  <si>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</si>
  <si>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</si>
  <si>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</si>
  <si>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</si>
  <si>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</si>
  <si>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</si>
  <si>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</si>
  <si>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</si>
  <si>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</si>
  <si>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</si>
  <si>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</si>
  <si>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</si>
  <si>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</si>
  <si>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</si>
  <si>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</si>
  <si>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</si>
  <si>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</si>
  <si>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</si>
  <si>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</si>
  <si>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</si>
  <si>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</si>
  <si>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</si>
  <si>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</si>
  <si>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</si>
  <si>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</si>
  <si>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</si>
  <si>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</si>
  <si>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</si>
  <si>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</si>
  <si>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</si>
  <si>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</si>
  <si>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</si>
  <si>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</si>
  <si>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</si>
  <si>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</si>
  <si>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</si>
  <si>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</si>
  <si>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</si>
  <si>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</si>
  <si>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</si>
  <si>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</si>
  <si>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</si>
  <si>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</si>
  <si>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</si>
  <si>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</si>
  <si>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</si>
  <si>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</si>
  <si>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</si>
  <si>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</si>
  <si>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</si>
  <si>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</si>
  <si>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</si>
  <si>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</si>
  <si>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</si>
  <si>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</si>
  <si>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</si>
  <si>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</si>
  <si>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</si>
  <si>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</si>
  <si>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</si>
  <si>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</si>
  <si>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</si>
  <si>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</si>
  <si>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</si>
  <si>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</si>
  <si>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</si>
  <si>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</si>
  <si>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</si>
  <si>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</si>
  <si>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</si>
  <si>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</si>
  <si>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</si>
  <si>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</si>
  <si>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</si>
  <si>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</si>
  <si>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</si>
  <si>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</si>
  <si>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</si>
  <si>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</si>
  <si>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</si>
  <si>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</si>
  <si>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</si>
  <si>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</si>
  <si>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</si>
  <si>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</si>
  <si>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</si>
  <si>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</si>
  <si>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</si>
  <si>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</si>
  <si>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</si>
  <si>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</si>
  <si>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</si>
  <si>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</si>
  <si>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</si>
  <si>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</si>
  <si>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</si>
  <si>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</si>
  <si>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</si>
  <si>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</si>
  <si>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</si>
  <si>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</si>
  <si>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</si>
  <si>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</si>
  <si>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</si>
  <si>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</si>
  <si>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</si>
  <si>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</si>
  <si>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</si>
  <si>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</si>
  <si>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</si>
  <si>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</si>
  <si>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</si>
  <si>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</si>
  <si>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</si>
  <si>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</si>
  <si>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</si>
  <si>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</si>
  <si>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</si>
  <si>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</si>
  <si>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</si>
  <si>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</si>
  <si>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</si>
  <si>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</si>
  <si>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</si>
  <si>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</si>
  <si>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</si>
  <si>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</si>
  <si>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</si>
  <si>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</si>
  <si>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</si>
  <si>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</si>
  <si>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</si>
  <si>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</si>
  <si>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</si>
  <si>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</si>
  <si>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</si>
  <si>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</si>
  <si>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</si>
  <si>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</si>
  <si>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</si>
  <si>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</si>
  <si>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</si>
  <si>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</si>
  <si>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</si>
  <si>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</si>
  <si>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</si>
  <si>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</si>
  <si>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</si>
  <si>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</si>
  <si>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</si>
  <si>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</si>
  <si>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</si>
  <si>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</si>
  <si>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</si>
  <si>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</si>
  <si>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</si>
  <si>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</si>
  <si>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</si>
  <si>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</si>
  <si>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</si>
  <si>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</si>
  <si>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</si>
  <si>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</si>
  <si>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</si>
  <si>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</si>
  <si>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</si>
  <si>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</si>
  <si>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</si>
  <si>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</si>
  <si>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</si>
  <si>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</si>
  <si>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</si>
  <si>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</si>
  <si>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</si>
  <si>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</si>
  <si>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</si>
  <si>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</si>
  <si>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</si>
  <si>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</si>
  <si>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</si>
  <si>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</si>
  <si>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</si>
  <si>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</si>
  <si>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</si>
  <si>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</si>
  <si>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</si>
  <si>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</si>
  <si>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</si>
  <si>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</si>
  <si>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</si>
  <si>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</si>
  <si>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</si>
  <si>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</si>
  <si>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</si>
  <si>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</si>
  <si>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</si>
  <si>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</si>
  <si>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</si>
  <si>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</si>
  <si>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</si>
  <si>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</si>
  <si>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</si>
  <si>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</si>
  <si>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</si>
  <si>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</si>
  <si>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</si>
  <si>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</si>
  <si>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</si>
  <si>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</si>
  <si>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</si>
  <si>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</si>
  <si>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</si>
  <si>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</si>
  <si>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</si>
  <si>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</si>
  <si>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</si>
  <si>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</si>
  <si>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</si>
  <si>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</si>
  <si>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</si>
  <si>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</si>
  <si>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</si>
  <si>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</si>
  <si>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</si>
  <si>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</si>
  <si>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</si>
  <si>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</si>
  <si>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</si>
  <si>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</si>
  <si>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</si>
  <si>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</si>
  <si>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</si>
  <si>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</si>
  <si>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</si>
  <si>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</si>
  <si>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</si>
  <si>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</si>
  <si>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</si>
  <si>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</si>
  <si>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</si>
  <si>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</si>
  <si>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</si>
  <si>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</si>
  <si>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</si>
  <si>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</si>
  <si>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</si>
  <si>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</si>
  <si>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</si>
  <si>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</si>
  <si>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</si>
  <si>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</si>
  <si>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</si>
  <si>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</si>
  <si>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</si>
  <si>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</si>
  <si>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</si>
  <si>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</si>
  <si>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</si>
  <si>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</si>
  <si>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</si>
  <si>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</si>
  <si>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</si>
  <si>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</si>
  <si>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</si>
  <si>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</si>
  <si>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</si>
  <si>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</si>
  <si>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</si>
  <si>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</si>
  <si>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</si>
  <si>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</si>
  <si>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</si>
  <si>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</si>
  <si>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</si>
  <si>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</si>
  <si>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</si>
  <si>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</si>
  <si>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</si>
  <si>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</si>
  <si>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</si>
  <si>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</si>
  <si>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</si>
  <si>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</si>
  <si>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</si>
  <si>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</si>
  <si>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</si>
  <si>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</si>
  <si>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</si>
  <si>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</si>
  <si>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</si>
  <si>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</si>
  <si>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</si>
  <si>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</si>
  <si>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</si>
  <si>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</si>
  <si>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</si>
  <si>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</si>
  <si>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</si>
  <si>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</si>
  <si>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</si>
  <si>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</si>
  <si>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</si>
  <si>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</si>
  <si>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</si>
  <si>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</si>
  <si>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</si>
  <si>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</si>
  <si>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</si>
  <si>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</si>
  <si>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</si>
  <si>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</si>
  <si>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</si>
  <si>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</si>
  <si>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</si>
  <si>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</si>
  <si>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</si>
  <si>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</si>
  <si>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</si>
  <si>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</si>
  <si>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</si>
  <si>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</si>
  <si>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</si>
  <si>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</si>
  <si>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</si>
  <si>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</si>
  <si>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</si>
  <si>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</si>
  <si>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</si>
  <si>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</si>
  <si>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</si>
  <si>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</si>
  <si>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</si>
  <si>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</si>
  <si>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</si>
  <si>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</si>
  <si>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</si>
  <si>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</si>
  <si>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</si>
  <si>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</si>
  <si>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</si>
  <si>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</si>
  <si>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</si>
  <si>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</si>
  <si>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</si>
  <si>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</si>
  <si>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</si>
  <si>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</si>
  <si>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</si>
  <si>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</si>
  <si>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</si>
  <si>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</si>
  <si>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</si>
  <si>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</si>
  <si>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</si>
  <si>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</si>
  <si>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</si>
  <si>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</si>
  <si>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</si>
  <si>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</si>
  <si>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</si>
  <si>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</si>
  <si>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</si>
  <si>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</si>
  <si>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</si>
  <si>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</si>
  <si>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</si>
  <si>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</si>
  <si>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</si>
  <si>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</si>
  <si>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</si>
  <si>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</si>
  <si>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</si>
  <si>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</si>
  <si>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</si>
  <si>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</si>
  <si>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</si>
  <si>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</si>
  <si>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</si>
  <si>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</si>
  <si>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</si>
  <si>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</si>
  <si>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</si>
  <si>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</si>
  <si>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</si>
  <si>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</si>
  <si>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</si>
  <si>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</si>
  <si>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</si>
  <si>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</si>
  <si>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</si>
  <si>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</si>
  <si>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</si>
  <si>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</si>
  <si>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</si>
  <si>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</si>
  <si>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</si>
  <si>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</si>
  <si>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</si>
  <si>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</si>
  <si>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</si>
  <si>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</si>
  <si>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</si>
  <si>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</si>
  <si>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</si>
  <si>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</si>
  <si>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</si>
  <si>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</si>
  <si>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</si>
  <si>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</si>
  <si>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</si>
  <si>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</si>
  <si>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</si>
  <si>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</si>
  <si>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</si>
  <si>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</si>
  <si>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</si>
  <si>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</si>
  <si>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</si>
  <si>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</si>
  <si>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</si>
  <si>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</si>
  <si>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</si>
  <si>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</si>
  <si>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</si>
  <si>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</si>
  <si>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</si>
  <si>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</si>
  <si>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</si>
  <si>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</si>
  <si>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</si>
  <si>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</si>
  <si>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</si>
  <si>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</si>
  <si>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</si>
  <si>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</si>
  <si>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</si>
  <si>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</si>
  <si>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</si>
  <si>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</si>
  <si>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</si>
  <si>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</si>
  <si>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</si>
  <si>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</si>
  <si>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</si>
  <si>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</si>
  <si>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</si>
  <si>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</si>
  <si>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</si>
  <si>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</si>
  <si>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</si>
  <si>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</si>
  <si>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</si>
  <si>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</si>
  <si>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</si>
  <si>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</si>
  <si>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</si>
  <si>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</si>
  <si>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</si>
  <si>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</si>
  <si>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</si>
  <si>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</si>
  <si>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</si>
  <si>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</si>
  <si>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</si>
  <si>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</si>
  <si>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</si>
  <si>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</si>
  <si>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</si>
  <si>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</si>
  <si>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</si>
  <si>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</si>
  <si>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</si>
  <si>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</si>
  <si>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</si>
  <si>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</si>
  <si>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</si>
  <si>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</si>
  <si>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</si>
  <si>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</si>
  <si>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</si>
  <si>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</si>
  <si>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</si>
  <si>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</si>
  <si>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</si>
  <si>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</si>
  <si>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</si>
  <si>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</si>
  <si>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</si>
  <si>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</si>
  <si>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</si>
  <si>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</si>
  <si>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</si>
  <si>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</si>
  <si>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</si>
  <si>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</si>
  <si>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</si>
  <si>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</si>
  <si>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</si>
  <si>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</si>
  <si>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</si>
  <si>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</si>
  <si>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</si>
  <si>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</si>
  <si>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</si>
  <si>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</si>
  <si>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</si>
  <si>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</si>
  <si>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</si>
  <si>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</si>
  <si>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</si>
  <si>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</si>
  <si>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</si>
  <si>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</si>
  <si>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</si>
  <si>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</si>
  <si>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</si>
  <si>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</si>
  <si>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</si>
  <si>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</si>
  <si>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</si>
  <si>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</si>
  <si>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</si>
  <si>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</si>
  <si>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</si>
  <si>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</si>
  <si>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</si>
  <si>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</si>
  <si>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</si>
  <si>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</si>
  <si>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</si>
  <si>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</si>
  <si>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</si>
  <si>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</si>
  <si>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</si>
  <si>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</si>
  <si>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</si>
  <si>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</si>
  <si>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</si>
  <si>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</si>
  <si>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</si>
  <si>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</si>
  <si>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</si>
  <si>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</si>
  <si>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</si>
  <si>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</si>
  <si>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</si>
  <si>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</si>
  <si>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</si>
  <si>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</si>
  <si>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</si>
  <si>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</si>
  <si>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</si>
  <si>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</si>
  <si>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</si>
  <si>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</si>
  <si>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</si>
  <si>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</si>
  <si>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</si>
  <si>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</si>
  <si>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</si>
  <si>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</si>
  <si>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</si>
  <si>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</si>
  <si>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</si>
  <si>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</si>
  <si>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</si>
  <si>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</si>
  <si>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</si>
  <si>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</si>
  <si>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</si>
  <si>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</si>
  <si>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</si>
  <si>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</si>
  <si>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</si>
  <si>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</si>
  <si>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</si>
  <si>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</si>
  <si>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</si>
  <si>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</si>
  <si>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</si>
  <si>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</si>
  <si>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</si>
  <si>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</si>
  <si>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</si>
  <si>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</si>
  <si>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</si>
  <si>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</si>
  <si>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</si>
  <si>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</si>
  <si>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</si>
  <si>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</si>
  <si>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</si>
  <si>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</si>
  <si>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</si>
  <si>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</si>
  <si>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</si>
  <si>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</si>
  <si>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</si>
  <si>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</si>
  <si>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</si>
  <si>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</si>
  <si>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</si>
  <si>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</si>
  <si>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</si>
  <si>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</si>
  <si>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</si>
  <si>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</si>
  <si>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</si>
  <si>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</si>
  <si>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</si>
  <si>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</si>
  <si>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</si>
  <si>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</si>
  <si>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</si>
  <si>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</si>
  <si>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</si>
  <si>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</si>
  <si>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</si>
  <si>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</si>
  <si>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</si>
  <si>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</si>
  <si>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</si>
  <si>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</si>
  <si>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</si>
  <si>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</si>
  <si>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</si>
  <si>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</si>
  <si>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</si>
  <si>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</si>
  <si>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</si>
  <si>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</si>
  <si>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</si>
  <si>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</si>
  <si>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</si>
  <si>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</si>
  <si>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</si>
  <si>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</si>
  <si>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</si>
  <si>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</si>
  <si>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</si>
  <si>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</si>
  <si>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</si>
  <si>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</si>
  <si>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</si>
  <si>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</si>
  <si>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</si>
  <si>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</si>
  <si>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</si>
  <si>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</si>
  <si>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</si>
  <si>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</si>
  <si>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</si>
  <si>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</si>
  <si>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</si>
  <si>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</si>
  <si>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</si>
  <si>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</si>
  <si>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</si>
  <si>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</si>
  <si>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</si>
  <si>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</si>
  <si>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</si>
  <si>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</si>
  <si>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</si>
  <si>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</si>
  <si>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</si>
  <si>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</si>
  <si>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</si>
  <si>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</si>
  <si>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</si>
  <si>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</si>
  <si>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</si>
  <si>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</si>
  <si>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</si>
  <si>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</si>
  <si>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</si>
  <si>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</si>
  <si>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</si>
  <si>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</si>
  <si>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</si>
  <si>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</si>
  <si>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</si>
  <si>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</si>
  <si>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</si>
  <si>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</si>
  <si>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</si>
  <si>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</si>
  <si>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</si>
  <si>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</si>
  <si>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</si>
  <si>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</si>
  <si>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</si>
  <si>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</si>
  <si>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</si>
  <si>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</si>
  <si>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</si>
  <si>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</si>
  <si>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</si>
  <si>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</si>
  <si>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</si>
  <si>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</si>
  <si>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</si>
  <si>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</si>
  <si>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</si>
  <si>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</si>
  <si>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</si>
  <si>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</si>
  <si>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</si>
  <si>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</si>
  <si>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</si>
  <si>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</si>
  <si>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</si>
  <si>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</si>
  <si>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</si>
  <si>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</si>
  <si>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</si>
  <si>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</si>
  <si>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</si>
  <si>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</si>
  <si>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</si>
  <si>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</si>
  <si>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</si>
  <si>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</si>
  <si>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</si>
  <si>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</si>
  <si>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</si>
  <si>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</si>
  <si>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</si>
  <si>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</si>
  <si>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</si>
  <si>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</si>
  <si>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</si>
  <si>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</si>
  <si>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</si>
  <si>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</si>
  <si>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</si>
  <si>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</si>
  <si>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</si>
  <si>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</si>
  <si>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</si>
  <si>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</si>
  <si>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</si>
  <si>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</si>
  <si>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</si>
  <si>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</si>
  <si>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</si>
  <si>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</si>
  <si>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</si>
  <si>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</si>
  <si>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</si>
  <si>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</si>
  <si>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</si>
  <si>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</si>
  <si>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</si>
  <si>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</si>
  <si>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</si>
  <si>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</si>
  <si>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</si>
  <si>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</si>
  <si>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</si>
  <si>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</si>
  <si>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</si>
  <si>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</si>
  <si>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</si>
  <si>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</si>
  <si>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</si>
  <si>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</si>
  <si>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</si>
  <si>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</si>
  <si>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</si>
  <si>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</si>
  <si>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</si>
  <si>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</si>
  <si>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</si>
  <si>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</si>
  <si>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</si>
  <si>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</si>
  <si>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</si>
  <si>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</si>
  <si>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</si>
  <si>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</si>
  <si>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</si>
  <si>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</si>
  <si>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</si>
  <si>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</si>
  <si>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</si>
  <si>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</si>
  <si>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</si>
  <si>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</si>
  <si>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</si>
  <si>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</si>
  <si>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</si>
  <si>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</si>
  <si>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</si>
  <si>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</si>
  <si>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</si>
  <si>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</si>
  <si>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</si>
  <si>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</si>
  <si>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</si>
  <si>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</si>
  <si>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</si>
  <si>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</si>
  <si>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</si>
  <si>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</si>
  <si>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</si>
  <si>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</si>
  <si>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</si>
  <si>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</si>
  <si>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</si>
  <si>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</si>
  <si>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</si>
  <si>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</si>
  <si>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</si>
  <si>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</si>
  <si>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</si>
  <si>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</si>
  <si>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</si>
  <si>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</si>
  <si>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</si>
  <si>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</si>
  <si>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</si>
  <si>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</si>
  <si>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</si>
  <si>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</si>
  <si>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</si>
  <si>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</si>
  <si>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</si>
  <si>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</si>
  <si>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</si>
  <si>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</si>
  <si>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</si>
  <si>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</si>
  <si>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</si>
  <si>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</si>
  <si>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</si>
  <si>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</si>
  <si>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</si>
  <si>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</si>
  <si>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</si>
  <si>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</si>
  <si>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</si>
  <si>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</si>
  <si>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</si>
  <si>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</si>
  <si>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</si>
  <si>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</si>
  <si>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</si>
  <si>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</si>
  <si>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</si>
  <si>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</si>
  <si>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</si>
  <si>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</si>
  <si>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</si>
  <si>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</si>
  <si>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</si>
  <si>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</si>
  <si>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</si>
  <si>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</si>
  <si>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</si>
  <si>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</si>
  <si>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</si>
  <si>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</si>
  <si>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</si>
  <si>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</si>
  <si>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</si>
  <si>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</si>
  <si>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</si>
  <si>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</si>
  <si>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</si>
  <si>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</si>
  <si>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</si>
  <si>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</si>
  <si>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</si>
  <si>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</si>
  <si>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</si>
  <si>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</si>
  <si>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</si>
  <si>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</si>
  <si>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</si>
  <si>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</si>
  <si>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</si>
  <si>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</si>
  <si>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</si>
  <si>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</si>
  <si>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</si>
  <si>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</si>
  <si>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</si>
  <si>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</si>
  <si>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</si>
  <si>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</si>
  <si>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</si>
  <si>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</si>
  <si>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</si>
  <si>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</si>
  <si>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</si>
  <si>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</si>
  <si>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</si>
  <si>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</si>
  <si>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</si>
  <si>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</si>
  <si>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</si>
  <si>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</si>
  <si>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</si>
  <si>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</si>
  <si>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</si>
  <si>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</si>
  <si>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</si>
  <si>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</si>
  <si>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</si>
  <si>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</si>
  <si>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</si>
  <si>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</si>
  <si>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</si>
  <si>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</si>
  <si>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</si>
  <si>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</si>
  <si>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</si>
  <si>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</si>
  <si>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</si>
  <si>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</si>
  <si>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</si>
  <si>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</si>
  <si>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</si>
  <si>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</si>
  <si>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</si>
  <si>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</si>
  <si>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</si>
  <si>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</si>
  <si>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</si>
  <si>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</si>
  <si>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</si>
  <si>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</si>
  <si>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</si>
  <si>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</si>
  <si>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</si>
  <si>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</si>
  <si>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</si>
  <si>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</si>
  <si>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</si>
  <si>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</si>
  <si>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</si>
  <si>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</si>
  <si>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</si>
  <si>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</si>
  <si>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</si>
  <si>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</si>
  <si>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</si>
  <si>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</si>
  <si>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</si>
  <si>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</si>
  <si>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</si>
  <si>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</si>
  <si>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</si>
  <si>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</si>
  <si>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</si>
  <si>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</si>
  <si>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</si>
  <si>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</si>
  <si>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</si>
  <si>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</si>
  <si>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</si>
  <si>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</si>
  <si>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</si>
  <si>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</si>
  <si>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</si>
  <si>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</si>
  <si>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</si>
  <si>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</si>
  <si>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</si>
  <si>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</si>
  <si>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</si>
  <si>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</si>
  <si>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</si>
  <si>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</si>
  <si>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</si>
  <si>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</si>
  <si>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</si>
  <si>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</si>
  <si>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</si>
  <si>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</si>
  <si>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</si>
  <si>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</si>
  <si>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</si>
  <si>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</si>
  <si>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</si>
  <si>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</si>
  <si>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</si>
  <si>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</si>
  <si>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</si>
  <si>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</si>
  <si>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</si>
  <si>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</si>
  <si>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</si>
  <si>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</si>
  <si>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</si>
  <si>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</si>
  <si>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</si>
  <si>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</si>
  <si>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</si>
  <si>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</si>
  <si>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</si>
  <si>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</si>
  <si>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</si>
  <si>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</si>
  <si>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</si>
  <si>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</si>
  <si>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</si>
  <si>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</si>
  <si>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</si>
  <si>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</si>
  <si>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</si>
  <si>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</si>
  <si>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</si>
  <si>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</si>
  <si>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</si>
  <si>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</si>
  <si>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</si>
  <si>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</si>
  <si>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</si>
  <si>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</si>
  <si>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</si>
  <si>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</si>
  <si>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</si>
  <si>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</si>
  <si>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</si>
  <si>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</si>
  <si>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</si>
  <si>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</si>
  <si>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</si>
  <si>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</si>
  <si>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</si>
  <si>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</si>
  <si>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</si>
  <si>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</si>
  <si>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</si>
  <si>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</si>
  <si>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</si>
  <si>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</si>
  <si>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</si>
  <si>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</si>
  <si>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</si>
  <si>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</si>
  <si>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</si>
  <si>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</si>
  <si>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</si>
  <si>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</si>
  <si>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</si>
  <si>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</si>
  <si>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</si>
  <si>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</si>
  <si>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</si>
  <si>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</si>
  <si>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</si>
  <si>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</si>
  <si>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</si>
  <si>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</si>
  <si>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</si>
  <si>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</si>
  <si>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</si>
  <si>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</si>
  <si>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</si>
  <si>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</si>
  <si>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</si>
  <si>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</si>
  <si>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</si>
  <si>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</si>
  <si>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</si>
  <si>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</si>
  <si>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</si>
  <si>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</si>
  <si>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</si>
  <si>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</si>
  <si>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</si>
  <si>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</si>
  <si>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</si>
  <si>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</si>
  <si>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</si>
  <si>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</si>
  <si>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</si>
  <si>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</si>
  <si>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</si>
  <si>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</si>
  <si>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</si>
  <si>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</si>
  <si>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</si>
  <si>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</si>
  <si>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</si>
  <si>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</si>
  <si>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</si>
  <si>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</si>
  <si>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</si>
  <si>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</si>
  <si>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</si>
  <si>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</si>
  <si>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</si>
  <si>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</si>
  <si>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</si>
  <si>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</si>
  <si>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</si>
  <si>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</si>
  <si>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</si>
  <si>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</si>
  <si>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</si>
  <si>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</si>
  <si>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</si>
  <si>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</si>
  <si>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</si>
  <si>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</si>
  <si>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</si>
  <si>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</si>
  <si>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</si>
  <si>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</si>
  <si>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</si>
  <si>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</si>
  <si>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</si>
  <si>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</si>
  <si>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</si>
  <si>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</si>
  <si>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</si>
  <si>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</si>
  <si>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</si>
  <si>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</si>
  <si>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</si>
  <si>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</si>
  <si>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</si>
  <si>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</si>
  <si>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</si>
  <si>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</si>
  <si>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</si>
  <si>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</si>
  <si>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</si>
  <si>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</si>
  <si>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</si>
  <si>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</si>
  <si>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</si>
  <si>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</si>
  <si>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</si>
  <si>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</si>
  <si>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</si>
  <si>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</si>
  <si>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</si>
  <si>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</si>
  <si>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</si>
  <si>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</si>
  <si>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</si>
  <si>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</si>
  <si>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</si>
  <si>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</si>
  <si>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</si>
  <si>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</si>
  <si>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</si>
  <si>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</si>
  <si>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</si>
  <si>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</si>
  <si>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</si>
  <si>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</si>
  <si>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</si>
  <si>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</si>
  <si>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</si>
  <si>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</si>
  <si>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</si>
  <si>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</si>
  <si>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</si>
  <si>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</si>
  <si>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</si>
  <si>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</si>
  <si>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</si>
  <si>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</si>
  <si>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</si>
  <si>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</si>
  <si>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</si>
  <si>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</si>
  <si>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</si>
  <si>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</si>
  <si>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</si>
  <si>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</si>
  <si>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</si>
  <si>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</si>
  <si>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</si>
  <si>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</si>
  <si>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</si>
  <si>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</si>
  <si>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</si>
  <si>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</si>
  <si>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</si>
  <si>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</si>
  <si>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</si>
  <si>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</si>
  <si>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</si>
  <si>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</si>
  <si>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</si>
  <si>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</si>
  <si>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</si>
  <si>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</si>
  <si>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</si>
  <si>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</si>
  <si>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</si>
  <si>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</si>
  <si>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</si>
  <si>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</si>
  <si>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</si>
  <si>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</si>
  <si>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</si>
  <si>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</si>
  <si>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</si>
  <si>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</si>
  <si>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</si>
  <si>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</si>
  <si>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</si>
  <si>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</si>
  <si>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</si>
  <si>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</si>
  <si>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</si>
  <si>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</si>
  <si>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</si>
  <si>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</si>
  <si>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</si>
  <si>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</si>
  <si>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</si>
  <si>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</si>
  <si>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</si>
  <si>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</si>
  <si>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</si>
  <si>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</si>
  <si>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</si>
  <si>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</si>
  <si>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</si>
  <si>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</si>
  <si>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</si>
  <si>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</si>
  <si>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</si>
  <si>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</si>
  <si>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</si>
  <si>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</si>
  <si>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</si>
  <si>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</si>
  <si>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</si>
  <si>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</si>
  <si>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市区</t>
  </si>
  <si>
    <t>较好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</si>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</sst>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  <xf numFmtId="0" fontId="136" fillId="18" borderId="1" xfId="0" applyFont="1" applyFill="1" applyBorder="1" applyAlignment="1" applyProtection="1">
      <alignment horizontal="center" vertical="center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8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9"/>
      <c r="B19" s="178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9"/>
      <c r="B24" s="178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9"/>
      <c r="B36" s="178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8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4" zoomScale="90" zoomScaleNormal="90" zoomScaleSheetLayoutView="89" workbookViewId="0">
      <selection activeCell="D16" sqref="D16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115.6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2" t="s">
        <v>1790</v>
      </c>
      <c r="J2" s="717"/>
      <c r="AE2" s="712"/>
      <c r="AF2" s="712"/>
    </row>
    <row r="3" spans="1:36" ht="15.75">
      <c r="A3" s="668" t="s">
        <v>913</v>
      </c>
      <c r="B3" s="1399">
        <f>C18</f>
        <v>3622</v>
      </c>
      <c r="C3" s="713" t="s">
        <v>914</v>
      </c>
      <c r="D3" s="714" t="s">
        <v>253</v>
      </c>
      <c r="E3" s="718"/>
      <c r="F3" s="1460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664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398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884">
        <v>1200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6">
        <v>220</v>
      </c>
      <c r="D8" s="1035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4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2.7019000000000002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39868</v>
      </c>
      <c r="I9" s="1518">
        <f>ROUND(SUMPRODUCT((地价!A31:A81=YEAR(H9)&amp;"-"&amp;ROUNDUP(MONTH(H9)/3,0))*(地价!B3:F3=E2)*(地价!B31:F81)),0)</f>
        <v>281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1788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</v>
      </c>
      <c r="D11" s="1488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</v>
      </c>
      <c r="E12" s="1479">
        <f>ROUNDDOWN(G3,1)</f>
        <v>2</v>
      </c>
      <c r="F12" s="1480">
        <f>IF(G3&lt;=10,SUMPRODUCT(('2002容积率修正'!A3:A102=E12)*('2002容积率修正'!B2:D2=E2)*('2002容积率修正'!B3:D102)),"——")</f>
        <v>1</v>
      </c>
      <c r="G12" s="1478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</v>
      </c>
      <c r="E13" s="1479">
        <f>ROUNDDOWN(G3,1)</f>
        <v>2</v>
      </c>
      <c r="F13" s="1480">
        <f>IF(G3&lt;=10,SUMPRODUCT(('2002容积率修正'!A3:A102=E13)*('2002容积率修正'!E2:G2=E2)*('2002容积率修正'!E3:G102)),"——")</f>
        <v>0.85</v>
      </c>
      <c r="G13" s="1478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1.117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1789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3622</v>
      </c>
      <c r="D18" s="630">
        <f>H1</f>
        <v>115.6</v>
      </c>
      <c r="E18" s="631">
        <f>ROUND(C18*D18,0)</f>
        <v>418703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7243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664</v>
      </c>
      <c r="D20" s="636">
        <f>H1</f>
        <v>115.6</v>
      </c>
      <c r="E20" s="637">
        <f>ROUND(C20*D20,0)</f>
        <v>76758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1328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398</v>
      </c>
      <c r="D22" s="776"/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29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9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1.117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1.2999999999999999E-2</v>
      </c>
      <c r="E60" s="253">
        <f>SUM(D60:D67)</f>
        <v>0.11699999999999999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1792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1792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1792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1792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1792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1792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7" t="s">
        <v>0</v>
      </c>
      <c r="M14" s="273" t="s">
        <v>1302</v>
      </c>
      <c r="N14" s="273" t="s">
        <v>1303</v>
      </c>
      <c r="O14" s="1028" t="s">
        <v>226</v>
      </c>
      <c r="P14" s="1027" t="s">
        <v>0</v>
      </c>
      <c r="Q14" s="273" t="s">
        <v>1302</v>
      </c>
      <c r="R14" s="273" t="s">
        <v>1303</v>
      </c>
      <c r="S14" s="1028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6" t="s">
        <v>343</v>
      </c>
      <c r="L15" s="1029">
        <v>2660</v>
      </c>
      <c r="M15" s="577">
        <v>1640</v>
      </c>
      <c r="N15" s="577">
        <v>1710</v>
      </c>
      <c r="O15" s="1030">
        <v>420</v>
      </c>
      <c r="P15" s="1029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6" t="s">
        <v>403</v>
      </c>
      <c r="L16" s="1029">
        <v>1680</v>
      </c>
      <c r="M16" s="577">
        <v>1460</v>
      </c>
      <c r="N16" s="577">
        <v>900</v>
      </c>
      <c r="O16" s="1030">
        <v>430</v>
      </c>
      <c r="P16" s="1029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6" t="s">
        <v>581</v>
      </c>
      <c r="L17" s="1029">
        <v>1500</v>
      </c>
      <c r="M17" s="577">
        <v>1130</v>
      </c>
      <c r="N17" s="577">
        <v>550</v>
      </c>
      <c r="O17" s="1030">
        <v>340</v>
      </c>
      <c r="P17" s="1029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6" t="s">
        <v>251</v>
      </c>
      <c r="L18" s="1029">
        <v>1240</v>
      </c>
      <c r="M18" s="577">
        <v>880</v>
      </c>
      <c r="N18" s="577">
        <v>400</v>
      </c>
      <c r="O18" s="1030">
        <v>270</v>
      </c>
      <c r="P18" s="1029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6" t="s">
        <v>663</v>
      </c>
      <c r="L19" s="1029">
        <v>970</v>
      </c>
      <c r="M19" s="577">
        <v>660</v>
      </c>
      <c r="N19" s="577">
        <v>300</v>
      </c>
      <c r="O19" s="1030">
        <v>195</v>
      </c>
      <c r="P19" s="1029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6" t="s">
        <v>34</v>
      </c>
      <c r="L20" s="1029">
        <v>720</v>
      </c>
      <c r="M20" s="577">
        <v>500</v>
      </c>
      <c r="N20" s="577">
        <v>190</v>
      </c>
      <c r="O20" s="1030">
        <v>135</v>
      </c>
      <c r="P20" s="1029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6" t="s">
        <v>666</v>
      </c>
      <c r="L21" s="1029">
        <v>500</v>
      </c>
      <c r="M21" s="577">
        <v>400</v>
      </c>
      <c r="N21" s="577">
        <v>150</v>
      </c>
      <c r="O21" s="1030">
        <v>100</v>
      </c>
      <c r="P21" s="1029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6" t="s">
        <v>668</v>
      </c>
      <c r="L22" s="1029">
        <v>360</v>
      </c>
      <c r="M22" s="577">
        <v>250</v>
      </c>
      <c r="N22" s="577">
        <v>120</v>
      </c>
      <c r="O22" s="1030">
        <v>60</v>
      </c>
      <c r="P22" s="1029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6" t="s">
        <v>670</v>
      </c>
      <c r="L23" s="1029">
        <v>180</v>
      </c>
      <c r="M23" s="577">
        <v>140</v>
      </c>
      <c r="N23" s="577">
        <v>100</v>
      </c>
      <c r="O23" s="1030">
        <v>20</v>
      </c>
      <c r="P23" s="1029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6" t="s">
        <v>674</v>
      </c>
      <c r="L24" s="1031">
        <v>90</v>
      </c>
      <c r="M24" s="1032">
        <v>90</v>
      </c>
      <c r="N24" s="1032">
        <v>90</v>
      </c>
      <c r="O24" s="1033"/>
      <c r="P24" s="1031">
        <v>190</v>
      </c>
      <c r="Q24" s="1032">
        <v>150</v>
      </c>
      <c r="R24" s="1032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9" t="s">
        <v>1424</v>
      </c>
      <c r="E2" s="181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0"/>
      <c r="E3" s="182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0"/>
      <c r="E4" s="182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1"/>
      <c r="E5" s="182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29" t="s">
        <v>1425</v>
      </c>
      <c r="E6" s="181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六类</v>
      </c>
      <c r="C7" s="703"/>
      <c r="D7" s="1830"/>
      <c r="E7" s="182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31"/>
      <c r="E8" s="182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115.6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9" t="s">
        <v>1403</v>
      </c>
      <c r="E10" s="181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32"/>
      <c r="E11" s="182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0.97519999999999996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61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115.6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115.6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48"/>
      <c r="M4" s="449"/>
      <c r="N4" s="449"/>
      <c r="O4" s="449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227</v>
      </c>
      <c r="D5" s="1839"/>
      <c r="E5" s="1862" t="s">
        <v>228</v>
      </c>
      <c r="F5" s="1863"/>
      <c r="G5" s="1838" t="s">
        <v>231</v>
      </c>
      <c r="H5" s="1839"/>
      <c r="I5" s="1838" t="s">
        <v>229</v>
      </c>
      <c r="J5" s="1839"/>
      <c r="K5" s="142"/>
      <c r="L5" s="448"/>
      <c r="M5" s="449"/>
      <c r="N5" s="449"/>
      <c r="O5" s="449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230</v>
      </c>
      <c r="D6" s="1836"/>
      <c r="E6" s="1833" t="s">
        <v>230</v>
      </c>
      <c r="F6" s="1834"/>
      <c r="G6" s="1835" t="s">
        <v>230</v>
      </c>
      <c r="H6" s="1836"/>
      <c r="I6" s="1835" t="s">
        <v>230</v>
      </c>
      <c r="J6" s="1836"/>
      <c r="K6" s="142" t="s">
        <v>97</v>
      </c>
      <c r="L6" s="448"/>
      <c r="M6" s="449"/>
      <c r="N6" s="449"/>
      <c r="O6" s="449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45">
        <f>主表!B4</f>
        <v>39868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六级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2009-2-1</v>
      </c>
      <c r="D56" s="1534">
        <f>EDATE(C56,-3)</f>
        <v>39753</v>
      </c>
      <c r="E56" s="1534">
        <f t="shared" ref="E56:O56" si="15">EDATE(D56,-3)</f>
        <v>39661</v>
      </c>
      <c r="F56" s="1534">
        <f t="shared" si="15"/>
        <v>39569</v>
      </c>
      <c r="G56" s="1534">
        <f t="shared" si="15"/>
        <v>39479</v>
      </c>
      <c r="H56" s="1534">
        <f t="shared" si="15"/>
        <v>39387</v>
      </c>
      <c r="I56" s="1534">
        <f t="shared" si="15"/>
        <v>39295</v>
      </c>
      <c r="J56" s="1534">
        <f t="shared" si="15"/>
        <v>39203</v>
      </c>
      <c r="K56" s="1534">
        <f t="shared" si="15"/>
        <v>39114</v>
      </c>
      <c r="L56" s="1534">
        <f t="shared" si="15"/>
        <v>39022</v>
      </c>
      <c r="M56" s="1534">
        <f t="shared" si="15"/>
        <v>38930</v>
      </c>
      <c r="N56" s="1534">
        <f t="shared" si="15"/>
        <v>38838</v>
      </c>
      <c r="O56" s="1534">
        <f t="shared" si="15"/>
        <v>38749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2009-1</v>
      </c>
      <c r="D58" s="1533" t="str">
        <f t="shared" ref="D58:O58" si="16">YEAR(D56)&amp;"-"&amp;ROUNDUP(MONTH(D56)/3,0)</f>
        <v>2008-4</v>
      </c>
      <c r="E58" s="1533" t="str">
        <f t="shared" si="16"/>
        <v>2008-3</v>
      </c>
      <c r="F58" s="1533" t="str">
        <f t="shared" si="16"/>
        <v>2008-2</v>
      </c>
      <c r="G58" s="1533" t="str">
        <f t="shared" si="16"/>
        <v>2008-1</v>
      </c>
      <c r="H58" s="1533" t="str">
        <f t="shared" si="16"/>
        <v>2007-4</v>
      </c>
      <c r="I58" s="1533" t="str">
        <f t="shared" si="16"/>
        <v>2007-3</v>
      </c>
      <c r="J58" s="1533" t="str">
        <f t="shared" si="16"/>
        <v>2007-2</v>
      </c>
      <c r="K58" s="1533" t="str">
        <f t="shared" si="16"/>
        <v>2007-1</v>
      </c>
      <c r="L58" s="1533" t="str">
        <f t="shared" si="16"/>
        <v>2006-4</v>
      </c>
      <c r="M58" s="1533" t="str">
        <f t="shared" si="16"/>
        <v>2006-3</v>
      </c>
      <c r="N58" s="1533" t="str">
        <f t="shared" si="16"/>
        <v>2006-2</v>
      </c>
      <c r="O58" s="1533" t="str">
        <f t="shared" si="16"/>
        <v>2006-1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5">
        <f>C103-$K37</f>
        <v>100</v>
      </c>
      <c r="E103" s="1025">
        <f>D103-$K37</f>
        <v>100</v>
      </c>
      <c r="F103" s="1025">
        <f>E103-$K37</f>
        <v>100</v>
      </c>
      <c r="G103" s="1025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5">
        <v>101</v>
      </c>
      <c r="E106" s="1025">
        <v>102</v>
      </c>
      <c r="F106" s="1025">
        <v>103</v>
      </c>
      <c r="G106" s="102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5">
        <f>C120-$K45</f>
        <v>100</v>
      </c>
      <c r="E120" s="1025">
        <f>D120-$K45</f>
        <v>100</v>
      </c>
      <c r="F120" s="1025">
        <f>E120-$K45</f>
        <v>100</v>
      </c>
      <c r="G120" s="1025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39868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39">
        <f>IF(C1&gt;C14,0,MATCH(C1,C$14:C$59,-1))+IF(SUMIF(C14:C59,C1,D14:D59)=0,14,13)</f>
        <v>27</v>
      </c>
      <c r="K1" s="1139">
        <f ca="1">MATCH(E1,C4:C8,1)+IF(SUMIF(C4:C8,E1,D4:D8)=0,3,2)</f>
        <v>3</v>
      </c>
      <c r="L1" s="1139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39868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27</v>
      </c>
      <c r="K2" s="1139">
        <f ca="1">MATCH(E2,C4:C8,1)+IF(SUMIF(C4:C8,E2,D4:D8)=0,3,2)</f>
        <v>3</v>
      </c>
      <c r="L2" s="1139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2" t="s">
        <v>1637</v>
      </c>
      <c r="H2" s="1882"/>
      <c r="I2" s="1882"/>
      <c r="J2" s="1882"/>
      <c r="K2" s="1882"/>
      <c r="L2" s="1882"/>
      <c r="N2" s="1874" t="s">
        <v>1638</v>
      </c>
      <c r="O2" s="1874"/>
      <c r="P2" s="1874"/>
      <c r="Q2" s="1874"/>
      <c r="S2" s="1874" t="s">
        <v>1639</v>
      </c>
      <c r="T2" s="1874"/>
      <c r="U2" s="1874"/>
      <c r="V2" s="1874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6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6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6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3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8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6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6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3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8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6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6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7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5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6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6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7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5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6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6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7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79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0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0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1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5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6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6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7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5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6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6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7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5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6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6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7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5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6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6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7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5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6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6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7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5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6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6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7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5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6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6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7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5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6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6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7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5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6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6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7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5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6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6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7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5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6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6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7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19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29</v>
      </c>
      <c r="N1" s="1410" t="s">
        <v>1633</v>
      </c>
      <c r="O1" s="1424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6" zoomScaleNormal="100" workbookViewId="0"/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56.2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C37" sqref="C37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115.6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39868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115.6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67" t="s">
        <v>1353</v>
      </c>
      <c r="B2" s="1767"/>
      <c r="C2" s="1767"/>
      <c r="D2" s="1767"/>
      <c r="E2" s="1767"/>
      <c r="F2" s="1767"/>
      <c r="G2" s="1767"/>
      <c r="H2" s="1745"/>
      <c r="I2" s="1744"/>
      <c r="X2" s="221"/>
      <c r="AG2" s="189"/>
    </row>
    <row r="3" spans="1:33" ht="13.5">
      <c r="A3" s="1768" t="s">
        <v>1354</v>
      </c>
      <c r="B3" s="1769"/>
      <c r="C3" s="1770"/>
      <c r="D3" s="1771" t="s">
        <v>1355</v>
      </c>
      <c r="E3" s="1769"/>
      <c r="F3" s="1769"/>
      <c r="G3" s="1772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73" t="s">
        <v>1356</v>
      </c>
      <c r="E4" s="1765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74" t="s">
        <v>1360</v>
      </c>
      <c r="B5" s="1759">
        <f>主表!F5</f>
        <v>3224</v>
      </c>
      <c r="C5" s="1775" t="s">
        <v>1361</v>
      </c>
      <c r="D5" s="1765" t="s">
        <v>1362</v>
      </c>
      <c r="E5" s="1766"/>
      <c r="F5" s="1297">
        <f>SUM(F6:F10)</f>
        <v>0</v>
      </c>
      <c r="G5" s="1298" t="s">
        <v>1635</v>
      </c>
      <c r="H5" s="1745"/>
      <c r="I5" s="1744"/>
      <c r="X5" s="221"/>
      <c r="AG5" s="189"/>
    </row>
    <row r="6" spans="1:33" ht="27">
      <c r="A6" s="1774"/>
      <c r="B6" s="1759"/>
      <c r="C6" s="1775"/>
      <c r="D6" s="1776" t="s">
        <v>1383</v>
      </c>
      <c r="E6" s="1297" t="s">
        <v>1363</v>
      </c>
      <c r="F6" s="1297">
        <f>主表!F14</f>
        <v>0</v>
      </c>
      <c r="G6" s="1298" t="s">
        <v>1364</v>
      </c>
      <c r="H6" s="1745"/>
      <c r="I6" s="1744"/>
      <c r="X6" s="221"/>
      <c r="AG6" s="189"/>
    </row>
    <row r="7" spans="1:33" ht="13.5">
      <c r="A7" s="1774"/>
      <c r="B7" s="1759"/>
      <c r="C7" s="1775"/>
      <c r="D7" s="1776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74"/>
      <c r="B8" s="1759"/>
      <c r="C8" s="1775"/>
      <c r="D8" s="1761" t="s">
        <v>1384</v>
      </c>
      <c r="E8" s="1762"/>
      <c r="F8" s="1297">
        <f>主表!F16</f>
        <v>0</v>
      </c>
      <c r="G8" s="1298" t="str">
        <f>"按建安工程费的"&amp;TEXT(主表!G16,"0.0%")&amp;"计取"</f>
        <v>按建安工程费的0.0%计取</v>
      </c>
      <c r="H8" s="1745"/>
      <c r="I8" s="1744"/>
      <c r="X8" s="221"/>
      <c r="AG8" s="189"/>
    </row>
    <row r="9" spans="1:33" ht="13.5">
      <c r="A9" s="1774"/>
      <c r="B9" s="1759"/>
      <c r="C9" s="1775"/>
      <c r="D9" s="1761" t="s">
        <v>1385</v>
      </c>
      <c r="E9" s="1762"/>
      <c r="F9" s="1297">
        <f>主表!F18</f>
        <v>0</v>
      </c>
      <c r="G9" s="1298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74"/>
      <c r="B10" s="1759"/>
      <c r="C10" s="1775"/>
      <c r="D10" s="1761" t="s">
        <v>1386</v>
      </c>
      <c r="E10" s="1762"/>
      <c r="F10" s="1297">
        <f>主表!F19</f>
        <v>0</v>
      </c>
      <c r="G10" s="1298" t="str">
        <f>"按建安工程费的"&amp;TEXT(主表!G19,"0.0%")&amp;"计取"</f>
        <v>按建安工程费的0.0%计取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0</v>
      </c>
      <c r="C11" s="1299" t="str">
        <f>"按前期开发成本的"&amp;TEXT(主表!G8,"0.0%")&amp;"计取"</f>
        <v>按前期开发成本的0.0%计取</v>
      </c>
      <c r="D11" s="1765" t="s">
        <v>1367</v>
      </c>
      <c r="E11" s="1766"/>
      <c r="F11" s="1297">
        <f>主表!F20</f>
        <v>0</v>
      </c>
      <c r="G11" s="1298" t="str">
        <f>"按房屋建设成本的"&amp;主表!G20&amp;"计取"</f>
        <v>按房屋建设成本的计取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前期开发期为年，贷款利率为3.00%，计息期为年，复利计息</v>
      </c>
      <c r="D12" s="1765" t="s">
        <v>1369</v>
      </c>
      <c r="E12" s="1766"/>
      <c r="F12" s="1297">
        <f ca="1">主表!F21</f>
        <v>0</v>
      </c>
      <c r="G12" s="1298" t="str">
        <f ca="1">"房屋建设期为"&amp;主表!B23&amp;"年，贷款利率为"&amp;TEXT(主表!G21,"0.00%")&amp;"，"&amp;主表!H21</f>
        <v>房屋建设期为年，贷款利率为0.00%，计息期为年，复利计息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5" t="s">
        <v>1370</v>
      </c>
      <c r="E13" s="1766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3224</v>
      </c>
      <c r="C14" s="1300" t="s">
        <v>1372</v>
      </c>
      <c r="D14" s="1765" t="s">
        <v>1371</v>
      </c>
      <c r="E14" s="1766"/>
      <c r="F14" s="1297">
        <f ca="1">F5+F11+F12+F13</f>
        <v>0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59">
        <f ca="1">主表!F24</f>
        <v>3224</v>
      </c>
      <c r="C15" s="1760"/>
      <c r="D15" s="1761" t="s">
        <v>1374</v>
      </c>
      <c r="E15" s="1762"/>
      <c r="F15" s="1762"/>
      <c r="G15" s="1763"/>
      <c r="H15" s="1745"/>
      <c r="I15" s="1744"/>
      <c r="X15" s="221"/>
      <c r="AG15" s="189"/>
    </row>
    <row r="16" spans="1:33" ht="27.75" thickBot="1">
      <c r="A16" s="1293" t="s">
        <v>1375</v>
      </c>
      <c r="B16" s="1759">
        <f ca="1">主表!F25</f>
        <v>37.269399999999997</v>
      </c>
      <c r="C16" s="1760"/>
      <c r="D16" s="1761" t="s">
        <v>1376</v>
      </c>
      <c r="E16" s="1762"/>
      <c r="F16" s="1762"/>
      <c r="G16" s="1763"/>
      <c r="H16" s="1302" t="str">
        <f ca="1">NUMBERSTRING(INT(B16*10000),2)&amp;"元整"</f>
        <v>叁拾柒万贰仟陆佰玖拾肆元整</v>
      </c>
      <c r="I16" s="1303"/>
      <c r="X16" s="221"/>
      <c r="AG16" s="189"/>
    </row>
    <row r="17" spans="1:33" ht="13.5">
      <c r="A17" s="1293" t="s">
        <v>1377</v>
      </c>
      <c r="B17" s="1764">
        <f>主表!F33</f>
        <v>0</v>
      </c>
      <c r="C17" s="1760"/>
      <c r="D17" s="1761" t="s">
        <v>1378</v>
      </c>
      <c r="E17" s="1762"/>
      <c r="F17" s="1762"/>
      <c r="G17" s="1763"/>
      <c r="H17" s="1745"/>
      <c r="I17" s="1744"/>
      <c r="X17" s="221"/>
      <c r="AG17" s="189"/>
    </row>
    <row r="18" spans="1:33" ht="27.75" thickBot="1">
      <c r="A18" s="1293" t="s">
        <v>1379</v>
      </c>
      <c r="B18" s="1759">
        <f ca="1">主表!F35</f>
        <v>0</v>
      </c>
      <c r="C18" s="1760"/>
      <c r="D18" s="1761" t="s">
        <v>1380</v>
      </c>
      <c r="E18" s="1762"/>
      <c r="F18" s="1762"/>
      <c r="G18" s="1763"/>
      <c r="H18" s="1745"/>
      <c r="I18" s="1744"/>
      <c r="X18" s="221"/>
      <c r="AG18" s="189"/>
    </row>
    <row r="19" spans="1:33" ht="27.75" thickBot="1">
      <c r="A19" s="1301" t="s">
        <v>1381</v>
      </c>
      <c r="B19" s="1754">
        <f ca="1">主表!F36</f>
        <v>0</v>
      </c>
      <c r="C19" s="1755"/>
      <c r="D19" s="1756" t="s">
        <v>1382</v>
      </c>
      <c r="E19" s="1757"/>
      <c r="F19" s="1757"/>
      <c r="G19" s="1758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23" sqref="B23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2" t="s">
        <v>1275</v>
      </c>
      <c r="E2" s="1783"/>
      <c r="F2" s="1783"/>
      <c r="G2" s="1783"/>
      <c r="H2" s="1784"/>
      <c r="I2" s="1166"/>
      <c r="J2" s="1166"/>
      <c r="K2" s="1213"/>
      <c r="L2" s="1213"/>
      <c r="N2" s="501" t="s">
        <v>1153</v>
      </c>
      <c r="O2" s="484">
        <f>SUMPRODUCT((N6:N12=B20)*(O5:Q5=B21)*(O6:Q12))</f>
        <v>50</v>
      </c>
    </row>
    <row r="3" spans="1:18" ht="15.75" customHeight="1">
      <c r="A3" s="1180" t="s">
        <v>1775</v>
      </c>
      <c r="B3" s="1566">
        <v>39868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9</v>
      </c>
    </row>
    <row r="4" spans="1:18" ht="15.75" customHeight="1">
      <c r="A4" s="1192" t="s">
        <v>1776</v>
      </c>
      <c r="B4" s="1566">
        <v>39868</v>
      </c>
      <c r="C4" s="1165"/>
      <c r="D4" s="1172" t="s">
        <v>1276</v>
      </c>
      <c r="E4" s="1173" t="s">
        <v>1569</v>
      </c>
      <c r="F4" s="1174">
        <f ca="1">F5+F8+F9+F10</f>
        <v>3224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0.02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3224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3622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115.6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398</v>
      </c>
      <c r="G7" s="1189"/>
      <c r="H7" s="1346"/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0</v>
      </c>
      <c r="G8" s="646"/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2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34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/>
      <c r="C11" s="1165"/>
      <c r="D11" s="1205" t="s">
        <v>1282</v>
      </c>
      <c r="E11" s="1206" t="s">
        <v>1571</v>
      </c>
      <c r="F11" s="1174">
        <f ca="1">F12+F20+F21+F22</f>
        <v>0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/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61</v>
      </c>
      <c r="C15" s="1165"/>
      <c r="D15" s="1191" t="s">
        <v>1272</v>
      </c>
      <c r="E15" s="1192" t="s">
        <v>1235</v>
      </c>
      <c r="F15" s="505"/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70</v>
      </c>
      <c r="C16" s="1165"/>
      <c r="D16" s="1184" t="s">
        <v>1269</v>
      </c>
      <c r="E16" s="1192" t="s">
        <v>1236</v>
      </c>
      <c r="F16" s="1023">
        <f>ROUND(F13*G16,0)</f>
        <v>0</v>
      </c>
      <c r="G16" s="503"/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0.97099999999999997</v>
      </c>
      <c r="C18" s="1165"/>
      <c r="D18" s="1191" t="s">
        <v>1273</v>
      </c>
      <c r="E18" s="1192" t="s">
        <v>1283</v>
      </c>
      <c r="F18" s="1023">
        <f>ROUND(IF(B12="住宅/居住",F13*G18,0),0)</f>
        <v>0</v>
      </c>
      <c r="G18" s="503"/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0</v>
      </c>
      <c r="G19" s="503"/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1793</v>
      </c>
      <c r="C20" s="1165"/>
      <c r="D20" s="1191">
        <v>2</v>
      </c>
      <c r="E20" s="1192" t="s">
        <v>1227</v>
      </c>
      <c r="F20" s="1193">
        <f>ROUND(F12*G20,0)</f>
        <v>0</v>
      </c>
      <c r="G20" s="646"/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0</v>
      </c>
      <c r="G21" s="1384">
        <f ca="1">存贷款利率!G1</f>
        <v>0</v>
      </c>
      <c r="H21" s="1196" t="str">
        <f>"计息期为"&amp;B23&amp;"年，"&amp;"复利计息"</f>
        <v>计息期为年，复利计息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2000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/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/>
      <c r="C24" s="1213"/>
      <c r="D24" s="1179">
        <v>1</v>
      </c>
      <c r="E24" s="1180" t="s">
        <v>1245</v>
      </c>
      <c r="F24" s="1023">
        <f ca="1">F4+F11</f>
        <v>3224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37.269399999999997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5" t="s">
        <v>1277</v>
      </c>
      <c r="E26" s="1786"/>
      <c r="F26" s="1786"/>
      <c r="G26" s="1786"/>
      <c r="H26" s="1787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0.82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7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0.45</v>
      </c>
      <c r="H31" s="1230"/>
      <c r="I31" s="1777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0.35</v>
      </c>
      <c r="H32" s="1230"/>
      <c r="I32" s="1777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5" t="s">
        <v>1280</v>
      </c>
      <c r="E34" s="1786"/>
      <c r="F34" s="1786"/>
      <c r="G34" s="1786"/>
      <c r="H34" s="1787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8" t="s">
        <v>1257</v>
      </c>
      <c r="H35" s="1779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0" t="s">
        <v>1259</v>
      </c>
      <c r="H36" s="1781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115.6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5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6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6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6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6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5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7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7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8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5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804" t="s">
        <v>928</v>
      </c>
      <c r="E16" s="1805"/>
      <c r="F16" s="1804" t="s">
        <v>926</v>
      </c>
      <c r="G16" s="180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9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19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39868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0.98870000000000002</v>
      </c>
      <c r="D20" s="1468" t="s">
        <v>935</v>
      </c>
      <c r="E20" s="1469">
        <f ca="1">INDIRECT("'存贷款利率'!e"&amp;存贷款利率!$K$4)/100</f>
        <v>5.3099999999999994E-2</v>
      </c>
      <c r="F20" s="1466" t="s">
        <v>936</v>
      </c>
      <c r="G20" s="1470">
        <f ca="1">SUMIF(P18:S18,E2,P20:S20)</f>
        <v>6.0999999999999999E-2</v>
      </c>
      <c r="H20" s="1471" t="s">
        <v>1634</v>
      </c>
      <c r="I20" s="1024">
        <f>IF(H20="剩余土地使用年限",主表!B15,主表!B16)</f>
        <v>61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1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2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2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6.0999999999999999E-2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0" t="s">
        <v>1159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53"/>
      <c r="L91" s="653"/>
      <c r="M91" s="653"/>
      <c r="N91" s="653"/>
    </row>
    <row r="92" spans="1:37">
      <c r="A92" s="1789" t="s">
        <v>1160</v>
      </c>
      <c r="B92" s="178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0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1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0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1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1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1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1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1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1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1"/>
      <c r="B109" s="1793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2"/>
      <c r="B110" s="1794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8" t="s">
        <v>1175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2021-03-22T06:44:27Z</dcterms:modified>
</cp:coreProperties>
</file>