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高鹏\项目\朝阳区公租房\测算\"/>
    </mc:Choice>
  </mc:AlternateContent>
  <bookViews>
    <workbookView xWindow="0" yWindow="0" windowWidth="19200" windowHeight="11460" tabRatio="747"/>
  </bookViews>
  <sheets>
    <sheet name="系统读取表" sheetId="11" r:id="rId1"/>
    <sheet name="标准房测算表" sheetId="6" r:id="rId2"/>
    <sheet name="东坝地区平均数" sheetId="10" r:id="rId3"/>
    <sheet name="户型汇总" sheetId="9" r:id="rId4"/>
    <sheet name="小区明细" sheetId="1" r:id="rId5"/>
    <sheet name="案例汇总" sheetId="5" r:id="rId6"/>
    <sheet name="行业主管部门" sheetId="2" r:id="rId7"/>
    <sheet name="市场数据" sheetId="3" r:id="rId8"/>
    <sheet name="中指数据" sheetId="4" r:id="rId9"/>
    <sheet name="勘察" sheetId="8" r:id="rId10"/>
  </sheets>
  <externalReferences>
    <externalReference r:id="rId11"/>
    <externalReference r:id="rId12"/>
  </externalReferences>
  <definedNames>
    <definedName name="_xlnm._FilterDatabase" localSheetId="6" hidden="1">行业主管部门!$A$1:$E$102</definedName>
    <definedName name="_xlnm.Print_Area" localSheetId="9">勘察!$A$1:$I$37</definedName>
    <definedName name="_xlnm.Print_Area" localSheetId="4">小区明细!$A$2:$J$11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1" l="1"/>
  <c r="T20" i="10" l="1"/>
  <c r="R20" i="10"/>
  <c r="P20" i="10"/>
  <c r="N20" i="10"/>
  <c r="H20" i="10"/>
  <c r="F20" i="10"/>
  <c r="F17" i="6"/>
  <c r="I4" i="1" l="1"/>
  <c r="I5" i="1"/>
  <c r="I6" i="1"/>
  <c r="I7" i="1"/>
  <c r="I8" i="1"/>
  <c r="I9" i="1"/>
  <c r="I10" i="1"/>
  <c r="I3" i="1"/>
  <c r="T21" i="10" l="1"/>
  <c r="P21" i="10"/>
  <c r="N21" i="10"/>
  <c r="L21" i="10"/>
  <c r="F21" i="10"/>
  <c r="J21" i="10"/>
  <c r="H21" i="10"/>
  <c r="J20" i="6"/>
  <c r="F20" i="6"/>
  <c r="F23" i="11" l="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B14" i="11"/>
  <c r="D14" i="11" s="1"/>
  <c r="D8" i="11"/>
  <c r="C8" i="11"/>
  <c r="D7" i="11"/>
  <c r="C7" i="11"/>
  <c r="D6" i="11"/>
  <c r="B2" i="11"/>
  <c r="F14" i="11" l="1"/>
  <c r="B5" i="11"/>
  <c r="B10" i="11" s="1"/>
  <c r="D5" i="11"/>
  <c r="B7" i="11"/>
  <c r="B9" i="11"/>
  <c r="B11" i="11"/>
  <c r="C5" i="11"/>
  <c r="B6" i="11"/>
  <c r="C6" i="11" s="1"/>
  <c r="B8" i="11"/>
  <c r="T22" i="10" l="1"/>
  <c r="R22" i="10"/>
  <c r="P22" i="10"/>
  <c r="N22" i="10"/>
  <c r="L22" i="10"/>
  <c r="J22" i="10"/>
  <c r="J24" i="10"/>
  <c r="H22" i="10"/>
  <c r="L17" i="10"/>
  <c r="T16" i="10"/>
  <c r="R16" i="10"/>
  <c r="P16" i="10"/>
  <c r="N16" i="10"/>
  <c r="L16" i="10"/>
  <c r="J16" i="10"/>
  <c r="H16" i="10"/>
  <c r="F16" i="10"/>
  <c r="H15" i="10"/>
  <c r="T24" i="10"/>
  <c r="R24" i="10"/>
  <c r="P24" i="10"/>
  <c r="L24" i="10"/>
  <c r="T23" i="10"/>
  <c r="R23" i="10"/>
  <c r="P23" i="10"/>
  <c r="N23" i="10"/>
  <c r="L23" i="10"/>
  <c r="J23" i="10"/>
  <c r="H23" i="10"/>
  <c r="N19" i="10"/>
  <c r="P19" i="10"/>
  <c r="R19" i="10"/>
  <c r="L19" i="10"/>
  <c r="T19" i="10"/>
  <c r="T15" i="10"/>
  <c r="P15" i="10"/>
  <c r="R15" i="10"/>
  <c r="S34" i="10"/>
  <c r="Q34" i="10"/>
  <c r="O34" i="10"/>
  <c r="M34" i="10"/>
  <c r="K34" i="10"/>
  <c r="I34" i="10"/>
  <c r="G34" i="10"/>
  <c r="E34" i="10"/>
  <c r="C34" i="10"/>
  <c r="N15" i="10"/>
  <c r="L15" i="10"/>
  <c r="J15" i="10"/>
  <c r="F15" i="10"/>
  <c r="T14" i="10"/>
  <c r="R14" i="10"/>
  <c r="P14" i="10"/>
  <c r="N14" i="10"/>
  <c r="L14" i="10"/>
  <c r="J14" i="10"/>
  <c r="H14" i="10"/>
  <c r="F14" i="10"/>
  <c r="H22" i="6" l="1"/>
  <c r="F22" i="6"/>
  <c r="F19" i="6"/>
  <c r="F23" i="10"/>
  <c r="F24" i="10"/>
  <c r="J21" i="6"/>
  <c r="H21" i="6"/>
  <c r="F21" i="6"/>
  <c r="S4" i="10"/>
  <c r="Q4" i="10"/>
  <c r="O4" i="10"/>
  <c r="M4" i="10"/>
  <c r="K4" i="10"/>
  <c r="I4" i="10"/>
  <c r="G4" i="10"/>
  <c r="E4" i="10"/>
  <c r="C4" i="10" l="1"/>
  <c r="U4" i="10"/>
  <c r="U5" i="10"/>
  <c r="U25" i="10" s="1"/>
  <c r="Z5" i="10"/>
  <c r="P7" i="10"/>
  <c r="R7" i="10"/>
  <c r="T7" i="10"/>
  <c r="V7" i="10"/>
  <c r="P8" i="10"/>
  <c r="T8" i="10"/>
  <c r="P10" i="10"/>
  <c r="R10" i="10" s="1"/>
  <c r="T10" i="10" s="1"/>
  <c r="P17" i="10"/>
  <c r="T17" i="10" s="1"/>
  <c r="N24" i="10"/>
  <c r="U26" i="10" l="1"/>
  <c r="H24" i="10"/>
  <c r="J22" i="6" l="1"/>
  <c r="F18" i="6"/>
  <c r="H18" i="6" s="1"/>
  <c r="J18" i="6" s="1"/>
  <c r="H19" i="6"/>
  <c r="H51" i="5"/>
  <c r="H52" i="5"/>
  <c r="H53" i="5"/>
  <c r="H50" i="5"/>
  <c r="J19" i="6" l="1"/>
  <c r="M33" i="5"/>
  <c r="M43" i="5"/>
  <c r="M40" i="5"/>
  <c r="M37" i="5"/>
  <c r="M45" i="5" s="1"/>
  <c r="D53" i="5" s="1"/>
  <c r="M34" i="5"/>
  <c r="M30" i="5"/>
  <c r="M27" i="5"/>
  <c r="M24" i="5"/>
  <c r="M23" i="5"/>
  <c r="M19" i="5"/>
  <c r="M17" i="5"/>
  <c r="M15" i="5"/>
  <c r="M14" i="5"/>
  <c r="M10" i="5"/>
  <c r="M7" i="5"/>
  <c r="M5" i="5"/>
  <c r="M12" i="5" s="1"/>
  <c r="D50" i="5" s="1"/>
  <c r="T43" i="5"/>
  <c r="T39" i="5"/>
  <c r="F39" i="5"/>
  <c r="F36" i="5"/>
  <c r="T35" i="5"/>
  <c r="F33" i="5"/>
  <c r="F30" i="5"/>
  <c r="F29" i="5"/>
  <c r="F41" i="5" s="1"/>
  <c r="C53" i="5" s="1"/>
  <c r="T28" i="5"/>
  <c r="F26" i="5"/>
  <c r="T24" i="5"/>
  <c r="T23" i="5"/>
  <c r="F23" i="5"/>
  <c r="F21" i="5"/>
  <c r="F20" i="5"/>
  <c r="F19" i="5"/>
  <c r="F28" i="5" s="1"/>
  <c r="T17" i="5"/>
  <c r="F17" i="5"/>
  <c r="F18" i="5" s="1"/>
  <c r="F16" i="5"/>
  <c r="T15" i="5"/>
  <c r="F15" i="5"/>
  <c r="T14" i="5"/>
  <c r="F14" i="5"/>
  <c r="T13" i="5"/>
  <c r="T20" i="5" s="1"/>
  <c r="F13" i="5"/>
  <c r="F11" i="5"/>
  <c r="T10" i="5"/>
  <c r="F9" i="5"/>
  <c r="T8" i="5"/>
  <c r="T6" i="5"/>
  <c r="F6" i="5"/>
  <c r="T4" i="5"/>
  <c r="F4" i="5"/>
  <c r="T3" i="5"/>
  <c r="F3" i="5"/>
  <c r="H20" i="3"/>
  <c r="H10" i="3"/>
  <c r="T45" i="5" l="1"/>
  <c r="M21" i="5"/>
  <c r="M32" i="5"/>
  <c r="D52" i="5" s="1"/>
  <c r="T32" i="5"/>
  <c r="T12" i="5"/>
  <c r="E50" i="5" s="1"/>
  <c r="F12" i="5"/>
  <c r="C50" i="5" s="1"/>
  <c r="E51" i="5"/>
  <c r="H9" i="3"/>
  <c r="H8" i="3"/>
  <c r="H7" i="3"/>
  <c r="H6" i="3"/>
  <c r="H5" i="3"/>
  <c r="H4" i="3"/>
  <c r="H3" i="3"/>
  <c r="H2" i="3"/>
  <c r="D51" i="5" l="1"/>
  <c r="E52" i="5"/>
  <c r="C52" i="5"/>
  <c r="C51" i="5"/>
  <c r="F52" i="5" l="1"/>
  <c r="I52" i="5" s="1"/>
  <c r="F51" i="5"/>
  <c r="I51" i="5" s="1"/>
  <c r="G5" i="6" s="1"/>
  <c r="F50" i="5"/>
  <c r="I50" i="5" s="1"/>
  <c r="E5" i="6" s="1"/>
  <c r="E23" i="6" s="1"/>
  <c r="E24" i="6" s="1"/>
  <c r="H7" i="6"/>
  <c r="J7" i="6"/>
  <c r="F16" i="6"/>
  <c r="J16" i="6" s="1"/>
  <c r="H17" i="6"/>
  <c r="G22" i="6"/>
  <c r="I22" i="6" s="1"/>
  <c r="G23" i="6"/>
  <c r="H16" i="6" l="1"/>
  <c r="E31" i="6"/>
  <c r="G24" i="6"/>
  <c r="G27" i="6" s="1"/>
  <c r="G29" i="6" s="1"/>
  <c r="E32" i="6"/>
  <c r="J17" i="6"/>
  <c r="I31" i="6" s="1"/>
  <c r="G31" i="6"/>
  <c r="G32" i="6" s="1"/>
  <c r="E27" i="6"/>
  <c r="E29" i="6" s="1"/>
  <c r="H45" i="3" l="1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4" i="3"/>
  <c r="H23" i="3"/>
  <c r="H22" i="3"/>
  <c r="H21" i="3"/>
  <c r="H60" i="3"/>
  <c r="H59" i="3"/>
  <c r="H58" i="3"/>
  <c r="H57" i="3"/>
  <c r="H56" i="3"/>
  <c r="H55" i="3"/>
  <c r="H54" i="3"/>
  <c r="H53" i="3"/>
  <c r="H19" i="3"/>
  <c r="H52" i="3"/>
  <c r="H51" i="3"/>
  <c r="H50" i="3"/>
  <c r="H49" i="3"/>
  <c r="L5" i="2"/>
  <c r="H25" i="3"/>
  <c r="H26" i="3"/>
  <c r="L4" i="2"/>
  <c r="H12" i="3"/>
  <c r="H13" i="3"/>
  <c r="H15" i="3"/>
  <c r="H16" i="3"/>
  <c r="H17" i="3"/>
  <c r="H18" i="3"/>
  <c r="E53" i="5"/>
  <c r="F53" i="5" s="1"/>
  <c r="I53" i="5" s="1"/>
  <c r="I5" i="6" s="1"/>
  <c r="I23" i="6" s="1"/>
  <c r="I24" i="6" l="1"/>
  <c r="I32" i="6"/>
  <c r="C27" i="6" l="1"/>
  <c r="I27" i="6"/>
  <c r="I29" i="6" s="1"/>
  <c r="A25" i="6"/>
  <c r="C35" i="10" l="1"/>
  <c r="C37" i="10" s="1"/>
  <c r="C39" i="10" s="1"/>
  <c r="S5" i="10"/>
  <c r="S25" i="10" s="1"/>
  <c r="S26" i="10" s="1"/>
  <c r="K5" i="10"/>
  <c r="K25" i="10" s="1"/>
  <c r="K26" i="10" s="1"/>
  <c r="Q5" i="10"/>
  <c r="Q25" i="10" s="1"/>
  <c r="Q26" i="10" s="1"/>
  <c r="O5" i="10"/>
  <c r="O25" i="10" s="1"/>
  <c r="O26" i="10" s="1"/>
  <c r="G5" i="10"/>
  <c r="G25" i="10" s="1"/>
  <c r="G26" i="10" s="1"/>
  <c r="M5" i="10"/>
  <c r="M25" i="10" s="1"/>
  <c r="E5" i="10"/>
  <c r="E25" i="10" s="1"/>
  <c r="E26" i="10" s="1"/>
  <c r="I5" i="10"/>
  <c r="I25" i="10" s="1"/>
  <c r="I26" i="10" s="1"/>
  <c r="E35" i="10" l="1"/>
  <c r="E37" i="10" s="1"/>
  <c r="E39" i="10" s="1"/>
  <c r="E30" i="10"/>
  <c r="G35" i="10"/>
  <c r="G37" i="10" s="1"/>
  <c r="G39" i="10" s="1"/>
  <c r="G30" i="10"/>
  <c r="Q35" i="10"/>
  <c r="Q37" i="10" s="1"/>
  <c r="Q39" i="10" s="1"/>
  <c r="Q30" i="10"/>
  <c r="Q32" i="10" s="1"/>
  <c r="S35" i="10"/>
  <c r="S37" i="10" s="1"/>
  <c r="S39" i="10" s="1"/>
  <c r="S30" i="10"/>
  <c r="S32" i="10" s="1"/>
  <c r="I35" i="10"/>
  <c r="I37" i="10" s="1"/>
  <c r="I39" i="10" s="1"/>
  <c r="I30" i="10"/>
  <c r="C32" i="10"/>
  <c r="M26" i="10"/>
  <c r="O35" i="10"/>
  <c r="O37" i="10" s="1"/>
  <c r="O39" i="10" s="1"/>
  <c r="O30" i="10"/>
  <c r="O32" i="10" s="1"/>
  <c r="K35" i="10"/>
  <c r="K37" i="10" s="1"/>
  <c r="K39" i="10" s="1"/>
  <c r="K30" i="10"/>
  <c r="M35" i="10" l="1"/>
  <c r="M37" i="10" s="1"/>
  <c r="M39" i="10" s="1"/>
  <c r="C40" i="10" s="1"/>
  <c r="C41" i="10" s="1"/>
  <c r="C30" i="10"/>
  <c r="A27" i="10"/>
  <c r="M30" i="10"/>
  <c r="M32" i="10" s="1"/>
</calcChain>
</file>

<file path=xl/sharedStrings.xml><?xml version="1.0" encoding="utf-8"?>
<sst xmlns="http://schemas.openxmlformats.org/spreadsheetml/2006/main" count="1233" uniqueCount="437">
  <si>
    <t>朝阳区东坝街道公租房项目及周边小区清单</t>
  </si>
  <si>
    <t>序号</t>
  </si>
  <si>
    <t>公租房项目名称</t>
  </si>
  <si>
    <t>地区</t>
  </si>
  <si>
    <t>公租房项目地址</t>
  </si>
  <si>
    <t>周边小区</t>
  </si>
  <si>
    <t>周边小区名称</t>
  </si>
  <si>
    <t>项目所在区</t>
  </si>
  <si>
    <t>周边小区所在位置</t>
  </si>
  <si>
    <t>市场租金时段</t>
  </si>
  <si>
    <t>委托评估公司</t>
  </si>
  <si>
    <t>一</t>
  </si>
  <si>
    <t>驹子房</t>
  </si>
  <si>
    <t>朝阳区</t>
  </si>
  <si>
    <t>朝阳</t>
  </si>
  <si>
    <t>东坝中街19号院</t>
  </si>
  <si>
    <t>2022年6月-2023年5月</t>
  </si>
  <si>
    <t>北京康正宏基房地产评估有限公司</t>
  </si>
  <si>
    <t>二</t>
  </si>
  <si>
    <t>东湾家园</t>
  </si>
  <si>
    <t>三</t>
  </si>
  <si>
    <t>首开畅颐园</t>
  </si>
  <si>
    <t>四</t>
  </si>
  <si>
    <t>恒大江湾</t>
  </si>
  <si>
    <t>北京市朝阳区单店西路1号院4号楼</t>
  </si>
  <si>
    <t>东坝中路</t>
  </si>
  <si>
    <t>五</t>
  </si>
  <si>
    <t>首城东郡汇</t>
  </si>
  <si>
    <t>北京市朝阳区顺远街9号院1号楼（东郡家园）</t>
  </si>
  <si>
    <t>平房路</t>
  </si>
  <si>
    <t>六</t>
  </si>
  <si>
    <t>福润四季</t>
  </si>
  <si>
    <t>康源路12号院</t>
  </si>
  <si>
    <t>七</t>
  </si>
  <si>
    <t>悦和园</t>
  </si>
  <si>
    <t>高杨树中街15号院</t>
  </si>
  <si>
    <t>八</t>
  </si>
  <si>
    <t>景和园</t>
  </si>
  <si>
    <t xml:space="preserve"> 北京市朝阳区朝新嘉园东里七区3、5、12号楼</t>
  </si>
  <si>
    <t>九</t>
  </si>
  <si>
    <t>朝新嘉园</t>
  </si>
  <si>
    <t>东坝中街、东坝中路交汇处</t>
  </si>
  <si>
    <t>红松路1号院</t>
  </si>
  <si>
    <t>朝新嘉园东里四区西侧</t>
  </si>
  <si>
    <t>北京奥林匹克花园</t>
    <phoneticPr fontId="8" type="noConversion"/>
  </si>
  <si>
    <t>汇景苑</t>
    <phoneticPr fontId="8" type="noConversion"/>
  </si>
  <si>
    <t>富北嘉园</t>
    <phoneticPr fontId="8" type="noConversion"/>
  </si>
  <si>
    <t>利锦府</t>
    <phoneticPr fontId="8" type="noConversion"/>
  </si>
  <si>
    <t>东泽园</t>
    <phoneticPr fontId="8" type="noConversion"/>
  </si>
  <si>
    <t>富东嘉园</t>
    <phoneticPr fontId="8" type="noConversion"/>
  </si>
  <si>
    <t>保利首开丽湾家园</t>
    <phoneticPr fontId="8" type="noConversion"/>
  </si>
  <si>
    <t>首开龙湖学府苑</t>
    <phoneticPr fontId="8" type="noConversion"/>
  </si>
  <si>
    <t xml:space="preserve"> 北京市朝阳区朝新嘉园西里一区4、9号楼</t>
    <phoneticPr fontId="8" type="noConversion"/>
  </si>
  <si>
    <t>红松园北里2号院</t>
    <phoneticPr fontId="8" type="noConversion"/>
  </si>
  <si>
    <t>华纺星海家园</t>
    <phoneticPr fontId="8" type="noConversion"/>
  </si>
  <si>
    <t>东坝乡南红松园6号</t>
    <phoneticPr fontId="8" type="noConversion"/>
  </si>
  <si>
    <t>朝阳</t>
    <phoneticPr fontId="8" type="noConversion"/>
  </si>
  <si>
    <t>东坝中路甲102号</t>
    <phoneticPr fontId="8" type="noConversion"/>
  </si>
  <si>
    <t>套数</t>
    <phoneticPr fontId="8" type="noConversion"/>
  </si>
  <si>
    <t>北京市朝阳区东坝驹子房320号楼、322号楼</t>
    <phoneticPr fontId="8" type="noConversion"/>
  </si>
  <si>
    <t>北京市朝阳区驹子房三区1、2、5、6、8、10、12号楼</t>
    <phoneticPr fontId="8" type="noConversion"/>
  </si>
  <si>
    <t>北京市朝阳区东坝中街14号院1、2、3号楼</t>
    <phoneticPr fontId="8" type="noConversion"/>
  </si>
  <si>
    <t>北京市朝阳区和敬路4号院15号楼</t>
    <phoneticPr fontId="8" type="noConversion"/>
  </si>
  <si>
    <t>项目名</t>
    <phoneticPr fontId="8" type="noConversion"/>
  </si>
  <si>
    <t>市场租金标准</t>
  </si>
  <si>
    <t>公租房租金标准</t>
  </si>
  <si>
    <t>租金标准批复时间（XX年XX月）</t>
  </si>
  <si>
    <t>/</t>
  </si>
  <si>
    <t>区县</t>
  </si>
  <si>
    <t>小区名称</t>
  </si>
  <si>
    <t>起租日期 年</t>
  </si>
  <si>
    <t>起租日期 月</t>
  </si>
  <si>
    <t>整租租金</t>
  </si>
  <si>
    <t>保利首开丽湾家园</t>
  </si>
  <si>
    <t>十二月</t>
  </si>
  <si>
    <t>十一月</t>
  </si>
  <si>
    <t>十月</t>
  </si>
  <si>
    <t>八月</t>
  </si>
  <si>
    <t>七月</t>
  </si>
  <si>
    <t>六月</t>
  </si>
  <si>
    <t>四月</t>
  </si>
  <si>
    <t>三月</t>
  </si>
  <si>
    <t>二月</t>
  </si>
  <si>
    <t>红松园北里2号院</t>
  </si>
  <si>
    <t>奥林匹克花园一期</t>
  </si>
  <si>
    <t>奥林匹克花园四期</t>
  </si>
  <si>
    <t>奥林匹克花园二期</t>
  </si>
  <si>
    <t>奥林匹克花园三期</t>
  </si>
  <si>
    <t>九月</t>
  </si>
  <si>
    <t>五月</t>
  </si>
  <si>
    <t>一月</t>
  </si>
  <si>
    <t>金隅汇景苑</t>
  </si>
  <si>
    <t>富北嘉园</t>
  </si>
  <si>
    <t>华纺星海家园</t>
  </si>
  <si>
    <t>利锦府</t>
  </si>
  <si>
    <t>东泽园</t>
  </si>
  <si>
    <t>富东嘉园</t>
  </si>
  <si>
    <t>和悦园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</si>
  <si>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</si>
  <si>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</si>
  <si>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</si>
  <si>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东泽园</t>
    <phoneticPr fontId="8" type="noConversion"/>
  </si>
  <si>
    <t>富东嘉园</t>
    <phoneticPr fontId="8" type="noConversion"/>
  </si>
  <si>
    <t>项目名称</t>
    <phoneticPr fontId="8" type="noConversion"/>
  </si>
  <si>
    <t>面积</t>
    <phoneticPr fontId="8" type="noConversion"/>
  </si>
  <si>
    <t>朝向</t>
    <phoneticPr fontId="8" type="noConversion"/>
  </si>
  <si>
    <t>楼层</t>
    <phoneticPr fontId="8" type="noConversion"/>
  </si>
  <si>
    <t>成交日期</t>
    <phoneticPr fontId="8" type="noConversion"/>
  </si>
  <si>
    <t>成交价格</t>
    <phoneticPr fontId="8" type="noConversion"/>
  </si>
  <si>
    <t>单价（元/平方米·月）</t>
    <phoneticPr fontId="8" type="noConversion"/>
  </si>
  <si>
    <t>序号</t>
    <phoneticPr fontId="8" type="noConversion"/>
  </si>
  <si>
    <t>东</t>
    <phoneticPr fontId="8" type="noConversion"/>
  </si>
  <si>
    <t>低</t>
    <phoneticPr fontId="8" type="noConversion"/>
  </si>
  <si>
    <t>南</t>
    <phoneticPr fontId="8" type="noConversion"/>
  </si>
  <si>
    <t>高</t>
    <phoneticPr fontId="8" type="noConversion"/>
  </si>
  <si>
    <t>南北</t>
    <phoneticPr fontId="8" type="noConversion"/>
  </si>
  <si>
    <t>北</t>
    <phoneticPr fontId="8" type="noConversion"/>
  </si>
  <si>
    <t>高</t>
    <phoneticPr fontId="8" type="noConversion"/>
  </si>
  <si>
    <t>东西</t>
    <phoneticPr fontId="8" type="noConversion"/>
  </si>
  <si>
    <t>中</t>
    <phoneticPr fontId="8" type="noConversion"/>
  </si>
  <si>
    <t>西</t>
    <phoneticPr fontId="8" type="noConversion"/>
  </si>
  <si>
    <t>中</t>
    <phoneticPr fontId="8" type="noConversion"/>
  </si>
  <si>
    <t>补一二季度</t>
    <phoneticPr fontId="8" type="noConversion"/>
  </si>
  <si>
    <t>红松园北里2号院</t>
    <phoneticPr fontId="8" type="noConversion"/>
  </si>
  <si>
    <r>
      <t>3</t>
    </r>
    <r>
      <rPr>
        <sz val="11"/>
        <color rgb="FF000000"/>
        <rFont val="等线"/>
        <family val="3"/>
        <charset val="134"/>
      </rPr>
      <t>-2</t>
    </r>
    <phoneticPr fontId="8" type="noConversion"/>
  </si>
  <si>
    <t>低</t>
    <phoneticPr fontId="8" type="noConversion"/>
  </si>
  <si>
    <t>补二季度</t>
    <phoneticPr fontId="8" type="noConversion"/>
  </si>
  <si>
    <t>东</t>
    <phoneticPr fontId="8" type="noConversion"/>
  </si>
  <si>
    <t>补二季度</t>
    <phoneticPr fontId="8" type="noConversion"/>
  </si>
  <si>
    <t>南</t>
    <phoneticPr fontId="8" type="noConversion"/>
  </si>
  <si>
    <t>华纺星海家园</t>
    <phoneticPr fontId="8" type="noConversion"/>
  </si>
  <si>
    <t>东南</t>
    <phoneticPr fontId="8" type="noConversion"/>
  </si>
  <si>
    <t xml:space="preserve">东 </t>
    <phoneticPr fontId="8" type="noConversion"/>
  </si>
  <si>
    <t>北</t>
    <phoneticPr fontId="8" type="noConversion"/>
  </si>
  <si>
    <t>低</t>
    <phoneticPr fontId="8" type="noConversion"/>
  </si>
  <si>
    <t>西南</t>
    <phoneticPr fontId="8" type="noConversion"/>
  </si>
  <si>
    <t>中</t>
    <phoneticPr fontId="8" type="noConversion"/>
  </si>
  <si>
    <t>高</t>
    <phoneticPr fontId="8" type="noConversion"/>
  </si>
  <si>
    <t>西北</t>
    <phoneticPr fontId="8" type="noConversion"/>
  </si>
  <si>
    <t>物业费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</si>
  <si>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023-5</t>
    </r>
    <phoneticPr fontId="8" type="noConversion"/>
  </si>
  <si>
    <t>2023-4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</si>
  <si>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023-3</t>
    </r>
    <r>
      <rPr>
        <sz val="11"/>
        <color theme="1"/>
        <rFont val="等线"/>
        <family val="2"/>
        <charset val="134"/>
        <scheme val="minor"/>
      </rPr>
      <t/>
    </r>
  </si>
  <si>
    <t>2023-2</t>
  </si>
  <si>
    <r>
      <t>2</t>
    </r>
    <r>
      <rPr>
        <sz val="11"/>
        <color rgb="FF000000"/>
        <rFont val="等线"/>
        <family val="3"/>
        <charset val="134"/>
      </rPr>
      <t>023-1</t>
    </r>
    <r>
      <rPr>
        <sz val="11"/>
        <color theme="1"/>
        <rFont val="等线"/>
        <family val="2"/>
        <charset val="134"/>
        <scheme val="minor"/>
      </rPr>
      <t/>
    </r>
  </si>
  <si>
    <t>2022-12</t>
    <phoneticPr fontId="8" type="noConversion"/>
  </si>
  <si>
    <t>2022-11</t>
    <phoneticPr fontId="8" type="noConversion"/>
  </si>
  <si>
    <t>2022-10</t>
  </si>
  <si>
    <t>2022-9</t>
  </si>
  <si>
    <t>2022-8</t>
  </si>
  <si>
    <t>2022-7</t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</si>
  <si>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</si>
  <si>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</si>
  <si>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</si>
  <si>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使用品牌家具、家电；程度较新；功能正常，质量有保证，较好</t>
  </si>
  <si>
    <t>使用品牌家具、家电；虽然使用较长时间，但功能正常，一般</t>
  </si>
  <si>
    <t>不配备家具家电，差</t>
    <phoneticPr fontId="19" type="noConversion"/>
  </si>
  <si>
    <t>设备</t>
  </si>
  <si>
    <t>装修</t>
  </si>
  <si>
    <t>二居室</t>
    <phoneticPr fontId="19" type="noConversion"/>
  </si>
  <si>
    <t>户型</t>
  </si>
  <si>
    <t>朝向较好，能保证较长时间的采光，通风较好，较好</t>
  </si>
  <si>
    <t>朝向</t>
    <phoneticPr fontId="19" type="noConversion"/>
  </si>
  <si>
    <t>配备管理人员，出租房屋住户备案较少，居住安全性一般</t>
  </si>
  <si>
    <t>配备管理人员，出租房屋住户均有备案，居住安全性好</t>
  </si>
  <si>
    <t>居住管理</t>
  </si>
  <si>
    <r>
      <rPr>
        <sz val="10"/>
        <rFont val="仿宋_GB2312"/>
        <family val="3"/>
        <charset val="134"/>
      </rPr>
      <t>配备活动站、医疗站</t>
    </r>
  </si>
  <si>
    <r>
      <rPr>
        <sz val="10"/>
        <rFont val="仿宋_GB2312"/>
        <family val="3"/>
        <charset val="134"/>
      </rPr>
      <t>配套设施</t>
    </r>
  </si>
  <si>
    <r>
      <t>绿化率约为30</t>
    </r>
    <r>
      <rPr>
        <sz val="10"/>
        <rFont val="Arial"/>
        <family val="2"/>
      </rPr>
      <t>%</t>
    </r>
    <r>
      <rPr>
        <sz val="10"/>
        <rFont val="仿宋_GB2312"/>
        <family val="3"/>
        <charset val="134"/>
      </rPr>
      <t>，较好</t>
    </r>
    <phoneticPr fontId="19" type="noConversion"/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</si>
  <si>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</si>
  <si>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小区环境</t>
  </si>
  <si>
    <r>
      <rPr>
        <sz val="10"/>
        <rFont val="仿宋_GB2312"/>
        <family val="3"/>
        <charset val="134"/>
      </rPr>
      <t>有专业物业公司，物业服务保障好</t>
    </r>
  </si>
  <si>
    <t>物业服务</t>
  </si>
  <si>
    <r>
      <rPr>
        <sz val="11"/>
        <color indexed="8"/>
        <rFont val="仿宋_GB2312"/>
        <family val="3"/>
        <charset val="134"/>
      </rPr>
      <t>实物状况</t>
    </r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</si>
  <si>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</si>
  <si>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</si>
  <si>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</si>
  <si>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</si>
  <si>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</si>
  <si>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</si>
  <si>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</si>
  <si>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</si>
  <si>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</si>
  <si>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</si>
  <si>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</si>
  <si>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</si>
  <si>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</si>
  <si>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</si>
  <si>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</si>
  <si>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</si>
  <si>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</si>
  <si>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</si>
  <si>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</si>
  <si>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</si>
  <si>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项目名</t>
    <phoneticPr fontId="8" type="noConversion"/>
  </si>
  <si>
    <t>租金单价（元/平方米·月）</t>
    <phoneticPr fontId="8" type="noConversion"/>
  </si>
  <si>
    <t>月份</t>
    <phoneticPr fontId="8" type="noConversion"/>
  </si>
  <si>
    <t>季度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</si>
  <si>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</si>
  <si>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r>
      <t>2022.1</t>
    </r>
    <r>
      <rPr>
        <sz val="11"/>
        <color rgb="FF000000"/>
        <rFont val="等线"/>
        <family val="3"/>
        <charset val="134"/>
      </rPr>
      <t>0</t>
    </r>
    <phoneticPr fontId="8" type="noConversion"/>
  </si>
  <si>
    <t>2022年三季度</t>
    <phoneticPr fontId="8" type="noConversion"/>
  </si>
  <si>
    <t>2023年二季度</t>
  </si>
  <si>
    <t>2023年二季度</t>
    <phoneticPr fontId="8" type="noConversion"/>
  </si>
  <si>
    <t>2023年一季度</t>
  </si>
  <si>
    <t>2023年一季度</t>
    <phoneticPr fontId="8" type="noConversion"/>
  </si>
  <si>
    <t xml:space="preserve"> 北京市朝阳区朝新嘉园东里六区4、5号楼</t>
    <phoneticPr fontId="8" type="noConversion"/>
  </si>
  <si>
    <t>均价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</si>
  <si>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</si>
  <si>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022.10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</si>
  <si>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022.9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</si>
  <si>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023.2</t>
    </r>
    <phoneticPr fontId="8" type="noConversion"/>
  </si>
  <si>
    <t>-</t>
    <phoneticPr fontId="8" type="noConversion"/>
  </si>
  <si>
    <t>华纺星海家园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</si>
  <si>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022.12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</si>
  <si>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022.8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</si>
  <si>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023.5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</si>
  <si>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023.4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</si>
  <si>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</si>
  <si>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023.1</t>
    </r>
    <phoneticPr fontId="8" type="noConversion"/>
  </si>
  <si>
    <t>东泽园</t>
    <phoneticPr fontId="8" type="noConversion"/>
  </si>
  <si>
    <t>2022.10</t>
    <phoneticPr fontId="8" type="noConversion"/>
  </si>
  <si>
    <t>2022年四季度</t>
  </si>
  <si>
    <t>行业主管部门监测数据</t>
    <phoneticPr fontId="8" type="noConversion"/>
  </si>
  <si>
    <t>估价机构监测数据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</si>
  <si>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</si>
  <si>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t>2022年三季度</t>
    <phoneticPr fontId="8" type="noConversion"/>
  </si>
  <si>
    <t>保利首开丽湾家园</t>
    <phoneticPr fontId="8" type="noConversion"/>
  </si>
  <si>
    <t>2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</si>
  <si>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</si>
  <si>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022.11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</si>
  <si>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</si>
  <si>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t>2022年四季度</t>
    <phoneticPr fontId="8" type="noConversion"/>
  </si>
  <si>
    <t>2023年一季度</t>
    <phoneticPr fontId="8" type="noConversion"/>
  </si>
  <si>
    <t>2023年一季度</t>
    <phoneticPr fontId="8" type="noConversion"/>
  </si>
  <si>
    <t>估价机构市场调查数据</t>
    <phoneticPr fontId="8" type="noConversion"/>
  </si>
  <si>
    <t>2023年一季度</t>
    <phoneticPr fontId="8" type="noConversion"/>
  </si>
  <si>
    <t>2023年二季度</t>
    <phoneticPr fontId="8" type="noConversion"/>
  </si>
  <si>
    <t>东泽园</t>
    <phoneticPr fontId="8" type="noConversion"/>
  </si>
  <si>
    <t>案例汇总</t>
    <phoneticPr fontId="8" type="noConversion"/>
  </si>
  <si>
    <t>城研</t>
    <phoneticPr fontId="8" type="noConversion"/>
  </si>
  <si>
    <t>中指</t>
    <phoneticPr fontId="8" type="noConversion"/>
  </si>
  <si>
    <t>市场</t>
    <phoneticPr fontId="8" type="noConversion"/>
  </si>
  <si>
    <t>均价</t>
    <phoneticPr fontId="8" type="noConversion"/>
  </si>
  <si>
    <t>紧邻城市支路——东坝中街，周边有东五环路、醉公村路、单店西路等主次干道；周边公共交通线路有406路、431路、553路、571路等多条线路在附近设站，周边段道路情况良好，道路通达度较好，综合评价交通便捷度较好。</t>
    <phoneticPr fontId="19" type="noConversion"/>
  </si>
  <si>
    <t>位于东坝地区，周边有大型商业设施及社区配套商业，评价商业设施较好。</t>
    <phoneticPr fontId="8" type="noConversion"/>
  </si>
  <si>
    <t>周边有坝河休闲公园、东坝千亩湖公园等自然人文景观，自然环境较好。</t>
    <phoneticPr fontId="19" type="noConversion"/>
  </si>
  <si>
    <t>2022年二季度</t>
    <phoneticPr fontId="8" type="noConversion"/>
  </si>
  <si>
    <t>2022.6</t>
    <phoneticPr fontId="8" type="noConversion"/>
  </si>
  <si>
    <t>-</t>
    <phoneticPr fontId="8" type="noConversion"/>
  </si>
  <si>
    <t>2022年二季度</t>
    <phoneticPr fontId="8" type="noConversion"/>
  </si>
  <si>
    <t>保利首开丽湾家园</t>
    <phoneticPr fontId="8" type="noConversion"/>
  </si>
  <si>
    <t>富北嘉园</t>
    <phoneticPr fontId="8" type="noConversion"/>
  </si>
  <si>
    <t>东泽园</t>
    <phoneticPr fontId="8" type="noConversion"/>
  </si>
  <si>
    <t>2022-6</t>
    <phoneticPr fontId="8" type="noConversion"/>
  </si>
  <si>
    <t>华纺星海家园</t>
    <phoneticPr fontId="8" type="noConversion"/>
  </si>
  <si>
    <t>一居</t>
    <phoneticPr fontId="8" type="noConversion"/>
  </si>
  <si>
    <t>二居</t>
    <phoneticPr fontId="8" type="noConversion"/>
  </si>
  <si>
    <t>东泽园</t>
    <phoneticPr fontId="8" type="noConversion"/>
  </si>
  <si>
    <t>户型面积</t>
    <phoneticPr fontId="8" type="noConversion"/>
  </si>
  <si>
    <t>户型套数</t>
    <phoneticPr fontId="8" type="noConversion"/>
  </si>
  <si>
    <t>户型朝向</t>
    <phoneticPr fontId="8" type="noConversion"/>
  </si>
  <si>
    <t>项目四至</t>
    <phoneticPr fontId="8" type="noConversion"/>
  </si>
  <si>
    <t>建筑类型</t>
    <phoneticPr fontId="8" type="noConversion"/>
  </si>
  <si>
    <t>公区装修</t>
    <phoneticPr fontId="8" type="noConversion"/>
  </si>
  <si>
    <t>大堂：
首层电梯间：
电梯间：
楼梯间：</t>
    <phoneticPr fontId="8" type="noConversion"/>
  </si>
  <si>
    <t>北京市朝阳区单店西路1号院4号楼</t>
    <phoneticPr fontId="8" type="noConversion"/>
  </si>
  <si>
    <t>北京市朝阳区顺远街9号院1号楼（东郡家园）</t>
    <phoneticPr fontId="8" type="noConversion"/>
  </si>
  <si>
    <t xml:space="preserve"> 北京市朝阳区朝新嘉园东里七区3、5、12号楼</t>
    <phoneticPr fontId="8" type="noConversion"/>
  </si>
  <si>
    <t xml:space="preserve"> 北京市朝阳区朝新嘉园东里六区4、5号楼</t>
    <phoneticPr fontId="8" type="noConversion"/>
  </si>
  <si>
    <t>驹子房</t>
    <phoneticPr fontId="8" type="noConversion"/>
  </si>
  <si>
    <t>东湾家园</t>
    <phoneticPr fontId="8" type="noConversion"/>
  </si>
  <si>
    <t>首开畅颐园</t>
    <phoneticPr fontId="8" type="noConversion"/>
  </si>
  <si>
    <t>恒大江湾</t>
    <phoneticPr fontId="8" type="noConversion"/>
  </si>
  <si>
    <t>首城东郡汇</t>
    <phoneticPr fontId="8" type="noConversion"/>
  </si>
  <si>
    <t>福润四季</t>
    <phoneticPr fontId="8" type="noConversion"/>
  </si>
  <si>
    <t>悦和园</t>
    <phoneticPr fontId="8" type="noConversion"/>
  </si>
  <si>
    <t>景和园</t>
    <phoneticPr fontId="8" type="noConversion"/>
  </si>
  <si>
    <t>朝新嘉园</t>
    <phoneticPr fontId="8" type="noConversion"/>
  </si>
  <si>
    <t>华纺星海家园</t>
    <phoneticPr fontId="8" type="noConversion"/>
  </si>
  <si>
    <t>西</t>
    <phoneticPr fontId="26" type="noConversion"/>
  </si>
  <si>
    <t>东</t>
    <phoneticPr fontId="26" type="noConversion"/>
  </si>
  <si>
    <t>小套型</t>
    <phoneticPr fontId="26" type="noConversion"/>
  </si>
  <si>
    <t>朝新嘉园</t>
    <phoneticPr fontId="26" type="noConversion"/>
  </si>
  <si>
    <t>大套型</t>
    <phoneticPr fontId="26" type="noConversion"/>
  </si>
  <si>
    <t>景和园</t>
    <phoneticPr fontId="26" type="noConversion"/>
  </si>
  <si>
    <t>南</t>
    <phoneticPr fontId="26" type="noConversion"/>
  </si>
  <si>
    <t>大套型</t>
    <phoneticPr fontId="26" type="noConversion"/>
  </si>
  <si>
    <t>悦和园</t>
    <phoneticPr fontId="26" type="noConversion"/>
  </si>
  <si>
    <t>福润四季</t>
    <phoneticPr fontId="26" type="noConversion"/>
  </si>
  <si>
    <t>南北向大套型</t>
    <phoneticPr fontId="26" type="noConversion"/>
  </si>
  <si>
    <t>南北</t>
    <phoneticPr fontId="26" type="noConversion"/>
  </si>
  <si>
    <t>首城东郡汇</t>
    <phoneticPr fontId="26" type="noConversion"/>
  </si>
  <si>
    <t>西向中套型</t>
    <phoneticPr fontId="26" type="noConversion"/>
  </si>
  <si>
    <t>西</t>
    <phoneticPr fontId="26" type="noConversion"/>
  </si>
  <si>
    <t>中套型</t>
    <phoneticPr fontId="26" type="noConversion"/>
  </si>
  <si>
    <t>恒大江湾</t>
    <phoneticPr fontId="26" type="noConversion"/>
  </si>
  <si>
    <t>东南</t>
    <phoneticPr fontId="26" type="noConversion"/>
  </si>
  <si>
    <t>西向大套型</t>
    <phoneticPr fontId="26" type="noConversion"/>
  </si>
  <si>
    <t>东</t>
    <phoneticPr fontId="26" type="noConversion"/>
  </si>
  <si>
    <t>首开畅颐园</t>
    <phoneticPr fontId="26" type="noConversion"/>
  </si>
  <si>
    <t>南向大套型</t>
    <phoneticPr fontId="26" type="noConversion"/>
  </si>
  <si>
    <t>南</t>
    <phoneticPr fontId="26" type="noConversion"/>
  </si>
  <si>
    <t>东湾家园</t>
    <phoneticPr fontId="26" type="noConversion"/>
  </si>
  <si>
    <t>小套型</t>
    <phoneticPr fontId="26" type="noConversion"/>
  </si>
  <si>
    <t>南向小套型</t>
    <phoneticPr fontId="26" type="noConversion"/>
  </si>
  <si>
    <t>中套型</t>
    <phoneticPr fontId="26" type="noConversion"/>
  </si>
  <si>
    <t>驹子房</t>
    <phoneticPr fontId="26" type="noConversion"/>
  </si>
  <si>
    <t>标准房</t>
    <phoneticPr fontId="26" type="noConversion"/>
  </si>
  <si>
    <t>数量</t>
    <phoneticPr fontId="26" type="noConversion"/>
  </si>
  <si>
    <t>朝向</t>
    <phoneticPr fontId="26" type="noConversion"/>
  </si>
  <si>
    <t>数量</t>
    <phoneticPr fontId="26" type="noConversion"/>
  </si>
  <si>
    <t>户型</t>
    <phoneticPr fontId="26" type="noConversion"/>
  </si>
  <si>
    <t>项目名</t>
    <phoneticPr fontId="26" type="noConversion"/>
  </si>
  <si>
    <t>序号</t>
    <phoneticPr fontId="26" type="noConversion"/>
  </si>
  <si>
    <t>东西</t>
    <phoneticPr fontId="26" type="noConversion"/>
  </si>
  <si>
    <t>南北</t>
    <phoneticPr fontId="26" type="noConversion"/>
  </si>
  <si>
    <t>物业费</t>
    <phoneticPr fontId="8" type="noConversion"/>
  </si>
  <si>
    <t>供暖费</t>
    <phoneticPr fontId="8" type="noConversion"/>
  </si>
  <si>
    <t>不含物业、供暖租金</t>
    <phoneticPr fontId="8" type="noConversion"/>
  </si>
  <si>
    <r>
      <t>绿化率约为3</t>
    </r>
    <r>
      <rPr>
        <sz val="10"/>
        <rFont val="Arial"/>
        <family val="2"/>
      </rPr>
      <t>0%</t>
    </r>
    <r>
      <rPr>
        <sz val="10"/>
        <rFont val="仿宋_GB2312"/>
        <family val="3"/>
        <charset val="134"/>
      </rPr>
      <t>，较好</t>
    </r>
    <phoneticPr fontId="8" type="noConversion"/>
  </si>
  <si>
    <r>
      <t>周边有首开常青藤、首城珑玺、恒大江湾、康静里等居住小区，居住小区规模较大，入住率较高，综合评价居住社区成熟度较好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</si>
  <si>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周边有东坝郊野公园、坝河休闲公园等自然人文景观，自然环境较好。</t>
    <phoneticPr fontId="19" type="noConversion"/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</si>
  <si>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  <phoneticPr fontId="8" type="noConversion"/>
  </si>
  <si>
    <t>配备管理人员，出租房屋住户备案较少，居住安全性较好</t>
    <phoneticPr fontId="8" type="noConversion"/>
  </si>
  <si>
    <t>一居室</t>
    <phoneticPr fontId="19" type="noConversion"/>
  </si>
  <si>
    <r>
      <t>周边有首金泽家园、金驹家园、华纺星海家园等居住小区，居住小区规模较大，入住率较高，综合评价居住社区成熟度较好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</si>
  <si>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r>
      <t>周边有朝新嘉园、富东嘉园、泓鑫家园等居住小区，居住小区规模较大，入住率较高，综合评价居住社区成熟度较好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</si>
  <si>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东五环路、东坝中路、姚家园路等主次干道；周边公共交通线路有350路、412路、640路、650路、672路等多条线路在附近设站，周边段道路情况良好，道路通达度较好，综合评价交通便捷度较好。</t>
    <phoneticPr fontId="8" type="noConversion"/>
  </si>
  <si>
    <t>紧邻城市支路——驹子房路，周边有东五环路、东坝中路、姚家园路等主次干道；周边公共交通线路有468路、571路、650路、672路等多条线路在附近设站，周边段道路情况良好，道路通达度较好，综合评价交通便捷度较好。</t>
    <phoneticPr fontId="8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</si>
  <si>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</si>
  <si>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驹子房路，周边有东五环路、朝新大街、康居中街等主次干道；周边公共交通线路有468路、571路、650路等多条线路在附近设站，周边段道路情况良好，道路通达度较好，综合评价交通便捷度较好。</t>
    <phoneticPr fontId="19" type="noConversion"/>
  </si>
  <si>
    <t>开间</t>
    <phoneticPr fontId="19" type="noConversion"/>
  </si>
  <si>
    <t>建筑类型</t>
    <phoneticPr fontId="8" type="noConversion"/>
  </si>
  <si>
    <t>连廊式板楼</t>
    <phoneticPr fontId="8" type="noConversion"/>
  </si>
  <si>
    <t>高层板楼</t>
    <phoneticPr fontId="8" type="noConversion"/>
  </si>
  <si>
    <t>电梯数量</t>
    <phoneticPr fontId="8" type="noConversion"/>
  </si>
  <si>
    <t>2梯27户</t>
    <phoneticPr fontId="8" type="noConversion"/>
  </si>
  <si>
    <t>2梯4户</t>
    <phoneticPr fontId="8" type="noConversion"/>
  </si>
  <si>
    <t>1梯2户</t>
    <phoneticPr fontId="8" type="noConversion"/>
  </si>
  <si>
    <t>有专业物业公司，物业服务保障好</t>
  </si>
  <si>
    <t>空间布局与居住功能适宜；休息、学习与活动空间影响不大，较好</t>
  </si>
  <si>
    <t>一居室</t>
    <phoneticPr fontId="19" type="noConversion"/>
  </si>
  <si>
    <t>二居室</t>
    <phoneticPr fontId="19" type="noConversion"/>
  </si>
  <si>
    <t>朝向</t>
    <phoneticPr fontId="19" type="noConversion"/>
  </si>
  <si>
    <t>配备活动站、医疗站</t>
  </si>
  <si>
    <t>配备活动站、医疗站</t>
    <phoneticPr fontId="19" type="noConversion"/>
  </si>
  <si>
    <t>该小区装修为基本装修，未对居住产生不良影响，一般</t>
  </si>
  <si>
    <t>绿化率约为30%，较好</t>
  </si>
  <si>
    <t>建筑类型</t>
    <phoneticPr fontId="19" type="noConversion"/>
  </si>
  <si>
    <t>板楼</t>
  </si>
  <si>
    <t>区域内银行、超市、中小学校、餐饮、医院等公共配套设施较齐全</t>
  </si>
  <si>
    <t>一般</t>
  </si>
  <si>
    <t>较好</t>
  </si>
  <si>
    <t>待估</t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</si>
  <si>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5</t>
    </r>
  </si>
  <si>
    <r>
      <t>周边有朝新嘉园、金泽家园、、锦安家园等居住小区，居住小区规模较大，入住率较高，综合评价居住社区成熟度较好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</si>
  <si>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康居中街，周边有东五环路、驹子房、和敬路等主次干道；周边公共交通线路有412路、650路、快速直达专线70路等多条线路在附近设站，周边段道路情况良好，道路通达度较好，综合评价交通便捷度较好。</t>
    <phoneticPr fontId="19" type="noConversion"/>
  </si>
  <si>
    <t>高层板楼</t>
    <phoneticPr fontId="19" type="noConversion"/>
  </si>
  <si>
    <t>朝向较好（南），能保证较长时间的采光，通风较好，较好</t>
    <phoneticPr fontId="19" type="noConversion"/>
  </si>
  <si>
    <t>装修为普通装修，与居住功能相适应，较好</t>
    <phoneticPr fontId="8" type="noConversion"/>
  </si>
  <si>
    <t>部分配备家具家电，较差</t>
    <phoneticPr fontId="19" type="noConversion"/>
  </si>
  <si>
    <t>朝向较好（南），能保证较长时间的采光，通风较好，较好</t>
    <phoneticPr fontId="19" type="noConversion"/>
  </si>
  <si>
    <t>朝向好（南北），能保证较长时间的采光，通风好，好</t>
    <phoneticPr fontId="19" type="noConversion"/>
  </si>
  <si>
    <r>
      <t>周边有华瀚福园、金驹家园、金泽家园等居住小区，居住小区规模较大，入住率较高，综合评价居住社区成熟度较好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</si>
  <si>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管庄路、姚家园路、机场第二高速等主次干道；周边公共交通线路有350路、364路、586路、650路等多条线路在附近设站，周边段道路情况良好，道路通达度较好，综合评价交通便捷度较好。</t>
    <phoneticPr fontId="8" type="noConversion"/>
  </si>
  <si>
    <t>1梯6户</t>
    <phoneticPr fontId="8" type="noConversion"/>
  </si>
  <si>
    <t>2梯6户</t>
    <phoneticPr fontId="8" type="noConversion"/>
  </si>
  <si>
    <t>2梯5户</t>
    <phoneticPr fontId="8" type="noConversion"/>
  </si>
  <si>
    <t>3梯11户</t>
    <phoneticPr fontId="8" type="noConversion"/>
  </si>
  <si>
    <t>2梯8户</t>
    <phoneticPr fontId="8" type="noConversion"/>
  </si>
  <si>
    <t>2梯4户</t>
    <phoneticPr fontId="8" type="noConversion"/>
  </si>
  <si>
    <r>
      <t>周边有首开常青藤、奥林匹克花园、康静里等居住小区，居住小区规模较大，入住率较高，综合评价居住社区成熟度较好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</si>
  <si>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支路——单店中街，周边有东五环路、醉公村路、单店南路等主次干道；周边公共交通线路有412路、431路、496路等多条线路在附近设站，周边段道路情况良好，道路通达度较好，综合评价交通便捷度较好。</t>
    <phoneticPr fontId="19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</si>
  <si>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</si>
  <si>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朝新大街，周边有东五环路、东坝中路、康居中街等主次干道；周边公共交通线路有350路、406路、571路、650路等多条线路在附近设站，周边段道路情况良好，道路通达度较好，综合评价交通便捷度较好。</t>
    <phoneticPr fontId="19" type="noConversion"/>
  </si>
  <si>
    <t>1梯4户</t>
    <phoneticPr fontId="8" type="noConversion"/>
  </si>
  <si>
    <t>南</t>
    <phoneticPr fontId="8" type="noConversion"/>
  </si>
  <si>
    <t>南北向大套型</t>
  </si>
  <si>
    <t>每2修</t>
    <phoneticPr fontId="8" type="noConversion"/>
  </si>
  <si>
    <t>装修为简单装修，与居住功能相适应，一般</t>
  </si>
  <si>
    <t>装修为简单装修，与居住功能相适应，一般</t>
    <phoneticPr fontId="8" type="noConversion"/>
  </si>
  <si>
    <t>装修为精装修，与居住功能相适应，好</t>
    <phoneticPr fontId="8" type="noConversion"/>
  </si>
  <si>
    <t>小区停车</t>
    <phoneticPr fontId="8" type="noConversion"/>
  </si>
  <si>
    <t>地面停车</t>
    <phoneticPr fontId="8" type="noConversion"/>
  </si>
  <si>
    <t>无法停车</t>
    <phoneticPr fontId="8" type="noConversion"/>
  </si>
  <si>
    <t>地下车库</t>
    <phoneticPr fontId="8" type="noConversion"/>
  </si>
  <si>
    <t>地面停车、地下车库</t>
    <phoneticPr fontId="8" type="noConversion"/>
  </si>
  <si>
    <t>地下车库</t>
    <phoneticPr fontId="8" type="noConversion"/>
  </si>
  <si>
    <t>绿化率大于30%，好</t>
    <phoneticPr fontId="8" type="noConversion"/>
  </si>
  <si>
    <t>建筑面积</t>
    <phoneticPr fontId="8" type="noConversion"/>
  </si>
  <si>
    <t>＜45</t>
    <phoneticPr fontId="8" type="noConversion"/>
  </si>
  <si>
    <t>＞55</t>
    <phoneticPr fontId="8" type="noConversion"/>
  </si>
  <si>
    <t>45-55</t>
    <phoneticPr fontId="8" type="noConversion"/>
  </si>
  <si>
    <t>建筑面积（㎡）</t>
    <phoneticPr fontId="8" type="noConversion"/>
  </si>
  <si>
    <t>项目月租金（元/月）</t>
    <phoneticPr fontId="8" type="noConversion"/>
  </si>
  <si>
    <t>不含物业费租金（元/月）</t>
    <phoneticPr fontId="8" type="noConversion"/>
  </si>
  <si>
    <t>物业费（元/月）</t>
    <phoneticPr fontId="8" type="noConversion"/>
  </si>
  <si>
    <t>含物业费租金（元/月）</t>
    <phoneticPr fontId="8" type="noConversion"/>
  </si>
  <si>
    <t>租金合计</t>
    <phoneticPr fontId="8" type="noConversion"/>
  </si>
  <si>
    <t>东坝地区平均租金（元/月）</t>
    <phoneticPr fontId="8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</si>
  <si>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</si>
  <si>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</si>
  <si>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</si>
  <si>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</si>
  <si>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</si>
  <si>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</si>
  <si>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</si>
  <si>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</si>
  <si>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</si>
  <si>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</si>
  <si>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</si>
  <si>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</si>
  <si>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</si>
  <si>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</si>
  <si>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</si>
  <si>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</si>
  <si>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</si>
  <si>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</si>
  <si>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</si>
  <si>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</si>
  <si>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</si>
  <si>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</si>
  <si>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</si>
  <si>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</si>
  <si>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</si>
  <si>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</si>
  <si>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</si>
  <si>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</si>
  <si>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2022/6至2023/5</t>
    <phoneticPr fontId="8" type="noConversion"/>
  </si>
  <si>
    <t>市场价值</t>
    <phoneticPr fontId="8" type="noConversion"/>
  </si>
  <si>
    <t>保利首开丽湾家园</t>
    <phoneticPr fontId="8" type="noConversion"/>
  </si>
  <si>
    <t>一居</t>
    <phoneticPr fontId="8" type="noConversion"/>
  </si>
  <si>
    <t>驹子房</t>
    <phoneticPr fontId="8" type="noConversion"/>
  </si>
  <si>
    <t>朝向差（西），能保证一定时间的采光，通风一般，差</t>
    <phoneticPr fontId="19" type="noConversion"/>
  </si>
  <si>
    <t>西向小套型</t>
    <phoneticPr fontId="26" type="noConversion"/>
  </si>
  <si>
    <t>朝向差，能保证一定时间的采光，通风一般，较差</t>
    <phoneticPr fontId="8" type="noConversion"/>
  </si>
  <si>
    <t>朝向差（西），能保证一定时间的采光，通风一般，差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</si>
</sst>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_ "/>
    <numFmt numFmtId="178" formatCode="0.0%"/>
  </numFmts>
  <fonts count="33">
    <font>
      <sz val="11"/>
      <color rgb="FF000000"/>
      <name val="等线"/>
      <charset val="134"/>
    </font>
    <font>
      <sz val="11"/>
      <color theme="1"/>
      <name val="等线"/>
      <family val="2"/>
      <charset val="134"/>
      <scheme val="minor"/>
    </font>
    <font>
      <sz val="14"/>
      <color rgb="FF000000"/>
      <name val="方正小标宋简体"/>
      <charset val="134"/>
    </font>
    <font>
      <b/>
      <sz val="12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name val="宋体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方正书宋_GBK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71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1">
      <alignment vertical="center"/>
    </xf>
    <xf numFmtId="4" fontId="14" fillId="4" borderId="0" xfId="1" applyNumberFormat="1" applyFill="1">
      <alignment vertical="center"/>
    </xf>
    <xf numFmtId="0" fontId="14" fillId="4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7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4" fillId="0" borderId="0" xfId="1" applyNumberFormat="1">
      <alignment vertical="center"/>
    </xf>
    <xf numFmtId="0" fontId="14" fillId="0" borderId="0" xfId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28" fillId="0" borderId="0" xfId="3" applyFont="1" applyBorder="1" applyAlignment="1">
      <alignment horizontal="left" vertical="center" wrapText="1"/>
    </xf>
    <xf numFmtId="0" fontId="14" fillId="0" borderId="0" xfId="3" applyBorder="1"/>
    <xf numFmtId="14" fontId="28" fillId="5" borderId="2" xfId="3" applyNumberFormat="1" applyFont="1" applyFill="1" applyBorder="1" applyAlignment="1">
      <alignment horizontal="center" vertical="center" wrapText="1"/>
    </xf>
    <xf numFmtId="0" fontId="28" fillId="6" borderId="2" xfId="3" applyFont="1" applyFill="1" applyBorder="1" applyAlignment="1" applyProtection="1">
      <alignment horizontal="center" vertical="center" wrapText="1"/>
      <protection locked="0"/>
    </xf>
    <xf numFmtId="0" fontId="14" fillId="5" borderId="2" xfId="3" applyFill="1" applyBorder="1" applyAlignment="1">
      <alignment vertical="center"/>
    </xf>
    <xf numFmtId="0" fontId="28" fillId="5" borderId="3" xfId="3" applyFont="1" applyFill="1" applyBorder="1" applyAlignment="1">
      <alignment horizontal="center" vertical="center" wrapText="1"/>
    </xf>
    <xf numFmtId="0" fontId="14" fillId="4" borderId="2" xfId="3" applyFont="1" applyFill="1" applyBorder="1" applyProtection="1">
      <protection locked="0"/>
    </xf>
    <xf numFmtId="0" fontId="14" fillId="5" borderId="2" xfId="3" applyFont="1" applyFill="1" applyBorder="1"/>
    <xf numFmtId="0" fontId="14" fillId="0" borderId="2" xfId="3" applyBorder="1" applyProtection="1">
      <protection locked="0"/>
    </xf>
    <xf numFmtId="0" fontId="28" fillId="0" borderId="2" xfId="3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4" fillId="4" borderId="0" xfId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16" fillId="0" borderId="0" xfId="2" applyFont="1" applyFill="1" applyBorder="1" applyAlignment="1">
      <alignment horizontal="lef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horizontal="center" vertical="center" wrapText="1"/>
    </xf>
    <xf numFmtId="4" fontId="16" fillId="0" borderId="2" xfId="2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177" fontId="16" fillId="0" borderId="10" xfId="2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27" fillId="0" borderId="6" xfId="2" applyFont="1" applyFill="1" applyBorder="1" applyAlignment="1">
      <alignment horizontal="center" vertical="center" wrapText="1"/>
    </xf>
    <xf numFmtId="4" fontId="27" fillId="0" borderId="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4" fillId="0" borderId="3" xfId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9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24179;&#35895;\2020-1-0471&#24179;&#35895;&#21306;&#21306;&#22495;&#24066;&#22330;&#31199;&#37329;&#35780;&#20272;\&#36807;&#31243;\&#28165;&#21326;&#19996;&#36335;\&#27979;&#31639;&#28165;&#21326;&#19996;&#36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40527;/&#39033;&#30446;/&#26397;&#38451;&#21306;&#20844;&#31199;&#25151;/&#36164;&#26009;/&#27979;&#31639;-&#24179;&#35895;&#31199;&#37329;&#35780;&#20272;-8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</sheetData>
      <sheetData sheetId="6"/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案例"/>
      <sheetName val="城研数据"/>
      <sheetName val="地图"/>
      <sheetName val="案例整理"/>
      <sheetName val="远山嘉园"/>
      <sheetName val="天成开元"/>
      <sheetName val="燕谷嘉园"/>
      <sheetName val="平谷新城平均数"/>
      <sheetName val="慧谷佳园"/>
      <sheetName val="远山嘉园成本"/>
      <sheetName val="系统读取表"/>
      <sheetName val="房本信息"/>
      <sheetName val="案例位置"/>
      <sheetName val="远山嘉园656套房源表"/>
      <sheetName val="天成开园113套房源表"/>
      <sheetName val="燕谷嘉园393套房源表"/>
      <sheetName val="洳苑嘉园86套房源表"/>
      <sheetName val="慧谷嘉园547套房源表"/>
      <sheetName val="悦洳汇1套房源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H14">
            <v>100</v>
          </cell>
        </row>
      </sheetData>
      <sheetData sheetId="5" refreshError="1"/>
      <sheetData sheetId="6" refreshError="1"/>
      <sheetData sheetId="7" refreshError="1"/>
      <sheetData sheetId="8">
        <row r="27">
          <cell r="P27">
            <v>21.48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tabSelected="1" zoomScaleSheetLayoutView="100" workbookViewId="0">
      <selection activeCell="E15" sqref="E15"/>
    </sheetView>
  </sheetViews>
  <sheetFormatPr defaultColWidth="14.625" defaultRowHeight="14.25"/>
  <cols>
    <col min="1" max="1" width="24.375" style="34" customWidth="1"/>
    <col min="2" max="16384" width="14.625" style="34"/>
  </cols>
  <sheetData>
    <row r="1" spans="1:9" ht="16.5">
      <c r="A1" s="83" t="s">
        <v>400</v>
      </c>
      <c r="B1" s="84">
        <v>42194.79</v>
      </c>
      <c r="C1" s="85"/>
      <c r="D1" s="85"/>
      <c r="E1" s="85"/>
      <c r="F1" s="85"/>
      <c r="G1" s="86"/>
    </row>
    <row r="2" spans="1:9" ht="16.5">
      <c r="A2" s="83" t="s">
        <v>401</v>
      </c>
      <c r="B2" s="83">
        <f>SUM(C14:C23)</f>
        <v>0</v>
      </c>
      <c r="C2" s="85"/>
      <c r="D2" s="85"/>
      <c r="E2" s="85"/>
      <c r="F2" s="85"/>
      <c r="G2" s="86"/>
    </row>
    <row r="3" spans="1:9" ht="33">
      <c r="A3" s="83" t="s">
        <v>402</v>
      </c>
      <c r="B3" s="87" t="s">
        <v>428</v>
      </c>
      <c r="C3" s="85"/>
      <c r="D3" s="85"/>
      <c r="E3" s="85"/>
      <c r="F3" s="85"/>
      <c r="G3" s="86"/>
    </row>
    <row r="4" spans="1:9" ht="33">
      <c r="A4" s="83" t="s">
        <v>403</v>
      </c>
      <c r="B4" s="83" t="s">
        <v>404</v>
      </c>
      <c r="C4" s="83" t="s">
        <v>405</v>
      </c>
      <c r="D4" s="83" t="s">
        <v>406</v>
      </c>
      <c r="E4" s="85"/>
      <c r="F4" s="86"/>
      <c r="G4" s="86"/>
    </row>
    <row r="5" spans="1:9" ht="16.5">
      <c r="A5" s="83" t="s">
        <v>429</v>
      </c>
      <c r="B5" s="83">
        <f>SUM(D14:D23)</f>
        <v>250.29949427999998</v>
      </c>
      <c r="C5" s="83">
        <f>ROUND(B5*10000/$B$1,0)</f>
        <v>59</v>
      </c>
      <c r="D5" s="83" t="e">
        <f>ROUND(B5*10000/$B$2,0)</f>
        <v>#DIV/0!</v>
      </c>
      <c r="E5" s="85"/>
      <c r="F5" s="86"/>
      <c r="G5" s="86"/>
    </row>
    <row r="6" spans="1:9" ht="16.5">
      <c r="A6" s="83" t="s">
        <v>407</v>
      </c>
      <c r="B6" s="83">
        <f>SUM(D14:D23)</f>
        <v>250.29949427999998</v>
      </c>
      <c r="C6" s="83">
        <f>ROUND(B6*10000/$B$1,0)</f>
        <v>59</v>
      </c>
      <c r="D6" s="83" t="e">
        <f>#N/A</f>
        <v>#N/A</v>
      </c>
      <c r="E6" s="85"/>
      <c r="F6" s="86"/>
      <c r="G6" s="86"/>
    </row>
    <row r="7" spans="1:9" ht="16.5">
      <c r="A7" s="83" t="s">
        <v>408</v>
      </c>
      <c r="B7" s="83">
        <f>B5</f>
        <v>250.29949427999998</v>
      </c>
      <c r="C7" s="83" t="e">
        <f>#N/A</f>
        <v>#N/A</v>
      </c>
      <c r="D7" s="83" t="e">
        <f>#N/A</f>
        <v>#N/A</v>
      </c>
      <c r="E7" s="85"/>
      <c r="F7" s="86"/>
      <c r="G7" s="86"/>
    </row>
    <row r="8" spans="1:9" ht="16.5">
      <c r="A8" s="83" t="s">
        <v>409</v>
      </c>
      <c r="B8" s="83">
        <f>B5</f>
        <v>250.29949427999998</v>
      </c>
      <c r="C8" s="83" t="e">
        <f>#N/A</f>
        <v>#N/A</v>
      </c>
      <c r="D8" s="83" t="e">
        <f>#N/A</f>
        <v>#N/A</v>
      </c>
      <c r="E8" s="85"/>
      <c r="F8" s="86"/>
      <c r="G8" s="86"/>
    </row>
    <row r="9" spans="1:9" ht="16.5">
      <c r="A9" s="83" t="s">
        <v>410</v>
      </c>
      <c r="B9" s="88">
        <f>B5</f>
        <v>250.29949427999998</v>
      </c>
      <c r="C9" s="85"/>
      <c r="D9" s="85"/>
      <c r="E9" s="85"/>
      <c r="F9" s="86"/>
      <c r="G9" s="86"/>
    </row>
    <row r="10" spans="1:9" ht="16.5">
      <c r="A10" s="83" t="s">
        <v>411</v>
      </c>
      <c r="B10" s="88">
        <f>B5</f>
        <v>250.29949427999998</v>
      </c>
      <c r="C10" s="85"/>
      <c r="D10" s="85"/>
      <c r="E10" s="85"/>
      <c r="F10" s="86"/>
      <c r="G10" s="86"/>
    </row>
    <row r="11" spans="1:9" ht="16.5">
      <c r="A11" s="83" t="s">
        <v>412</v>
      </c>
      <c r="B11" s="88">
        <f>B5</f>
        <v>250.29949427999998</v>
      </c>
      <c r="C11" s="85"/>
      <c r="D11" s="85"/>
      <c r="E11" s="85"/>
      <c r="F11" s="86"/>
      <c r="G11" s="86"/>
    </row>
    <row r="12" spans="1:9" ht="16.5">
      <c r="A12" s="85"/>
      <c r="B12" s="85"/>
      <c r="C12" s="85"/>
      <c r="D12" s="85"/>
      <c r="E12" s="85"/>
      <c r="F12" s="86"/>
      <c r="G12" s="86"/>
    </row>
    <row r="13" spans="1:9" ht="33">
      <c r="A13" s="89" t="s">
        <v>413</v>
      </c>
      <c r="B13" s="90" t="s">
        <v>400</v>
      </c>
      <c r="C13" s="90" t="s">
        <v>401</v>
      </c>
      <c r="D13" s="90" t="s">
        <v>414</v>
      </c>
      <c r="E13" s="83" t="s">
        <v>405</v>
      </c>
      <c r="F13" s="83" t="s">
        <v>406</v>
      </c>
      <c r="G13" s="90" t="s">
        <v>415</v>
      </c>
      <c r="H13" s="90" t="s">
        <v>416</v>
      </c>
      <c r="I13" s="90" t="s">
        <v>417</v>
      </c>
    </row>
    <row r="14" spans="1:9" ht="16.5">
      <c r="A14" s="91" t="s">
        <v>418</v>
      </c>
      <c r="B14" s="90">
        <f>B1</f>
        <v>42194.79</v>
      </c>
      <c r="C14" s="90">
        <v>0</v>
      </c>
      <c r="D14" s="90">
        <f>B14*E14/10000</f>
        <v>250.29949427999998</v>
      </c>
      <c r="E14" s="90">
        <f>东坝地区平均数!C41</f>
        <v>59.32</v>
      </c>
      <c r="F14" s="90" t="e">
        <f>ROUND(D14*10000/C14,0)</f>
        <v>#DIV/0!</v>
      </c>
      <c r="G14" s="90">
        <v>0</v>
      </c>
      <c r="H14" s="90">
        <v>0</v>
      </c>
      <c r="I14" s="90">
        <v>0</v>
      </c>
    </row>
    <row r="15" spans="1:9" ht="16.5">
      <c r="A15" s="92" t="s">
        <v>419</v>
      </c>
      <c r="B15" s="93"/>
      <c r="C15" s="93"/>
      <c r="D15" s="93"/>
      <c r="E15" s="90" t="e">
        <f t="shared" ref="E15:E23" si="0">ROUND(D15*10000/B15,0)</f>
        <v>#DIV/0!</v>
      </c>
      <c r="F15" s="90" t="e">
        <f t="shared" ref="F15:F23" si="1">ROUND(D15*10000/C15,0)</f>
        <v>#DIV/0!</v>
      </c>
      <c r="G15" s="94"/>
      <c r="H15" s="94"/>
      <c r="I15" s="93"/>
    </row>
    <row r="16" spans="1:9" ht="16.5">
      <c r="A16" s="92" t="s">
        <v>420</v>
      </c>
      <c r="B16" s="93"/>
      <c r="C16" s="93"/>
      <c r="D16" s="93"/>
      <c r="E16" s="90" t="e">
        <f t="shared" si="0"/>
        <v>#DIV/0!</v>
      </c>
      <c r="F16" s="90" t="e">
        <f t="shared" si="1"/>
        <v>#DIV/0!</v>
      </c>
      <c r="G16" s="94"/>
      <c r="H16" s="94"/>
      <c r="I16" s="93"/>
    </row>
    <row r="17" spans="1:9" ht="16.5">
      <c r="A17" s="92" t="s">
        <v>421</v>
      </c>
      <c r="B17" s="93"/>
      <c r="C17" s="93"/>
      <c r="D17" s="93"/>
      <c r="E17" s="90" t="e">
        <f t="shared" si="0"/>
        <v>#DIV/0!</v>
      </c>
      <c r="F17" s="90" t="e">
        <f t="shared" si="1"/>
        <v>#DIV/0!</v>
      </c>
      <c r="G17" s="94"/>
      <c r="H17" s="94"/>
      <c r="I17" s="93"/>
    </row>
    <row r="18" spans="1:9" ht="16.5">
      <c r="A18" s="92" t="s">
        <v>422</v>
      </c>
      <c r="B18" s="93"/>
      <c r="C18" s="93"/>
      <c r="D18" s="93"/>
      <c r="E18" s="90" t="e">
        <f t="shared" si="0"/>
        <v>#DIV/0!</v>
      </c>
      <c r="F18" s="90" t="e">
        <f t="shared" si="1"/>
        <v>#DIV/0!</v>
      </c>
      <c r="G18" s="93"/>
      <c r="H18" s="93"/>
      <c r="I18" s="93"/>
    </row>
    <row r="19" spans="1:9" ht="16.5">
      <c r="A19" s="92" t="s">
        <v>423</v>
      </c>
      <c r="B19" s="93"/>
      <c r="C19" s="93"/>
      <c r="D19" s="93"/>
      <c r="E19" s="90" t="e">
        <f t="shared" si="0"/>
        <v>#DIV/0!</v>
      </c>
      <c r="F19" s="90" t="e">
        <f t="shared" si="1"/>
        <v>#DIV/0!</v>
      </c>
      <c r="G19" s="93"/>
      <c r="H19" s="93"/>
      <c r="I19" s="93"/>
    </row>
    <row r="20" spans="1:9" ht="16.5">
      <c r="A20" s="92" t="s">
        <v>424</v>
      </c>
      <c r="B20" s="93"/>
      <c r="C20" s="93"/>
      <c r="D20" s="93"/>
      <c r="E20" s="90" t="e">
        <f t="shared" si="0"/>
        <v>#DIV/0!</v>
      </c>
      <c r="F20" s="90" t="e">
        <f t="shared" si="1"/>
        <v>#DIV/0!</v>
      </c>
      <c r="G20" s="93"/>
      <c r="H20" s="93"/>
      <c r="I20" s="93"/>
    </row>
    <row r="21" spans="1:9" ht="16.5">
      <c r="A21" s="92" t="s">
        <v>425</v>
      </c>
      <c r="B21" s="93"/>
      <c r="C21" s="93"/>
      <c r="D21" s="93"/>
      <c r="E21" s="90" t="e">
        <f t="shared" si="0"/>
        <v>#DIV/0!</v>
      </c>
      <c r="F21" s="90" t="e">
        <f t="shared" si="1"/>
        <v>#DIV/0!</v>
      </c>
      <c r="G21" s="93"/>
      <c r="H21" s="93"/>
      <c r="I21" s="93"/>
    </row>
    <row r="22" spans="1:9" ht="16.5">
      <c r="A22" s="92" t="s">
        <v>426</v>
      </c>
      <c r="B22" s="93"/>
      <c r="C22" s="93"/>
      <c r="D22" s="93"/>
      <c r="E22" s="90" t="e">
        <f t="shared" si="0"/>
        <v>#DIV/0!</v>
      </c>
      <c r="F22" s="90" t="e">
        <f t="shared" si="1"/>
        <v>#DIV/0!</v>
      </c>
      <c r="G22" s="93"/>
      <c r="H22" s="93"/>
      <c r="I22" s="93"/>
    </row>
    <row r="23" spans="1:9" ht="16.5">
      <c r="A23" s="92" t="s">
        <v>427</v>
      </c>
      <c r="B23" s="93"/>
      <c r="C23" s="93"/>
      <c r="D23" s="93"/>
      <c r="E23" s="83" t="e">
        <f t="shared" si="0"/>
        <v>#DIV/0!</v>
      </c>
      <c r="F23" s="83" t="e">
        <f t="shared" si="1"/>
        <v>#DIV/0!</v>
      </c>
      <c r="G23" s="93"/>
      <c r="H23" s="93"/>
      <c r="I23" s="93"/>
    </row>
  </sheetData>
  <phoneticPr fontId="8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4" sqref="A34:A37"/>
    </sheetView>
  </sheetViews>
  <sheetFormatPr defaultRowHeight="12.75"/>
  <cols>
    <col min="1" max="1" width="9.25" style="71" customWidth="1"/>
    <col min="2" max="2" width="14.875" style="71" customWidth="1"/>
    <col min="3" max="3" width="18.75" style="71" customWidth="1"/>
    <col min="4" max="4" width="8.75" style="71" customWidth="1"/>
    <col min="5" max="5" width="35.25" style="71" customWidth="1"/>
    <col min="6" max="6" width="5.125" style="71" customWidth="1"/>
    <col min="7" max="7" width="12.25" style="71" customWidth="1"/>
    <col min="8" max="8" width="11.25" style="71" customWidth="1"/>
    <col min="9" max="9" width="13.625" style="71" customWidth="1"/>
    <col min="10" max="16384" width="9" style="71"/>
  </cols>
  <sheetData>
    <row r="1" spans="1:9">
      <c r="A1" s="69" t="s">
        <v>63</v>
      </c>
      <c r="B1" s="69" t="s">
        <v>4</v>
      </c>
      <c r="C1" s="70" t="s">
        <v>261</v>
      </c>
      <c r="D1" s="70" t="s">
        <v>262</v>
      </c>
      <c r="E1" s="70" t="s">
        <v>263</v>
      </c>
      <c r="F1" s="69" t="s">
        <v>58</v>
      </c>
      <c r="G1" s="70" t="s">
        <v>258</v>
      </c>
      <c r="H1" s="70" t="s">
        <v>259</v>
      </c>
      <c r="I1" s="70" t="s">
        <v>260</v>
      </c>
    </row>
    <row r="2" spans="1:9" ht="28.5" customHeight="1">
      <c r="A2" s="170" t="s">
        <v>269</v>
      </c>
      <c r="B2" s="169" t="s">
        <v>59</v>
      </c>
      <c r="C2" s="169"/>
      <c r="D2" s="169"/>
      <c r="E2" s="168" t="s">
        <v>264</v>
      </c>
      <c r="F2" s="167">
        <v>228</v>
      </c>
      <c r="G2" s="72"/>
      <c r="H2" s="72"/>
      <c r="I2" s="72"/>
    </row>
    <row r="3" spans="1:9" ht="15.75" customHeight="1">
      <c r="A3" s="170"/>
      <c r="B3" s="169"/>
      <c r="C3" s="169"/>
      <c r="D3" s="169"/>
      <c r="E3" s="168"/>
      <c r="F3" s="167"/>
      <c r="G3" s="72"/>
      <c r="H3" s="72"/>
      <c r="I3" s="72"/>
    </row>
    <row r="4" spans="1:9" ht="15.75" customHeight="1">
      <c r="A4" s="170"/>
      <c r="B4" s="169"/>
      <c r="C4" s="169"/>
      <c r="D4" s="169"/>
      <c r="E4" s="168"/>
      <c r="F4" s="167"/>
      <c r="G4" s="72"/>
      <c r="H4" s="72"/>
      <c r="I4" s="72"/>
    </row>
    <row r="5" spans="1:9" ht="15.75" customHeight="1">
      <c r="A5" s="170"/>
      <c r="B5" s="169"/>
      <c r="C5" s="169"/>
      <c r="D5" s="169"/>
      <c r="E5" s="168"/>
      <c r="F5" s="167"/>
      <c r="G5" s="72"/>
      <c r="H5" s="72"/>
      <c r="I5" s="72"/>
    </row>
    <row r="6" spans="1:9" ht="15.75" customHeight="1">
      <c r="A6" s="170" t="s">
        <v>270</v>
      </c>
      <c r="B6" s="169" t="s">
        <v>60</v>
      </c>
      <c r="C6" s="169"/>
      <c r="D6" s="169"/>
      <c r="E6" s="168" t="s">
        <v>264</v>
      </c>
      <c r="F6" s="167">
        <v>59</v>
      </c>
      <c r="G6" s="72"/>
      <c r="H6" s="72"/>
      <c r="I6" s="72"/>
    </row>
    <row r="7" spans="1:9">
      <c r="A7" s="170"/>
      <c r="B7" s="169"/>
      <c r="C7" s="169"/>
      <c r="D7" s="169"/>
      <c r="E7" s="168"/>
      <c r="F7" s="167"/>
      <c r="G7" s="72"/>
      <c r="H7" s="72"/>
      <c r="I7" s="72"/>
    </row>
    <row r="8" spans="1:9">
      <c r="A8" s="170"/>
      <c r="B8" s="169"/>
      <c r="C8" s="169"/>
      <c r="D8" s="169"/>
      <c r="E8" s="168"/>
      <c r="F8" s="167"/>
      <c r="G8" s="72"/>
      <c r="H8" s="72"/>
      <c r="I8" s="72"/>
    </row>
    <row r="9" spans="1:9">
      <c r="A9" s="170"/>
      <c r="B9" s="169"/>
      <c r="C9" s="169"/>
      <c r="D9" s="169"/>
      <c r="E9" s="168"/>
      <c r="F9" s="167"/>
      <c r="G9" s="72"/>
      <c r="H9" s="72"/>
      <c r="I9" s="72"/>
    </row>
    <row r="10" spans="1:9">
      <c r="A10" s="170" t="s">
        <v>271</v>
      </c>
      <c r="B10" s="169" t="s">
        <v>61</v>
      </c>
      <c r="C10" s="169"/>
      <c r="D10" s="169"/>
      <c r="E10" s="168" t="s">
        <v>264</v>
      </c>
      <c r="F10" s="167">
        <v>54</v>
      </c>
      <c r="G10" s="72"/>
      <c r="H10" s="72"/>
      <c r="I10" s="72"/>
    </row>
    <row r="11" spans="1:9">
      <c r="A11" s="170"/>
      <c r="B11" s="169"/>
      <c r="C11" s="169"/>
      <c r="D11" s="169"/>
      <c r="E11" s="168"/>
      <c r="F11" s="167"/>
      <c r="G11" s="72"/>
      <c r="H11" s="72"/>
      <c r="I11" s="72"/>
    </row>
    <row r="12" spans="1:9">
      <c r="A12" s="170"/>
      <c r="B12" s="169"/>
      <c r="C12" s="169"/>
      <c r="D12" s="169"/>
      <c r="E12" s="168"/>
      <c r="F12" s="167"/>
      <c r="G12" s="72"/>
      <c r="H12" s="72"/>
      <c r="I12" s="72"/>
    </row>
    <row r="13" spans="1:9">
      <c r="A13" s="170"/>
      <c r="B13" s="169"/>
      <c r="C13" s="169"/>
      <c r="D13" s="169"/>
      <c r="E13" s="168"/>
      <c r="F13" s="167"/>
      <c r="G13" s="72"/>
      <c r="H13" s="72"/>
      <c r="I13" s="72"/>
    </row>
    <row r="14" spans="1:9">
      <c r="A14" s="170" t="s">
        <v>272</v>
      </c>
      <c r="B14" s="169" t="s">
        <v>265</v>
      </c>
      <c r="C14" s="169"/>
      <c r="D14" s="169"/>
      <c r="E14" s="168" t="s">
        <v>264</v>
      </c>
      <c r="F14" s="167">
        <v>1</v>
      </c>
      <c r="G14" s="167"/>
      <c r="H14" s="167"/>
      <c r="I14" s="167"/>
    </row>
    <row r="15" spans="1:9">
      <c r="A15" s="170"/>
      <c r="B15" s="169"/>
      <c r="C15" s="169"/>
      <c r="D15" s="169"/>
      <c r="E15" s="168"/>
      <c r="F15" s="167"/>
      <c r="G15" s="167"/>
      <c r="H15" s="167"/>
      <c r="I15" s="167"/>
    </row>
    <row r="16" spans="1:9">
      <c r="A16" s="170"/>
      <c r="B16" s="169"/>
      <c r="C16" s="169"/>
      <c r="D16" s="169"/>
      <c r="E16" s="168"/>
      <c r="F16" s="167"/>
      <c r="G16" s="167"/>
      <c r="H16" s="167"/>
      <c r="I16" s="167"/>
    </row>
    <row r="17" spans="1:9">
      <c r="A17" s="170"/>
      <c r="B17" s="169"/>
      <c r="C17" s="169"/>
      <c r="D17" s="169"/>
      <c r="E17" s="168"/>
      <c r="F17" s="167"/>
      <c r="G17" s="167"/>
      <c r="H17" s="167"/>
      <c r="I17" s="167"/>
    </row>
    <row r="18" spans="1:9">
      <c r="A18" s="170" t="s">
        <v>273</v>
      </c>
      <c r="B18" s="169" t="s">
        <v>266</v>
      </c>
      <c r="C18" s="169"/>
      <c r="D18" s="169"/>
      <c r="E18" s="168" t="s">
        <v>264</v>
      </c>
      <c r="F18" s="167">
        <v>1</v>
      </c>
      <c r="G18" s="167"/>
      <c r="H18" s="167"/>
      <c r="I18" s="167"/>
    </row>
    <row r="19" spans="1:9">
      <c r="A19" s="170"/>
      <c r="B19" s="169"/>
      <c r="C19" s="169"/>
      <c r="D19" s="169"/>
      <c r="E19" s="168"/>
      <c r="F19" s="167"/>
      <c r="G19" s="167"/>
      <c r="H19" s="167"/>
      <c r="I19" s="167"/>
    </row>
    <row r="20" spans="1:9">
      <c r="A20" s="170"/>
      <c r="B20" s="169"/>
      <c r="C20" s="169"/>
      <c r="D20" s="169"/>
      <c r="E20" s="168"/>
      <c r="F20" s="167"/>
      <c r="G20" s="167"/>
      <c r="H20" s="167"/>
      <c r="I20" s="167"/>
    </row>
    <row r="21" spans="1:9">
      <c r="A21" s="170"/>
      <c r="B21" s="169"/>
      <c r="C21" s="169"/>
      <c r="D21" s="169"/>
      <c r="E21" s="168"/>
      <c r="F21" s="167"/>
      <c r="G21" s="167"/>
      <c r="H21" s="167"/>
      <c r="I21" s="167"/>
    </row>
    <row r="22" spans="1:9">
      <c r="A22" s="170" t="s">
        <v>274</v>
      </c>
      <c r="B22" s="169" t="s">
        <v>62</v>
      </c>
      <c r="C22" s="169"/>
      <c r="D22" s="169"/>
      <c r="E22" s="168" t="s">
        <v>264</v>
      </c>
      <c r="F22" s="167">
        <v>1</v>
      </c>
      <c r="G22" s="167"/>
      <c r="H22" s="167"/>
      <c r="I22" s="167"/>
    </row>
    <row r="23" spans="1:9">
      <c r="A23" s="170"/>
      <c r="B23" s="169"/>
      <c r="C23" s="169"/>
      <c r="D23" s="169"/>
      <c r="E23" s="168"/>
      <c r="F23" s="167"/>
      <c r="G23" s="167"/>
      <c r="H23" s="167"/>
      <c r="I23" s="167"/>
    </row>
    <row r="24" spans="1:9">
      <c r="A24" s="170"/>
      <c r="B24" s="169"/>
      <c r="C24" s="169"/>
      <c r="D24" s="169"/>
      <c r="E24" s="168"/>
      <c r="F24" s="167"/>
      <c r="G24" s="167"/>
      <c r="H24" s="167"/>
      <c r="I24" s="167"/>
    </row>
    <row r="25" spans="1:9">
      <c r="A25" s="170"/>
      <c r="B25" s="169"/>
      <c r="C25" s="169"/>
      <c r="D25" s="169"/>
      <c r="E25" s="168"/>
      <c r="F25" s="167"/>
      <c r="G25" s="167"/>
      <c r="H25" s="167"/>
      <c r="I25" s="167"/>
    </row>
    <row r="26" spans="1:9">
      <c r="A26" s="170" t="s">
        <v>275</v>
      </c>
      <c r="B26" s="169" t="s">
        <v>52</v>
      </c>
      <c r="C26" s="169"/>
      <c r="D26" s="169"/>
      <c r="E26" s="168" t="s">
        <v>264</v>
      </c>
      <c r="F26" s="167">
        <v>2</v>
      </c>
      <c r="G26" s="72"/>
      <c r="H26" s="72"/>
      <c r="I26" s="72"/>
    </row>
    <row r="27" spans="1:9">
      <c r="A27" s="170"/>
      <c r="B27" s="169"/>
      <c r="C27" s="169"/>
      <c r="D27" s="169"/>
      <c r="E27" s="168"/>
      <c r="F27" s="167"/>
      <c r="G27" s="72"/>
      <c r="H27" s="72"/>
      <c r="I27" s="72"/>
    </row>
    <row r="28" spans="1:9">
      <c r="A28" s="170"/>
      <c r="B28" s="169"/>
      <c r="C28" s="169"/>
      <c r="D28" s="169"/>
      <c r="E28" s="168"/>
      <c r="F28" s="167"/>
      <c r="G28" s="72"/>
      <c r="H28" s="72"/>
      <c r="I28" s="72"/>
    </row>
    <row r="29" spans="1:9">
      <c r="A29" s="170"/>
      <c r="B29" s="169"/>
      <c r="C29" s="169"/>
      <c r="D29" s="169"/>
      <c r="E29" s="168"/>
      <c r="F29" s="167"/>
      <c r="G29" s="72"/>
      <c r="H29" s="72"/>
      <c r="I29" s="72"/>
    </row>
    <row r="30" spans="1:9">
      <c r="A30" s="170" t="s">
        <v>276</v>
      </c>
      <c r="B30" s="169" t="s">
        <v>267</v>
      </c>
      <c r="C30" s="169"/>
      <c r="D30" s="169"/>
      <c r="E30" s="168" t="s">
        <v>264</v>
      </c>
      <c r="F30" s="167">
        <v>3</v>
      </c>
      <c r="G30" s="72"/>
      <c r="H30" s="72"/>
      <c r="I30" s="72"/>
    </row>
    <row r="31" spans="1:9">
      <c r="A31" s="170"/>
      <c r="B31" s="169"/>
      <c r="C31" s="169"/>
      <c r="D31" s="169"/>
      <c r="E31" s="168"/>
      <c r="F31" s="167"/>
      <c r="G31" s="72"/>
      <c r="H31" s="72"/>
      <c r="I31" s="72"/>
    </row>
    <row r="32" spans="1:9">
      <c r="A32" s="170"/>
      <c r="B32" s="169"/>
      <c r="C32" s="169"/>
      <c r="D32" s="169"/>
      <c r="E32" s="168"/>
      <c r="F32" s="167"/>
      <c r="G32" s="72"/>
      <c r="H32" s="72"/>
      <c r="I32" s="72"/>
    </row>
    <row r="33" spans="1:9">
      <c r="A33" s="170"/>
      <c r="B33" s="169"/>
      <c r="C33" s="169"/>
      <c r="D33" s="169"/>
      <c r="E33" s="168"/>
      <c r="F33" s="167"/>
      <c r="G33" s="72"/>
      <c r="H33" s="72"/>
      <c r="I33" s="72"/>
    </row>
    <row r="34" spans="1:9">
      <c r="A34" s="170" t="s">
        <v>277</v>
      </c>
      <c r="B34" s="169" t="s">
        <v>268</v>
      </c>
      <c r="C34" s="169"/>
      <c r="D34" s="169"/>
      <c r="E34" s="168" t="s">
        <v>264</v>
      </c>
      <c r="F34" s="167">
        <v>580</v>
      </c>
      <c r="G34" s="72"/>
      <c r="H34" s="72"/>
      <c r="I34" s="72"/>
    </row>
    <row r="35" spans="1:9">
      <c r="A35" s="170"/>
      <c r="B35" s="169"/>
      <c r="C35" s="169"/>
      <c r="D35" s="169"/>
      <c r="E35" s="168"/>
      <c r="F35" s="167"/>
      <c r="G35" s="72"/>
      <c r="H35" s="72"/>
      <c r="I35" s="72"/>
    </row>
    <row r="36" spans="1:9">
      <c r="A36" s="170"/>
      <c r="B36" s="169"/>
      <c r="C36" s="169"/>
      <c r="D36" s="169"/>
      <c r="E36" s="168"/>
      <c r="F36" s="167"/>
      <c r="G36" s="72"/>
      <c r="H36" s="72"/>
      <c r="I36" s="72"/>
    </row>
    <row r="37" spans="1:9">
      <c r="A37" s="170"/>
      <c r="B37" s="169"/>
      <c r="C37" s="169"/>
      <c r="D37" s="169"/>
      <c r="E37" s="168"/>
      <c r="F37" s="167"/>
      <c r="G37" s="72"/>
      <c r="H37" s="72"/>
      <c r="I37" s="72"/>
    </row>
  </sheetData>
  <mergeCells count="63">
    <mergeCell ref="F2:F5"/>
    <mergeCell ref="E2:E5"/>
    <mergeCell ref="B14:B17"/>
    <mergeCell ref="A2:A5"/>
    <mergeCell ref="B2:B5"/>
    <mergeCell ref="C2:C5"/>
    <mergeCell ref="D2:D5"/>
    <mergeCell ref="D6:D9"/>
    <mergeCell ref="C10:C13"/>
    <mergeCell ref="D10:D13"/>
    <mergeCell ref="C14:C17"/>
    <mergeCell ref="D14:D17"/>
    <mergeCell ref="A30:A33"/>
    <mergeCell ref="B30:B33"/>
    <mergeCell ref="A34:A37"/>
    <mergeCell ref="B34:B37"/>
    <mergeCell ref="C6:C9"/>
    <mergeCell ref="A18:A21"/>
    <mergeCell ref="B18:B21"/>
    <mergeCell ref="A22:A25"/>
    <mergeCell ref="B22:B25"/>
    <mergeCell ref="A26:A29"/>
    <mergeCell ref="B26:B29"/>
    <mergeCell ref="B6:B9"/>
    <mergeCell ref="A6:A9"/>
    <mergeCell ref="A10:A13"/>
    <mergeCell ref="B10:B13"/>
    <mergeCell ref="A14:A17"/>
    <mergeCell ref="C30:C33"/>
    <mergeCell ref="D30:D33"/>
    <mergeCell ref="C34:C37"/>
    <mergeCell ref="D34:D37"/>
    <mergeCell ref="E6:E9"/>
    <mergeCell ref="E10:E13"/>
    <mergeCell ref="E14:E17"/>
    <mergeCell ref="E18:E21"/>
    <mergeCell ref="E22:E25"/>
    <mergeCell ref="E26:E29"/>
    <mergeCell ref="C18:C21"/>
    <mergeCell ref="D18:D21"/>
    <mergeCell ref="C22:C25"/>
    <mergeCell ref="D22:D25"/>
    <mergeCell ref="C26:C29"/>
    <mergeCell ref="D26:D29"/>
    <mergeCell ref="E30:E33"/>
    <mergeCell ref="E34:E37"/>
    <mergeCell ref="F6:F9"/>
    <mergeCell ref="F10:F13"/>
    <mergeCell ref="F14:F17"/>
    <mergeCell ref="F18:F21"/>
    <mergeCell ref="F22:F25"/>
    <mergeCell ref="F26:F29"/>
    <mergeCell ref="F30:F33"/>
    <mergeCell ref="F34:F37"/>
    <mergeCell ref="G22:G25"/>
    <mergeCell ref="H22:H25"/>
    <mergeCell ref="I22:I25"/>
    <mergeCell ref="G14:G17"/>
    <mergeCell ref="H14:H17"/>
    <mergeCell ref="I14:I17"/>
    <mergeCell ref="G18:G21"/>
    <mergeCell ref="H18:H21"/>
    <mergeCell ref="I18:I21"/>
  </mergeCells>
  <phoneticPr fontId="8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2"/>
  <sheetViews>
    <sheetView topLeftCell="A4" zoomScaleSheetLayoutView="100" workbookViewId="0">
      <selection activeCell="K17" sqref="K17"/>
    </sheetView>
  </sheetViews>
  <sheetFormatPr defaultColWidth="9" defaultRowHeight="14.25"/>
  <cols>
    <col min="1" max="2" width="9" style="34"/>
    <col min="3" max="3" width="18.625" style="34" customWidth="1"/>
    <col min="4" max="4" width="4.875" style="34" customWidth="1"/>
    <col min="5" max="5" width="21.125" style="34" customWidth="1"/>
    <col min="6" max="6" width="5.5" style="34" customWidth="1"/>
    <col min="7" max="7" width="20.5" style="34" customWidth="1"/>
    <col min="8" max="8" width="7.125" style="34" customWidth="1"/>
    <col min="9" max="9" width="21.5" style="34" customWidth="1"/>
    <col min="10" max="10" width="7.125" style="34" customWidth="1"/>
    <col min="11" max="16384" width="9" style="34"/>
  </cols>
  <sheetData>
    <row r="1" spans="1:11">
      <c r="A1" s="126" t="s">
        <v>193</v>
      </c>
      <c r="B1" s="126"/>
      <c r="C1" s="126"/>
      <c r="D1" s="126"/>
      <c r="E1" s="126"/>
      <c r="F1" s="126"/>
      <c r="G1" s="126"/>
      <c r="H1" s="126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>
      <c r="A3" s="122" t="s">
        <v>192</v>
      </c>
      <c r="B3" s="121"/>
      <c r="C3" s="118" t="s">
        <v>191</v>
      </c>
      <c r="D3" s="118"/>
      <c r="E3" s="118" t="s">
        <v>190</v>
      </c>
      <c r="F3" s="118"/>
      <c r="G3" s="118" t="s">
        <v>189</v>
      </c>
      <c r="H3" s="118"/>
      <c r="I3" s="118" t="s">
        <v>188</v>
      </c>
      <c r="J3" s="118"/>
    </row>
    <row r="4" spans="1:11">
      <c r="A4" s="118" t="s">
        <v>187</v>
      </c>
      <c r="B4" s="118"/>
      <c r="C4" s="125" t="s">
        <v>277</v>
      </c>
      <c r="D4" s="121"/>
      <c r="E4" s="120" t="s">
        <v>50</v>
      </c>
      <c r="F4" s="121"/>
      <c r="G4" s="120" t="s">
        <v>46</v>
      </c>
      <c r="H4" s="121"/>
      <c r="I4" s="120" t="s">
        <v>48</v>
      </c>
      <c r="J4" s="121"/>
    </row>
    <row r="5" spans="1:11" ht="30" customHeight="1">
      <c r="A5" s="118" t="s">
        <v>186</v>
      </c>
      <c r="B5" s="118"/>
      <c r="C5" s="122" t="s">
        <v>185</v>
      </c>
      <c r="D5" s="121"/>
      <c r="E5" s="123">
        <f>案例汇总!I50</f>
        <v>64.95</v>
      </c>
      <c r="F5" s="124"/>
      <c r="G5" s="123">
        <f>案例汇总!I51</f>
        <v>62.03</v>
      </c>
      <c r="H5" s="124"/>
      <c r="I5" s="123">
        <f>案例汇总!I53</f>
        <v>64.59</v>
      </c>
      <c r="J5" s="124"/>
    </row>
    <row r="6" spans="1:11">
      <c r="A6" s="118" t="s">
        <v>184</v>
      </c>
      <c r="B6" s="118"/>
      <c r="C6" s="49" t="s">
        <v>183</v>
      </c>
      <c r="D6" s="48">
        <v>100</v>
      </c>
      <c r="E6" s="49" t="s">
        <v>183</v>
      </c>
      <c r="F6" s="48">
        <v>100</v>
      </c>
      <c r="G6" s="49" t="s">
        <v>183</v>
      </c>
      <c r="H6" s="48">
        <v>100</v>
      </c>
      <c r="I6" s="49" t="s">
        <v>183</v>
      </c>
      <c r="J6" s="48">
        <v>100</v>
      </c>
    </row>
    <row r="7" spans="1:11">
      <c r="A7" s="118" t="s">
        <v>182</v>
      </c>
      <c r="B7" s="118"/>
      <c r="C7" s="42" t="s">
        <v>181</v>
      </c>
      <c r="D7" s="42">
        <v>100</v>
      </c>
      <c r="E7" s="42" t="s">
        <v>181</v>
      </c>
      <c r="F7" s="42">
        <v>100</v>
      </c>
      <c r="G7" s="42" t="s">
        <v>181</v>
      </c>
      <c r="H7" s="42">
        <f>IF(G7=C7,100,"请调整")</f>
        <v>100</v>
      </c>
      <c r="I7" s="42" t="s">
        <v>181</v>
      </c>
      <c r="J7" s="42">
        <f>IF(I7=G7,100,"请调整")</f>
        <v>100</v>
      </c>
    </row>
    <row r="8" spans="1:11" ht="72">
      <c r="A8" s="111" t="s">
        <v>180</v>
      </c>
      <c r="B8" s="41" t="s">
        <v>179</v>
      </c>
      <c r="C8" s="41" t="s">
        <v>329</v>
      </c>
      <c r="D8" s="42">
        <v>100</v>
      </c>
      <c r="E8" s="41" t="s">
        <v>320</v>
      </c>
      <c r="F8" s="42">
        <v>100</v>
      </c>
      <c r="G8" s="41" t="s">
        <v>326</v>
      </c>
      <c r="H8" s="42">
        <v>100</v>
      </c>
      <c r="I8" s="41" t="s">
        <v>325</v>
      </c>
      <c r="J8" s="42">
        <v>100</v>
      </c>
      <c r="K8" s="47">
        <v>3</v>
      </c>
    </row>
    <row r="9" spans="1:11" ht="120">
      <c r="A9" s="112"/>
      <c r="B9" s="41" t="s">
        <v>178</v>
      </c>
      <c r="C9" s="41" t="s">
        <v>330</v>
      </c>
      <c r="D9" s="42">
        <v>100</v>
      </c>
      <c r="E9" s="41" t="s">
        <v>243</v>
      </c>
      <c r="F9" s="42">
        <v>100</v>
      </c>
      <c r="G9" s="41" t="s">
        <v>328</v>
      </c>
      <c r="H9" s="42">
        <v>100</v>
      </c>
      <c r="I9" s="41" t="s">
        <v>327</v>
      </c>
      <c r="J9" s="42">
        <v>100</v>
      </c>
      <c r="K9" s="47">
        <v>3</v>
      </c>
    </row>
    <row r="10" spans="1:11" ht="48">
      <c r="A10" s="112"/>
      <c r="B10" s="41" t="s">
        <v>177</v>
      </c>
      <c r="C10" s="41" t="s">
        <v>244</v>
      </c>
      <c r="D10" s="42">
        <v>100</v>
      </c>
      <c r="E10" s="41" t="s">
        <v>244</v>
      </c>
      <c r="F10" s="42">
        <v>100</v>
      </c>
      <c r="G10" s="41" t="s">
        <v>244</v>
      </c>
      <c r="H10" s="75">
        <v>100</v>
      </c>
      <c r="I10" s="41" t="s">
        <v>244</v>
      </c>
      <c r="J10" s="75">
        <v>100</v>
      </c>
      <c r="K10" s="43">
        <v>5</v>
      </c>
    </row>
    <row r="11" spans="1:11" ht="48">
      <c r="A11" s="112"/>
      <c r="B11" s="41" t="s">
        <v>176</v>
      </c>
      <c r="C11" s="41" t="s">
        <v>321</v>
      </c>
      <c r="D11" s="42">
        <v>100</v>
      </c>
      <c r="E11" s="41" t="s">
        <v>245</v>
      </c>
      <c r="F11" s="42">
        <v>100</v>
      </c>
      <c r="G11" s="41" t="s">
        <v>321</v>
      </c>
      <c r="H11" s="42">
        <v>100</v>
      </c>
      <c r="I11" s="41" t="s">
        <v>321</v>
      </c>
      <c r="J11" s="42">
        <v>100</v>
      </c>
      <c r="K11" s="47">
        <v>3</v>
      </c>
    </row>
    <row r="12" spans="1:11" ht="36">
      <c r="A12" s="113"/>
      <c r="B12" s="41" t="s">
        <v>175</v>
      </c>
      <c r="C12" s="75" t="s">
        <v>174</v>
      </c>
      <c r="D12" s="42">
        <v>100</v>
      </c>
      <c r="E12" s="75" t="s">
        <v>174</v>
      </c>
      <c r="F12" s="42">
        <v>100</v>
      </c>
      <c r="G12" s="42" t="s">
        <v>174</v>
      </c>
      <c r="H12" s="42">
        <v>100</v>
      </c>
      <c r="I12" s="42" t="s">
        <v>174</v>
      </c>
      <c r="J12" s="42">
        <v>100</v>
      </c>
      <c r="K12" s="39">
        <v>5</v>
      </c>
    </row>
    <row r="13" spans="1:11" ht="24">
      <c r="A13" s="114" t="s">
        <v>173</v>
      </c>
      <c r="B13" s="41" t="s">
        <v>172</v>
      </c>
      <c r="C13" s="42" t="s">
        <v>171</v>
      </c>
      <c r="D13" s="42">
        <v>100</v>
      </c>
      <c r="E13" s="75" t="s">
        <v>171</v>
      </c>
      <c r="F13" s="42">
        <v>100</v>
      </c>
      <c r="G13" s="42" t="s">
        <v>171</v>
      </c>
      <c r="H13" s="42">
        <v>100</v>
      </c>
      <c r="I13" s="42" t="s">
        <v>171</v>
      </c>
      <c r="J13" s="42">
        <v>100</v>
      </c>
      <c r="K13" s="39">
        <v>1</v>
      </c>
    </row>
    <row r="14" spans="1:11">
      <c r="A14" s="115"/>
      <c r="B14" s="41" t="s">
        <v>170</v>
      </c>
      <c r="C14" s="75" t="s">
        <v>169</v>
      </c>
      <c r="D14" s="42">
        <v>100</v>
      </c>
      <c r="E14" s="41" t="s">
        <v>319</v>
      </c>
      <c r="F14" s="75">
        <v>100</v>
      </c>
      <c r="G14" s="41" t="s">
        <v>322</v>
      </c>
      <c r="H14" s="46">
        <v>100</v>
      </c>
      <c r="I14" s="41" t="s">
        <v>168</v>
      </c>
      <c r="J14" s="42">
        <v>100</v>
      </c>
      <c r="K14" s="39">
        <v>5</v>
      </c>
    </row>
    <row r="15" spans="1:11">
      <c r="A15" s="115"/>
      <c r="B15" s="42" t="s">
        <v>167</v>
      </c>
      <c r="C15" s="42" t="s">
        <v>166</v>
      </c>
      <c r="D15" s="42">
        <v>100</v>
      </c>
      <c r="E15" s="75" t="s">
        <v>166</v>
      </c>
      <c r="F15" s="42">
        <v>100</v>
      </c>
      <c r="G15" s="42" t="s">
        <v>166</v>
      </c>
      <c r="H15" s="42">
        <v>100</v>
      </c>
      <c r="I15" s="42" t="s">
        <v>166</v>
      </c>
      <c r="J15" s="42">
        <v>100</v>
      </c>
      <c r="K15" s="39">
        <v>1</v>
      </c>
    </row>
    <row r="16" spans="1:11" ht="36">
      <c r="A16" s="115"/>
      <c r="B16" s="41" t="s">
        <v>165</v>
      </c>
      <c r="C16" s="45" t="s">
        <v>164</v>
      </c>
      <c r="D16" s="42">
        <v>100</v>
      </c>
      <c r="E16" s="45" t="s">
        <v>323</v>
      </c>
      <c r="F16" s="40">
        <f>100-K16</f>
        <v>99.5</v>
      </c>
      <c r="G16" s="45" t="s">
        <v>323</v>
      </c>
      <c r="H16" s="40">
        <f>F16</f>
        <v>99.5</v>
      </c>
      <c r="I16" s="45" t="s">
        <v>163</v>
      </c>
      <c r="J16" s="40">
        <f>F16</f>
        <v>99.5</v>
      </c>
      <c r="K16" s="39">
        <v>0.5</v>
      </c>
    </row>
    <row r="17" spans="1:11" s="36" customFormat="1" ht="36">
      <c r="A17" s="115"/>
      <c r="B17" s="102" t="s">
        <v>162</v>
      </c>
      <c r="C17" s="102" t="s">
        <v>435</v>
      </c>
      <c r="D17" s="103">
        <v>100</v>
      </c>
      <c r="E17" s="102" t="s">
        <v>161</v>
      </c>
      <c r="F17" s="104">
        <f>100+K17*3</f>
        <v>103</v>
      </c>
      <c r="G17" s="102" t="s">
        <v>161</v>
      </c>
      <c r="H17" s="104">
        <f>F17</f>
        <v>103</v>
      </c>
      <c r="I17" s="102" t="s">
        <v>161</v>
      </c>
      <c r="J17" s="104">
        <f>H17</f>
        <v>103</v>
      </c>
      <c r="K17" s="108">
        <v>1</v>
      </c>
    </row>
    <row r="18" spans="1:11">
      <c r="A18" s="115"/>
      <c r="B18" s="41" t="s">
        <v>332</v>
      </c>
      <c r="C18" s="41" t="s">
        <v>333</v>
      </c>
      <c r="D18" s="75">
        <v>100</v>
      </c>
      <c r="E18" s="41" t="s">
        <v>334</v>
      </c>
      <c r="F18" s="40">
        <f t="shared" ref="F18" si="0">100+K18</f>
        <v>102</v>
      </c>
      <c r="G18" s="41" t="s">
        <v>334</v>
      </c>
      <c r="H18" s="40">
        <f t="shared" ref="H18:H19" si="1">F18</f>
        <v>102</v>
      </c>
      <c r="I18" s="41" t="s">
        <v>334</v>
      </c>
      <c r="J18" s="40">
        <f t="shared" ref="J18:J19" si="2">H18</f>
        <v>102</v>
      </c>
      <c r="K18" s="44">
        <v>2</v>
      </c>
    </row>
    <row r="19" spans="1:11">
      <c r="A19" s="115"/>
      <c r="B19" s="41" t="s">
        <v>335</v>
      </c>
      <c r="C19" s="41" t="s">
        <v>336</v>
      </c>
      <c r="D19" s="75">
        <v>100</v>
      </c>
      <c r="E19" s="41" t="s">
        <v>337</v>
      </c>
      <c r="F19" s="40">
        <f>100+K19*5</f>
        <v>105</v>
      </c>
      <c r="G19" s="41" t="s">
        <v>338</v>
      </c>
      <c r="H19" s="40">
        <f t="shared" si="1"/>
        <v>105</v>
      </c>
      <c r="I19" s="41" t="s">
        <v>337</v>
      </c>
      <c r="J19" s="40">
        <f t="shared" si="2"/>
        <v>105</v>
      </c>
      <c r="K19" s="44">
        <v>1</v>
      </c>
    </row>
    <row r="20" spans="1:11" s="36" customFormat="1">
      <c r="A20" s="115"/>
      <c r="B20" s="102" t="s">
        <v>160</v>
      </c>
      <c r="C20" s="102" t="s">
        <v>324</v>
      </c>
      <c r="D20" s="103">
        <v>100</v>
      </c>
      <c r="E20" s="102" t="s">
        <v>159</v>
      </c>
      <c r="F20" s="104">
        <f>100+$K$20</f>
        <v>101</v>
      </c>
      <c r="G20" s="102" t="s">
        <v>324</v>
      </c>
      <c r="H20" s="106">
        <v>100</v>
      </c>
      <c r="I20" s="102" t="s">
        <v>159</v>
      </c>
      <c r="J20" s="104">
        <f>100+$K$20</f>
        <v>101</v>
      </c>
      <c r="K20" s="107">
        <v>1</v>
      </c>
    </row>
    <row r="21" spans="1:11" ht="24">
      <c r="A21" s="115"/>
      <c r="B21" s="41" t="s">
        <v>158</v>
      </c>
      <c r="C21" s="41" t="s">
        <v>380</v>
      </c>
      <c r="D21" s="42">
        <v>100</v>
      </c>
      <c r="E21" s="41" t="s">
        <v>381</v>
      </c>
      <c r="F21" s="40">
        <f>100+$K$21*2</f>
        <v>101</v>
      </c>
      <c r="G21" s="41" t="s">
        <v>381</v>
      </c>
      <c r="H21" s="40">
        <f>100+$K$21*2</f>
        <v>101</v>
      </c>
      <c r="I21" s="41" t="s">
        <v>381</v>
      </c>
      <c r="J21" s="40">
        <f>100+$K$21*2</f>
        <v>101</v>
      </c>
      <c r="K21" s="39">
        <v>0.5</v>
      </c>
    </row>
    <row r="22" spans="1:11" ht="36">
      <c r="A22" s="115"/>
      <c r="B22" s="41" t="s">
        <v>157</v>
      </c>
      <c r="C22" s="41" t="s">
        <v>156</v>
      </c>
      <c r="D22" s="42">
        <v>100</v>
      </c>
      <c r="E22" s="41" t="s">
        <v>155</v>
      </c>
      <c r="F22" s="40">
        <f>100+K22*2</f>
        <v>105</v>
      </c>
      <c r="G22" s="41" t="str">
        <f>E22</f>
        <v>使用品牌家具、家电；虽然使用较长时间，但功能正常，一般</v>
      </c>
      <c r="H22" s="40">
        <f>100+K22*2</f>
        <v>105</v>
      </c>
      <c r="I22" s="41" t="str">
        <f>G22</f>
        <v>使用品牌家具、家电；虽然使用较长时间，但功能正常，一般</v>
      </c>
      <c r="J22" s="40">
        <f>H22</f>
        <v>105</v>
      </c>
      <c r="K22" s="39">
        <v>2.5</v>
      </c>
    </row>
    <row r="23" spans="1:11">
      <c r="A23" s="117" t="s">
        <v>153</v>
      </c>
      <c r="B23" s="117"/>
      <c r="C23" s="118" t="s">
        <v>151</v>
      </c>
      <c r="D23" s="118"/>
      <c r="E23" s="116">
        <f>E5</f>
        <v>64.95</v>
      </c>
      <c r="F23" s="116"/>
      <c r="G23" s="116">
        <f>G5</f>
        <v>62.03</v>
      </c>
      <c r="H23" s="116"/>
      <c r="I23" s="116">
        <f>I5</f>
        <v>64.59</v>
      </c>
      <c r="J23" s="116"/>
    </row>
    <row r="24" spans="1:11">
      <c r="A24" s="117" t="s">
        <v>152</v>
      </c>
      <c r="B24" s="117"/>
      <c r="C24" s="118" t="s">
        <v>151</v>
      </c>
      <c r="D24" s="118"/>
      <c r="E24" s="119">
        <f>ROUND(E23*POWER(100,COUNT(F6:F22))/PRODUCT(F6:F22),2)</f>
        <v>55.25</v>
      </c>
      <c r="F24" s="119"/>
      <c r="G24" s="119">
        <f>ROUND(G23*POWER(100,COUNT(H6:H22))/PRODUCT(H6:H22),2)</f>
        <v>53.29</v>
      </c>
      <c r="H24" s="119"/>
      <c r="I24" s="119">
        <f>ROUND(I23*POWER(100,COUNT(J6:J22))/PRODUCT(J6:J22),2)</f>
        <v>54.94</v>
      </c>
      <c r="J24" s="119"/>
    </row>
    <row r="25" spans="1:11">
      <c r="A25" s="110" t="str">
        <f>CONCATENATE("估价对象比较价值=(",TEXT(E24,"G/通用格式"),"+",TEXT(G24,"G/通用格式"),"+",TEXT(I24,"G/通用格式"),")","/",3,"=",ROUND((E24+G24+I24)/3,2))</f>
        <v>估价对象比较价值=(55.25+53.29+54.94)/3=54.49</v>
      </c>
      <c r="B25" s="110"/>
      <c r="C25" s="110"/>
      <c r="D25" s="110"/>
      <c r="E25" s="110"/>
      <c r="F25" s="110"/>
      <c r="G25" s="110"/>
      <c r="H25" s="110"/>
      <c r="I25" s="38"/>
      <c r="J25" s="38"/>
    </row>
    <row r="27" spans="1:11">
      <c r="C27" s="34">
        <f>ROUND((E24+G24+I24)/3,2)</f>
        <v>54.49</v>
      </c>
      <c r="E27" s="34">
        <f>ROUND(E24/E23,4)</f>
        <v>0.85070000000000001</v>
      </c>
      <c r="G27" s="34">
        <f>ROUND(G24/G23,4)</f>
        <v>0.85909999999999997</v>
      </c>
      <c r="I27" s="34">
        <f>ROUND(I24/I23,4)</f>
        <v>0.85060000000000002</v>
      </c>
    </row>
    <row r="29" spans="1:11">
      <c r="E29" s="34">
        <f>E23*E27</f>
        <v>55.252965000000003</v>
      </c>
      <c r="G29" s="34">
        <f>G23*G27</f>
        <v>53.289972999999996</v>
      </c>
      <c r="I29" s="37">
        <f>I23*I27</f>
        <v>54.940254000000003</v>
      </c>
    </row>
    <row r="30" spans="1:11">
      <c r="C30" s="36"/>
    </row>
    <row r="31" spans="1:11">
      <c r="C31" s="35"/>
      <c r="E31" s="34">
        <f>F14*F16*F20*F22*F17/100/100/100/100/100</f>
        <v>1.0868534250000002</v>
      </c>
      <c r="G31" s="34">
        <f>H10*H16*H20*H22*H17/100/100/100/100/100</f>
        <v>1.0760924999999999</v>
      </c>
      <c r="I31" s="34">
        <f>J14*J16*J20*J22*J17/100/100/100/100/100</f>
        <v>1.0868534250000002</v>
      </c>
    </row>
    <row r="32" spans="1:11">
      <c r="E32" s="34">
        <f>ROUND(E23/E31,2)</f>
        <v>59.76</v>
      </c>
      <c r="G32" s="34">
        <f>ROUND(G23/G31,2)</f>
        <v>57.64</v>
      </c>
      <c r="I32" s="34">
        <f>ROUND(I23/I31,2)</f>
        <v>59.43</v>
      </c>
    </row>
  </sheetData>
  <mergeCells count="31">
    <mergeCell ref="I3:J3"/>
    <mergeCell ref="A1:H1"/>
    <mergeCell ref="A3:B3"/>
    <mergeCell ref="C3:D3"/>
    <mergeCell ref="E3:F3"/>
    <mergeCell ref="G3:H3"/>
    <mergeCell ref="G4:H4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A6:B6"/>
    <mergeCell ref="A7:B7"/>
    <mergeCell ref="A23:B23"/>
    <mergeCell ref="C23:D23"/>
    <mergeCell ref="E23:F23"/>
    <mergeCell ref="A25:H25"/>
    <mergeCell ref="A8:A12"/>
    <mergeCell ref="A13:A22"/>
    <mergeCell ref="I23:J23"/>
    <mergeCell ref="A24:B24"/>
    <mergeCell ref="C24:D24"/>
    <mergeCell ref="E24:F24"/>
    <mergeCell ref="G24:H24"/>
    <mergeCell ref="I24:J24"/>
    <mergeCell ref="G23:H23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49"/>
  <sheetViews>
    <sheetView topLeftCell="A25" zoomScale="90" zoomScaleNormal="90" zoomScaleSheetLayoutView="100" workbookViewId="0">
      <selection activeCell="L32" sqref="L32"/>
    </sheetView>
  </sheetViews>
  <sheetFormatPr defaultColWidth="9" defaultRowHeight="14.25"/>
  <cols>
    <col min="1" max="2" width="9" style="34"/>
    <col min="3" max="3" width="18.125" style="34" customWidth="1"/>
    <col min="4" max="4" width="4.875" style="34" customWidth="1"/>
    <col min="5" max="5" width="21" style="34" customWidth="1"/>
    <col min="6" max="6" width="5.75" style="34" customWidth="1"/>
    <col min="7" max="7" width="22.875" style="34" customWidth="1"/>
    <col min="8" max="8" width="5.5" style="34" customWidth="1"/>
    <col min="9" max="9" width="23" style="34" customWidth="1"/>
    <col min="10" max="10" width="5.5" style="34" customWidth="1"/>
    <col min="11" max="11" width="21.375" style="34" customWidth="1"/>
    <col min="12" max="12" width="6.5" style="34" customWidth="1"/>
    <col min="13" max="13" width="15.75" style="34" customWidth="1"/>
    <col min="14" max="14" width="6.25" style="34" customWidth="1"/>
    <col min="15" max="15" width="17.75" style="34" customWidth="1"/>
    <col min="16" max="16" width="6.875" style="34" customWidth="1"/>
    <col min="17" max="17" width="18.25" style="34" customWidth="1"/>
    <col min="18" max="18" width="6.625" style="34" customWidth="1"/>
    <col min="19" max="19" width="20" style="34" customWidth="1"/>
    <col min="20" max="20" width="5.875" style="34" customWidth="1"/>
    <col min="21" max="21" width="12" style="34" hidden="1" customWidth="1"/>
    <col min="22" max="22" width="9" style="34" hidden="1" customWidth="1"/>
    <col min="23" max="25" width="9" style="34"/>
    <col min="26" max="26" width="9.75" style="34" bestFit="1" customWidth="1"/>
    <col min="27" max="27" width="9" style="34"/>
    <col min="28" max="28" width="13" style="34" customWidth="1"/>
    <col min="29" max="29" width="11" style="34" customWidth="1"/>
    <col min="30" max="31" width="9" style="34"/>
    <col min="32" max="32" width="12.25" style="34" bestFit="1" customWidth="1"/>
    <col min="33" max="16384" width="9" style="34"/>
  </cols>
  <sheetData>
    <row r="1" spans="1:26">
      <c r="A1" s="126" t="s">
        <v>193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26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6">
      <c r="A3" s="122" t="s">
        <v>192</v>
      </c>
      <c r="B3" s="121"/>
      <c r="C3" s="118" t="s">
        <v>191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 t="s">
        <v>354</v>
      </c>
      <c r="V3" s="118"/>
    </row>
    <row r="4" spans="1:26">
      <c r="A4" s="118" t="s">
        <v>187</v>
      </c>
      <c r="B4" s="118"/>
      <c r="C4" s="125" t="str">
        <f>标准房测算表!C4</f>
        <v>朝新嘉园</v>
      </c>
      <c r="D4" s="121"/>
      <c r="E4" s="127" t="str">
        <f>小区明细!B3</f>
        <v>驹子房</v>
      </c>
      <c r="F4" s="121"/>
      <c r="G4" s="127" t="str">
        <f>小区明细!B4</f>
        <v>东湾家园</v>
      </c>
      <c r="H4" s="121"/>
      <c r="I4" s="127" t="str">
        <f>小区明细!B5</f>
        <v>首开畅颐园</v>
      </c>
      <c r="J4" s="121"/>
      <c r="K4" s="127" t="str">
        <f>小区明细!B6</f>
        <v>恒大江湾</v>
      </c>
      <c r="L4" s="121"/>
      <c r="M4" s="127" t="str">
        <f>小区明细!B7</f>
        <v>首城东郡汇</v>
      </c>
      <c r="N4" s="121"/>
      <c r="O4" s="127" t="str">
        <f>小区明细!B8</f>
        <v>福润四季</v>
      </c>
      <c r="P4" s="121"/>
      <c r="Q4" s="127" t="str">
        <f>小区明细!B9</f>
        <v>悦和园</v>
      </c>
      <c r="R4" s="121"/>
      <c r="S4" s="127" t="str">
        <f>小区明细!B10</f>
        <v>景和园</v>
      </c>
      <c r="T4" s="121"/>
      <c r="U4" s="122" t="str">
        <f>[1]清林苑数据!C2</f>
        <v>清林苑</v>
      </c>
      <c r="V4" s="121"/>
    </row>
    <row r="5" spans="1:26" ht="30" customHeight="1">
      <c r="A5" s="118" t="s">
        <v>186</v>
      </c>
      <c r="B5" s="118"/>
      <c r="C5" s="127" t="s">
        <v>353</v>
      </c>
      <c r="D5" s="121"/>
      <c r="E5" s="123">
        <f>标准房测算表!$C$27</f>
        <v>54.49</v>
      </c>
      <c r="F5" s="124"/>
      <c r="G5" s="123">
        <f>标准房测算表!$C$27</f>
        <v>54.49</v>
      </c>
      <c r="H5" s="124"/>
      <c r="I5" s="123">
        <f>标准房测算表!$C$27</f>
        <v>54.49</v>
      </c>
      <c r="J5" s="124"/>
      <c r="K5" s="123">
        <f>标准房测算表!$C$27</f>
        <v>54.49</v>
      </c>
      <c r="L5" s="124"/>
      <c r="M5" s="123">
        <f>标准房测算表!$C$27</f>
        <v>54.49</v>
      </c>
      <c r="N5" s="124"/>
      <c r="O5" s="123">
        <f>标准房测算表!$C$27</f>
        <v>54.49</v>
      </c>
      <c r="P5" s="124"/>
      <c r="Q5" s="123">
        <f>标准房测算表!$C$27</f>
        <v>54.49</v>
      </c>
      <c r="R5" s="124"/>
      <c r="S5" s="123">
        <f>标准房测算表!$C$27</f>
        <v>54.49</v>
      </c>
      <c r="T5" s="124"/>
      <c r="U5" s="122">
        <f>[1]清林苑数据!I6</f>
        <v>86.965939736464648</v>
      </c>
      <c r="V5" s="121"/>
      <c r="Z5" s="34">
        <f>26.66*0.8*1.05*1.015</f>
        <v>22.730316000000002</v>
      </c>
    </row>
    <row r="6" spans="1:26" ht="24.75">
      <c r="A6" s="118" t="s">
        <v>184</v>
      </c>
      <c r="B6" s="118"/>
      <c r="C6" s="49" t="s">
        <v>183</v>
      </c>
      <c r="D6" s="48">
        <v>100</v>
      </c>
      <c r="E6" s="49" t="s">
        <v>183</v>
      </c>
      <c r="F6" s="48">
        <v>100</v>
      </c>
      <c r="G6" s="49" t="s">
        <v>183</v>
      </c>
      <c r="H6" s="48">
        <v>100</v>
      </c>
      <c r="I6" s="49" t="s">
        <v>183</v>
      </c>
      <c r="J6" s="48">
        <v>100</v>
      </c>
      <c r="K6" s="49" t="s">
        <v>183</v>
      </c>
      <c r="L6" s="48">
        <v>100</v>
      </c>
      <c r="M6" s="49" t="s">
        <v>183</v>
      </c>
      <c r="N6" s="48">
        <v>100</v>
      </c>
      <c r="O6" s="49" t="s">
        <v>183</v>
      </c>
      <c r="P6" s="48">
        <v>100</v>
      </c>
      <c r="Q6" s="49" t="s">
        <v>183</v>
      </c>
      <c r="R6" s="48">
        <v>100</v>
      </c>
      <c r="S6" s="49" t="s">
        <v>183</v>
      </c>
      <c r="T6" s="48">
        <v>100</v>
      </c>
      <c r="U6" s="49" t="s">
        <v>183</v>
      </c>
      <c r="V6" s="48">
        <v>100</v>
      </c>
    </row>
    <row r="7" spans="1:26">
      <c r="A7" s="118" t="s">
        <v>182</v>
      </c>
      <c r="B7" s="118"/>
      <c r="C7" s="75" t="s">
        <v>181</v>
      </c>
      <c r="D7" s="75">
        <v>100</v>
      </c>
      <c r="E7" s="75" t="s">
        <v>181</v>
      </c>
      <c r="F7" s="75">
        <v>100</v>
      </c>
      <c r="G7" s="75" t="s">
        <v>181</v>
      </c>
      <c r="H7" s="75">
        <v>100</v>
      </c>
      <c r="I7" s="75" t="s">
        <v>181</v>
      </c>
      <c r="J7" s="75">
        <v>100</v>
      </c>
      <c r="K7" s="75" t="s">
        <v>181</v>
      </c>
      <c r="L7" s="75">
        <v>100</v>
      </c>
      <c r="M7" s="75" t="s">
        <v>181</v>
      </c>
      <c r="N7" s="75">
        <v>100</v>
      </c>
      <c r="O7" s="75" t="s">
        <v>181</v>
      </c>
      <c r="P7" s="75">
        <f>IF(O7=C7,100,"请调整")</f>
        <v>100</v>
      </c>
      <c r="Q7" s="75" t="s">
        <v>181</v>
      </c>
      <c r="R7" s="75">
        <f>IF(Q7=C7,100,"请调整")</f>
        <v>100</v>
      </c>
      <c r="S7" s="75" t="s">
        <v>181</v>
      </c>
      <c r="T7" s="75">
        <f>IF(S7=O7,100,"请调整")</f>
        <v>100</v>
      </c>
      <c r="U7" s="75" t="s">
        <v>181</v>
      </c>
      <c r="V7" s="75">
        <f>IF(U7=O7,100,"请调整")</f>
        <v>100</v>
      </c>
    </row>
    <row r="8" spans="1:26" ht="95.25">
      <c r="A8" s="111" t="s">
        <v>180</v>
      </c>
      <c r="B8" s="41" t="s">
        <v>179</v>
      </c>
      <c r="C8" s="41" t="s">
        <v>329</v>
      </c>
      <c r="D8" s="75">
        <v>100</v>
      </c>
      <c r="E8" s="41" t="s">
        <v>355</v>
      </c>
      <c r="F8" s="75">
        <v>100</v>
      </c>
      <c r="G8" s="41" t="s">
        <v>325</v>
      </c>
      <c r="H8" s="75">
        <v>100</v>
      </c>
      <c r="I8" s="41" t="s">
        <v>320</v>
      </c>
      <c r="J8" s="75">
        <v>100</v>
      </c>
      <c r="K8" s="41" t="s">
        <v>320</v>
      </c>
      <c r="L8" s="75">
        <v>100</v>
      </c>
      <c r="M8" s="41" t="s">
        <v>320</v>
      </c>
      <c r="N8" s="75">
        <v>100</v>
      </c>
      <c r="O8" s="41" t="s">
        <v>363</v>
      </c>
      <c r="P8" s="75">
        <f>N8</f>
        <v>100</v>
      </c>
      <c r="Q8" s="41" t="s">
        <v>371</v>
      </c>
      <c r="R8" s="75">
        <v>100</v>
      </c>
      <c r="S8" s="41" t="s">
        <v>373</v>
      </c>
      <c r="T8" s="75">
        <f>N8</f>
        <v>100</v>
      </c>
      <c r="U8" s="75"/>
      <c r="V8" s="75"/>
      <c r="W8" s="43">
        <v>3</v>
      </c>
    </row>
    <row r="9" spans="1:26" ht="156">
      <c r="A9" s="112"/>
      <c r="B9" s="41" t="s">
        <v>178</v>
      </c>
      <c r="C9" s="41" t="s">
        <v>330</v>
      </c>
      <c r="D9" s="75">
        <v>100</v>
      </c>
      <c r="E9" s="41" t="s">
        <v>356</v>
      </c>
      <c r="F9" s="75">
        <v>100</v>
      </c>
      <c r="G9" s="41" t="s">
        <v>327</v>
      </c>
      <c r="H9" s="75">
        <v>100</v>
      </c>
      <c r="I9" s="41" t="s">
        <v>243</v>
      </c>
      <c r="J9" s="75">
        <v>100</v>
      </c>
      <c r="K9" s="41" t="s">
        <v>243</v>
      </c>
      <c r="L9" s="75">
        <v>100</v>
      </c>
      <c r="M9" s="41" t="s">
        <v>243</v>
      </c>
      <c r="N9" s="75">
        <v>100</v>
      </c>
      <c r="O9" s="41" t="s">
        <v>364</v>
      </c>
      <c r="P9" s="75">
        <v>100</v>
      </c>
      <c r="Q9" s="41" t="s">
        <v>372</v>
      </c>
      <c r="R9" s="82">
        <v>100</v>
      </c>
      <c r="S9" s="41" t="s">
        <v>374</v>
      </c>
      <c r="T9" s="82">
        <v>100</v>
      </c>
      <c r="U9" s="41" t="s">
        <v>352</v>
      </c>
      <c r="V9" s="75">
        <v>100</v>
      </c>
      <c r="W9" s="43">
        <v>3</v>
      </c>
    </row>
    <row r="10" spans="1:26" ht="60">
      <c r="A10" s="112"/>
      <c r="B10" s="41" t="s">
        <v>177</v>
      </c>
      <c r="C10" s="41" t="s">
        <v>244</v>
      </c>
      <c r="D10" s="75">
        <v>100</v>
      </c>
      <c r="E10" s="41" t="s">
        <v>244</v>
      </c>
      <c r="F10" s="75">
        <v>100</v>
      </c>
      <c r="G10" s="41" t="s">
        <v>244</v>
      </c>
      <c r="H10" s="75">
        <v>100</v>
      </c>
      <c r="I10" s="41" t="s">
        <v>244</v>
      </c>
      <c r="J10" s="75">
        <v>100</v>
      </c>
      <c r="K10" s="41" t="s">
        <v>244</v>
      </c>
      <c r="L10" s="75">
        <v>100</v>
      </c>
      <c r="M10" s="41" t="s">
        <v>244</v>
      </c>
      <c r="N10" s="75">
        <v>100</v>
      </c>
      <c r="O10" s="41" t="s">
        <v>244</v>
      </c>
      <c r="P10" s="75">
        <f>N10</f>
        <v>100</v>
      </c>
      <c r="Q10" s="41" t="s">
        <v>244</v>
      </c>
      <c r="R10" s="82">
        <f>P10</f>
        <v>100</v>
      </c>
      <c r="S10" s="41" t="s">
        <v>244</v>
      </c>
      <c r="T10" s="82">
        <f>R10</f>
        <v>100</v>
      </c>
      <c r="U10" s="41" t="s">
        <v>351</v>
      </c>
      <c r="V10" s="75">
        <v>100</v>
      </c>
      <c r="W10" s="43">
        <v>5</v>
      </c>
    </row>
    <row r="11" spans="1:26" ht="60">
      <c r="A11" s="112"/>
      <c r="B11" s="41" t="s">
        <v>176</v>
      </c>
      <c r="C11" s="41" t="s">
        <v>321</v>
      </c>
      <c r="D11" s="75">
        <v>100</v>
      </c>
      <c r="E11" s="41" t="s">
        <v>321</v>
      </c>
      <c r="F11" s="75">
        <v>100</v>
      </c>
      <c r="G11" s="41" t="s">
        <v>321</v>
      </c>
      <c r="H11" s="75">
        <v>100</v>
      </c>
      <c r="I11" s="41" t="s">
        <v>245</v>
      </c>
      <c r="J11" s="75">
        <v>100</v>
      </c>
      <c r="K11" s="41" t="s">
        <v>245</v>
      </c>
      <c r="L11" s="75">
        <v>100</v>
      </c>
      <c r="M11" s="41" t="s">
        <v>245</v>
      </c>
      <c r="N11" s="75">
        <v>100</v>
      </c>
      <c r="O11" s="41" t="s">
        <v>321</v>
      </c>
      <c r="P11" s="75">
        <v>100</v>
      </c>
      <c r="Q11" s="41" t="s">
        <v>245</v>
      </c>
      <c r="R11" s="75">
        <v>100</v>
      </c>
      <c r="S11" s="41" t="s">
        <v>321</v>
      </c>
      <c r="T11" s="75">
        <v>100</v>
      </c>
      <c r="U11" s="41" t="s">
        <v>351</v>
      </c>
      <c r="V11" s="75">
        <v>100</v>
      </c>
      <c r="W11" s="47">
        <v>3</v>
      </c>
    </row>
    <row r="12" spans="1:26" ht="60">
      <c r="A12" s="113"/>
      <c r="B12" s="41" t="s">
        <v>175</v>
      </c>
      <c r="C12" s="75" t="s">
        <v>174</v>
      </c>
      <c r="D12" s="75">
        <v>100</v>
      </c>
      <c r="E12" s="75" t="s">
        <v>174</v>
      </c>
      <c r="F12" s="75">
        <v>100</v>
      </c>
      <c r="G12" s="75" t="s">
        <v>174</v>
      </c>
      <c r="H12" s="75">
        <v>100</v>
      </c>
      <c r="I12" s="75" t="s">
        <v>174</v>
      </c>
      <c r="J12" s="75">
        <v>100</v>
      </c>
      <c r="K12" s="75" t="s">
        <v>174</v>
      </c>
      <c r="L12" s="75">
        <v>100</v>
      </c>
      <c r="M12" s="75" t="s">
        <v>174</v>
      </c>
      <c r="N12" s="75">
        <v>100</v>
      </c>
      <c r="O12" s="75" t="s">
        <v>174</v>
      </c>
      <c r="P12" s="75">
        <v>100</v>
      </c>
      <c r="Q12" s="75" t="s">
        <v>174</v>
      </c>
      <c r="R12" s="82">
        <v>100</v>
      </c>
      <c r="S12" s="75" t="s">
        <v>174</v>
      </c>
      <c r="T12" s="82">
        <v>100</v>
      </c>
      <c r="U12" s="41" t="s">
        <v>350</v>
      </c>
      <c r="V12" s="75">
        <v>100</v>
      </c>
      <c r="W12" s="43">
        <v>5</v>
      </c>
    </row>
    <row r="13" spans="1:26" ht="24">
      <c r="A13" s="114" t="s">
        <v>173</v>
      </c>
      <c r="B13" s="41" t="s">
        <v>172</v>
      </c>
      <c r="C13" s="75" t="s">
        <v>171</v>
      </c>
      <c r="D13" s="75">
        <v>100</v>
      </c>
      <c r="E13" s="41" t="s">
        <v>339</v>
      </c>
      <c r="F13" s="75">
        <v>100</v>
      </c>
      <c r="G13" s="41" t="s">
        <v>339</v>
      </c>
      <c r="H13" s="75">
        <v>100</v>
      </c>
      <c r="I13" s="41" t="s">
        <v>339</v>
      </c>
      <c r="J13" s="75">
        <v>100</v>
      </c>
      <c r="K13" s="41" t="s">
        <v>339</v>
      </c>
      <c r="L13" s="75">
        <v>100</v>
      </c>
      <c r="M13" s="41" t="s">
        <v>339</v>
      </c>
      <c r="N13" s="75">
        <v>100</v>
      </c>
      <c r="O13" s="41" t="s">
        <v>339</v>
      </c>
      <c r="P13" s="75">
        <v>100</v>
      </c>
      <c r="Q13" s="41" t="s">
        <v>339</v>
      </c>
      <c r="R13" s="75">
        <v>100</v>
      </c>
      <c r="S13" s="75" t="s">
        <v>171</v>
      </c>
      <c r="T13" s="75">
        <v>100</v>
      </c>
      <c r="U13" s="41" t="s">
        <v>349</v>
      </c>
      <c r="V13" s="75">
        <v>100</v>
      </c>
      <c r="W13" s="39">
        <v>1</v>
      </c>
    </row>
    <row r="14" spans="1:26">
      <c r="A14" s="115"/>
      <c r="B14" s="41" t="s">
        <v>348</v>
      </c>
      <c r="C14" s="41" t="s">
        <v>333</v>
      </c>
      <c r="D14" s="75">
        <v>100</v>
      </c>
      <c r="E14" s="41" t="s">
        <v>357</v>
      </c>
      <c r="F14" s="40">
        <f>100+W14</f>
        <v>102</v>
      </c>
      <c r="G14" s="41" t="s">
        <v>357</v>
      </c>
      <c r="H14" s="40">
        <f>100+W14</f>
        <v>102</v>
      </c>
      <c r="I14" s="41" t="s">
        <v>357</v>
      </c>
      <c r="J14" s="40">
        <f>100+W14</f>
        <v>102</v>
      </c>
      <c r="K14" s="41" t="s">
        <v>357</v>
      </c>
      <c r="L14" s="40">
        <f>100+W14</f>
        <v>102</v>
      </c>
      <c r="M14" s="41" t="s">
        <v>357</v>
      </c>
      <c r="N14" s="40">
        <f>100+W14</f>
        <v>102</v>
      </c>
      <c r="O14" s="41" t="s">
        <v>357</v>
      </c>
      <c r="P14" s="40">
        <f>100+W14</f>
        <v>102</v>
      </c>
      <c r="Q14" s="41" t="s">
        <v>357</v>
      </c>
      <c r="R14" s="40">
        <f>100+W14</f>
        <v>102</v>
      </c>
      <c r="S14" s="41" t="s">
        <v>357</v>
      </c>
      <c r="T14" s="40">
        <f>100+W14</f>
        <v>102</v>
      </c>
      <c r="U14" s="41"/>
      <c r="V14" s="75"/>
      <c r="W14" s="39">
        <v>2</v>
      </c>
    </row>
    <row r="15" spans="1:26">
      <c r="A15" s="115"/>
      <c r="B15" s="41" t="s">
        <v>335</v>
      </c>
      <c r="C15" s="41" t="s">
        <v>336</v>
      </c>
      <c r="D15" s="75">
        <v>100</v>
      </c>
      <c r="E15" s="41" t="s">
        <v>365</v>
      </c>
      <c r="F15" s="40">
        <f>100+W15*3</f>
        <v>103</v>
      </c>
      <c r="G15" s="41" t="s">
        <v>366</v>
      </c>
      <c r="H15" s="40">
        <f>100+W15*4</f>
        <v>104</v>
      </c>
      <c r="I15" s="41" t="s">
        <v>367</v>
      </c>
      <c r="J15" s="40">
        <f>100+W15*4</f>
        <v>104</v>
      </c>
      <c r="K15" s="41" t="s">
        <v>368</v>
      </c>
      <c r="L15" s="40">
        <f>100+W15*4</f>
        <v>104</v>
      </c>
      <c r="M15" s="41" t="s">
        <v>375</v>
      </c>
      <c r="N15" s="40">
        <f>100+W15*4</f>
        <v>104</v>
      </c>
      <c r="O15" s="41" t="s">
        <v>337</v>
      </c>
      <c r="P15" s="40">
        <f>100+W15*5</f>
        <v>105</v>
      </c>
      <c r="Q15" s="41" t="s">
        <v>369</v>
      </c>
      <c r="R15" s="40">
        <f>100+W15*4</f>
        <v>104</v>
      </c>
      <c r="S15" s="41" t="s">
        <v>370</v>
      </c>
      <c r="T15" s="40">
        <f>100+W15*5</f>
        <v>105</v>
      </c>
      <c r="U15" s="41"/>
      <c r="V15" s="75"/>
      <c r="W15" s="43">
        <v>1</v>
      </c>
      <c r="X15" s="34" t="s">
        <v>378</v>
      </c>
    </row>
    <row r="16" spans="1:26">
      <c r="A16" s="115"/>
      <c r="B16" s="41" t="s">
        <v>382</v>
      </c>
      <c r="C16" s="41" t="s">
        <v>383</v>
      </c>
      <c r="D16" s="82">
        <v>100</v>
      </c>
      <c r="E16" s="41" t="s">
        <v>384</v>
      </c>
      <c r="F16" s="40">
        <f>100-W16</f>
        <v>98.5</v>
      </c>
      <c r="G16" s="41" t="s">
        <v>385</v>
      </c>
      <c r="H16" s="40">
        <f>100+W16*2</f>
        <v>103</v>
      </c>
      <c r="I16" s="41" t="s">
        <v>386</v>
      </c>
      <c r="J16" s="40">
        <f>100+W16*2</f>
        <v>103</v>
      </c>
      <c r="K16" s="41" t="s">
        <v>387</v>
      </c>
      <c r="L16" s="40">
        <f>100+W16*2</f>
        <v>103</v>
      </c>
      <c r="M16" s="41" t="s">
        <v>387</v>
      </c>
      <c r="N16" s="40">
        <f>100+W16*2</f>
        <v>103</v>
      </c>
      <c r="O16" s="41" t="s">
        <v>386</v>
      </c>
      <c r="P16" s="40">
        <f>100+W16*2</f>
        <v>103</v>
      </c>
      <c r="Q16" s="41" t="s">
        <v>383</v>
      </c>
      <c r="R16" s="40">
        <f>100+W16</f>
        <v>101.5</v>
      </c>
      <c r="S16" s="41" t="s">
        <v>383</v>
      </c>
      <c r="T16" s="40">
        <f>100+W16</f>
        <v>101.5</v>
      </c>
      <c r="U16" s="41"/>
      <c r="V16" s="82"/>
      <c r="W16" s="43">
        <v>1.5</v>
      </c>
    </row>
    <row r="17" spans="1:23" ht="48">
      <c r="A17" s="115"/>
      <c r="B17" s="41" t="s">
        <v>170</v>
      </c>
      <c r="C17" s="75" t="s">
        <v>169</v>
      </c>
      <c r="D17" s="75">
        <v>100</v>
      </c>
      <c r="E17" s="41" t="s">
        <v>347</v>
      </c>
      <c r="F17" s="82">
        <v>100</v>
      </c>
      <c r="G17" s="41" t="s">
        <v>347</v>
      </c>
      <c r="H17" s="75">
        <v>100</v>
      </c>
      <c r="I17" s="41" t="s">
        <v>347</v>
      </c>
      <c r="J17" s="75">
        <v>100</v>
      </c>
      <c r="K17" s="41" t="s">
        <v>388</v>
      </c>
      <c r="L17" s="40">
        <f>100+W17</f>
        <v>105</v>
      </c>
      <c r="M17" s="41" t="s">
        <v>347</v>
      </c>
      <c r="N17" s="75">
        <v>100</v>
      </c>
      <c r="O17" s="41" t="s">
        <v>347</v>
      </c>
      <c r="P17" s="75">
        <f>[2]远山嘉园!H14</f>
        <v>100</v>
      </c>
      <c r="Q17" s="41" t="s">
        <v>347</v>
      </c>
      <c r="R17" s="75">
        <v>100</v>
      </c>
      <c r="S17" s="75" t="s">
        <v>169</v>
      </c>
      <c r="T17" s="75">
        <f>P17</f>
        <v>100</v>
      </c>
      <c r="U17" s="41" t="s">
        <v>346</v>
      </c>
      <c r="V17" s="75">
        <v>98</v>
      </c>
      <c r="W17" s="39">
        <v>5</v>
      </c>
    </row>
    <row r="18" spans="1:23" ht="48">
      <c r="A18" s="115"/>
      <c r="B18" s="75" t="s">
        <v>167</v>
      </c>
      <c r="C18" s="75" t="s">
        <v>166</v>
      </c>
      <c r="D18" s="75">
        <v>100</v>
      </c>
      <c r="E18" s="41" t="s">
        <v>344</v>
      </c>
      <c r="F18" s="82">
        <v>100</v>
      </c>
      <c r="G18" s="41" t="s">
        <v>344</v>
      </c>
      <c r="H18" s="75">
        <v>100</v>
      </c>
      <c r="I18" s="41" t="s">
        <v>344</v>
      </c>
      <c r="J18" s="75">
        <v>100</v>
      </c>
      <c r="K18" s="41" t="s">
        <v>344</v>
      </c>
      <c r="L18" s="75">
        <v>100</v>
      </c>
      <c r="M18" s="41" t="s">
        <v>344</v>
      </c>
      <c r="N18" s="75">
        <v>100</v>
      </c>
      <c r="O18" s="41" t="s">
        <v>345</v>
      </c>
      <c r="P18" s="75">
        <v>100</v>
      </c>
      <c r="Q18" s="41" t="s">
        <v>344</v>
      </c>
      <c r="R18" s="75">
        <v>100</v>
      </c>
      <c r="S18" s="75" t="s">
        <v>166</v>
      </c>
      <c r="T18" s="75">
        <v>100</v>
      </c>
      <c r="U18" s="41" t="s">
        <v>161</v>
      </c>
      <c r="V18" s="75">
        <v>100</v>
      </c>
      <c r="W18" s="39">
        <v>1</v>
      </c>
    </row>
    <row r="19" spans="1:23" ht="60">
      <c r="A19" s="115"/>
      <c r="B19" s="41" t="s">
        <v>165</v>
      </c>
      <c r="C19" s="45" t="s">
        <v>164</v>
      </c>
      <c r="D19" s="75">
        <v>100</v>
      </c>
      <c r="E19" s="45" t="s">
        <v>164</v>
      </c>
      <c r="F19" s="75">
        <v>100</v>
      </c>
      <c r="G19" s="41" t="s">
        <v>164</v>
      </c>
      <c r="H19" s="75">
        <v>100</v>
      </c>
      <c r="I19" s="41" t="s">
        <v>164</v>
      </c>
      <c r="J19" s="75">
        <v>100</v>
      </c>
      <c r="K19" s="45" t="s">
        <v>323</v>
      </c>
      <c r="L19" s="40">
        <f>100-W19</f>
        <v>99.5</v>
      </c>
      <c r="M19" s="45" t="s">
        <v>323</v>
      </c>
      <c r="N19" s="40">
        <f>100-W19</f>
        <v>99.5</v>
      </c>
      <c r="O19" s="45" t="s">
        <v>323</v>
      </c>
      <c r="P19" s="40">
        <f>100-W19</f>
        <v>99.5</v>
      </c>
      <c r="Q19" s="45" t="s">
        <v>323</v>
      </c>
      <c r="R19" s="40">
        <f>100-W19</f>
        <v>99.5</v>
      </c>
      <c r="S19" s="45" t="s">
        <v>323</v>
      </c>
      <c r="T19" s="40">
        <f>100-W19</f>
        <v>99.5</v>
      </c>
      <c r="U19" s="41" t="s">
        <v>154</v>
      </c>
      <c r="V19" s="75">
        <v>99</v>
      </c>
      <c r="W19" s="43">
        <v>0.5</v>
      </c>
    </row>
    <row r="20" spans="1:23" s="36" customFormat="1" ht="36">
      <c r="A20" s="115"/>
      <c r="B20" s="102" t="s">
        <v>343</v>
      </c>
      <c r="C20" s="102" t="s">
        <v>436</v>
      </c>
      <c r="D20" s="103">
        <v>100</v>
      </c>
      <c r="E20" s="102" t="s">
        <v>358</v>
      </c>
      <c r="F20" s="104">
        <f>100+W20*3</f>
        <v>103</v>
      </c>
      <c r="G20" s="102" t="s">
        <v>361</v>
      </c>
      <c r="H20" s="104">
        <f>F20</f>
        <v>103</v>
      </c>
      <c r="I20" s="102" t="s">
        <v>433</v>
      </c>
      <c r="J20" s="103">
        <v>100</v>
      </c>
      <c r="K20" s="102" t="s">
        <v>433</v>
      </c>
      <c r="L20" s="103">
        <v>100</v>
      </c>
      <c r="M20" s="102" t="s">
        <v>362</v>
      </c>
      <c r="N20" s="104">
        <f>100+$W$20*4</f>
        <v>104</v>
      </c>
      <c r="O20" s="102" t="s">
        <v>358</v>
      </c>
      <c r="P20" s="104">
        <f>F20</f>
        <v>103</v>
      </c>
      <c r="Q20" s="102" t="s">
        <v>358</v>
      </c>
      <c r="R20" s="104">
        <f>F20</f>
        <v>103</v>
      </c>
      <c r="S20" s="102" t="s">
        <v>362</v>
      </c>
      <c r="T20" s="104">
        <f>N20</f>
        <v>104</v>
      </c>
      <c r="U20" s="102"/>
      <c r="V20" s="103"/>
      <c r="W20" s="108">
        <v>1</v>
      </c>
    </row>
    <row r="21" spans="1:23" s="36" customFormat="1">
      <c r="A21" s="115"/>
      <c r="B21" s="102" t="s">
        <v>160</v>
      </c>
      <c r="C21" s="102" t="s">
        <v>324</v>
      </c>
      <c r="D21" s="103">
        <v>100</v>
      </c>
      <c r="E21" s="102" t="s">
        <v>331</v>
      </c>
      <c r="F21" s="104">
        <f>100-W21</f>
        <v>99</v>
      </c>
      <c r="G21" s="102" t="s">
        <v>324</v>
      </c>
      <c r="H21" s="103">
        <f>100</f>
        <v>100</v>
      </c>
      <c r="I21" s="102" t="s">
        <v>324</v>
      </c>
      <c r="J21" s="103">
        <f>100</f>
        <v>100</v>
      </c>
      <c r="K21" s="102" t="s">
        <v>331</v>
      </c>
      <c r="L21" s="104">
        <f>100-W21</f>
        <v>99</v>
      </c>
      <c r="M21" s="102" t="s">
        <v>342</v>
      </c>
      <c r="N21" s="104">
        <f>100+W21</f>
        <v>101</v>
      </c>
      <c r="O21" s="102" t="s">
        <v>159</v>
      </c>
      <c r="P21" s="104">
        <f>100+W21</f>
        <v>101</v>
      </c>
      <c r="Q21" s="102" t="s">
        <v>341</v>
      </c>
      <c r="R21" s="103">
        <v>100</v>
      </c>
      <c r="S21" s="102" t="s">
        <v>159</v>
      </c>
      <c r="T21" s="104">
        <f>100+W21</f>
        <v>101</v>
      </c>
      <c r="U21" s="102"/>
      <c r="V21" s="103"/>
      <c r="W21" s="105">
        <v>1</v>
      </c>
    </row>
    <row r="22" spans="1:23">
      <c r="A22" s="115"/>
      <c r="B22" s="41" t="s">
        <v>389</v>
      </c>
      <c r="C22" s="41" t="s">
        <v>390</v>
      </c>
      <c r="D22" s="82">
        <v>100</v>
      </c>
      <c r="E22" s="41" t="s">
        <v>390</v>
      </c>
      <c r="F22" s="82">
        <v>100</v>
      </c>
      <c r="G22" s="41" t="s">
        <v>391</v>
      </c>
      <c r="H22" s="40">
        <f>100-W22*2</f>
        <v>98</v>
      </c>
      <c r="I22" s="41" t="s">
        <v>391</v>
      </c>
      <c r="J22" s="40">
        <f>100-W22*2</f>
        <v>98</v>
      </c>
      <c r="K22" s="41" t="s">
        <v>392</v>
      </c>
      <c r="L22" s="40">
        <f>100-W22</f>
        <v>99</v>
      </c>
      <c r="M22" s="41" t="s">
        <v>391</v>
      </c>
      <c r="N22" s="40">
        <f>100-W22*2</f>
        <v>98</v>
      </c>
      <c r="O22" s="41" t="s">
        <v>391</v>
      </c>
      <c r="P22" s="40">
        <f>100-W22*2</f>
        <v>98</v>
      </c>
      <c r="Q22" s="41" t="s">
        <v>391</v>
      </c>
      <c r="R22" s="40">
        <f>100-W22*2</f>
        <v>98</v>
      </c>
      <c r="S22" s="41" t="s">
        <v>391</v>
      </c>
      <c r="T22" s="40">
        <f>100-W22*2</f>
        <v>98</v>
      </c>
      <c r="U22" s="41"/>
      <c r="V22" s="82"/>
      <c r="W22" s="80">
        <v>1</v>
      </c>
    </row>
    <row r="23" spans="1:23" ht="60">
      <c r="A23" s="115"/>
      <c r="B23" s="41" t="s">
        <v>158</v>
      </c>
      <c r="C23" s="41" t="s">
        <v>379</v>
      </c>
      <c r="D23" s="75">
        <v>100</v>
      </c>
      <c r="E23" s="41" t="s">
        <v>359</v>
      </c>
      <c r="F23" s="40">
        <f t="shared" ref="F23:F24" si="0">100+W23</f>
        <v>100.5</v>
      </c>
      <c r="G23" s="41" t="s">
        <v>359</v>
      </c>
      <c r="H23" s="40">
        <f>100+W23</f>
        <v>100.5</v>
      </c>
      <c r="I23" s="41" t="s">
        <v>359</v>
      </c>
      <c r="J23" s="40">
        <f>100+W23</f>
        <v>100.5</v>
      </c>
      <c r="K23" s="41" t="s">
        <v>359</v>
      </c>
      <c r="L23" s="40">
        <f>100+W23</f>
        <v>100.5</v>
      </c>
      <c r="M23" s="41" t="s">
        <v>359</v>
      </c>
      <c r="N23" s="40">
        <f>100+W23</f>
        <v>100.5</v>
      </c>
      <c r="O23" s="41" t="s">
        <v>359</v>
      </c>
      <c r="P23" s="40">
        <f>100+W23</f>
        <v>100.5</v>
      </c>
      <c r="Q23" s="41" t="s">
        <v>359</v>
      </c>
      <c r="R23" s="40">
        <f>100+W23</f>
        <v>100.5</v>
      </c>
      <c r="S23" s="41" t="s">
        <v>359</v>
      </c>
      <c r="T23" s="40">
        <f>100+W23</f>
        <v>100.5</v>
      </c>
      <c r="U23" s="41" t="s">
        <v>340</v>
      </c>
      <c r="V23" s="75">
        <v>100</v>
      </c>
      <c r="W23" s="80">
        <v>0.5</v>
      </c>
    </row>
    <row r="24" spans="1:23" ht="36">
      <c r="A24" s="115"/>
      <c r="B24" s="41" t="s">
        <v>157</v>
      </c>
      <c r="C24" s="41" t="s">
        <v>156</v>
      </c>
      <c r="D24" s="75">
        <v>100</v>
      </c>
      <c r="E24" s="41" t="s">
        <v>360</v>
      </c>
      <c r="F24" s="40">
        <f t="shared" si="0"/>
        <v>102.5</v>
      </c>
      <c r="G24" s="41" t="s">
        <v>360</v>
      </c>
      <c r="H24" s="40">
        <f>100+$W$24</f>
        <v>102.5</v>
      </c>
      <c r="I24" s="41" t="s">
        <v>360</v>
      </c>
      <c r="J24" s="40">
        <f>100+$W$24</f>
        <v>102.5</v>
      </c>
      <c r="K24" s="41" t="s">
        <v>360</v>
      </c>
      <c r="L24" s="40">
        <f>100+W24</f>
        <v>102.5</v>
      </c>
      <c r="M24" s="41" t="s">
        <v>360</v>
      </c>
      <c r="N24" s="40">
        <f>100+W24</f>
        <v>102.5</v>
      </c>
      <c r="O24" s="41" t="s">
        <v>360</v>
      </c>
      <c r="P24" s="40">
        <f>100+W24</f>
        <v>102.5</v>
      </c>
      <c r="Q24" s="41" t="s">
        <v>360</v>
      </c>
      <c r="R24" s="40">
        <f>100+W24</f>
        <v>102.5</v>
      </c>
      <c r="S24" s="41" t="s">
        <v>360</v>
      </c>
      <c r="T24" s="40">
        <f>100+W24</f>
        <v>102.5</v>
      </c>
      <c r="U24" s="41" t="s">
        <v>339</v>
      </c>
      <c r="V24" s="75">
        <v>100</v>
      </c>
      <c r="W24" s="80">
        <v>2.5</v>
      </c>
    </row>
    <row r="25" spans="1:23">
      <c r="A25" s="117" t="s">
        <v>153</v>
      </c>
      <c r="B25" s="117"/>
      <c r="C25" s="118" t="s">
        <v>151</v>
      </c>
      <c r="D25" s="118"/>
      <c r="E25" s="116">
        <f>E5</f>
        <v>54.49</v>
      </c>
      <c r="F25" s="116"/>
      <c r="G25" s="116">
        <f>G5</f>
        <v>54.49</v>
      </c>
      <c r="H25" s="116"/>
      <c r="I25" s="116">
        <f>I5</f>
        <v>54.49</v>
      </c>
      <c r="J25" s="116"/>
      <c r="K25" s="116">
        <f>K5</f>
        <v>54.49</v>
      </c>
      <c r="L25" s="116"/>
      <c r="M25" s="116">
        <f>M5</f>
        <v>54.49</v>
      </c>
      <c r="N25" s="116"/>
      <c r="O25" s="116">
        <f>O5</f>
        <v>54.49</v>
      </c>
      <c r="P25" s="116"/>
      <c r="Q25" s="116">
        <f>Q5</f>
        <v>54.49</v>
      </c>
      <c r="R25" s="116"/>
      <c r="S25" s="116">
        <f>S5</f>
        <v>54.49</v>
      </c>
      <c r="T25" s="116"/>
      <c r="U25" s="118">
        <f>U5</f>
        <v>86.965939736464648</v>
      </c>
      <c r="V25" s="118"/>
    </row>
    <row r="26" spans="1:23">
      <c r="A26" s="117" t="s">
        <v>152</v>
      </c>
      <c r="B26" s="117"/>
      <c r="C26" s="118" t="s">
        <v>151</v>
      </c>
      <c r="D26" s="118"/>
      <c r="E26" s="119">
        <f>ROUND(E25/POWER(100,COUNT(F6:F24))*PRODUCT(F6:F24),2)</f>
        <v>59.23</v>
      </c>
      <c r="F26" s="119"/>
      <c r="G26" s="119">
        <f>ROUND(G25/POWER(100,COUNT(H6:H24))*PRODUCT(H6:H24),2)</f>
        <v>61.91</v>
      </c>
      <c r="H26" s="119"/>
      <c r="I26" s="119">
        <f>ROUND(I25/POWER(100,COUNT(J6:J24))*PRODUCT(J6:J24),2)</f>
        <v>60.1</v>
      </c>
      <c r="J26" s="119"/>
      <c r="K26" s="119">
        <f>ROUND(K25/POWER(100,COUNT(L6:L24))*PRODUCT(L6:L24),2)</f>
        <v>62.8</v>
      </c>
      <c r="L26" s="119"/>
      <c r="M26" s="119">
        <f>ROUND(M25/POWER(100,COUNT(N6:N24))*PRODUCT(N6:N24),2)</f>
        <v>62.82</v>
      </c>
      <c r="N26" s="119"/>
      <c r="O26" s="119">
        <f>ROUND(O25/POWER(100,COUNT(P6:P24))*PRODUCT(P6:P24),2)</f>
        <v>62.81</v>
      </c>
      <c r="P26" s="119"/>
      <c r="Q26" s="119">
        <f>ROUND(Q25/POWER(100,COUNT(R6:R24))*PRODUCT(R6:R24),2)</f>
        <v>60.7</v>
      </c>
      <c r="R26" s="119"/>
      <c r="S26" s="119">
        <f>ROUND(S25/POWER(100,COUNT(T6:T24))*PRODUCT(T6:T24),2)</f>
        <v>62.5</v>
      </c>
      <c r="T26" s="119"/>
      <c r="U26" s="119">
        <f>ROUND(U25*POWER(100,COUNT(V6:V24))/PRODUCT(V6:V24),2)</f>
        <v>89.64</v>
      </c>
      <c r="V26" s="119"/>
    </row>
    <row r="27" spans="1:23" hidden="1">
      <c r="A27" s="110" t="str">
        <f>CONCATENATE("估价对象比较价值=(",TEXT(M26,"G/通用格式"),"+",TEXT(O26,"G/通用格式"),"+",TEXT(S26,"G/通用格式"),")","/",3,"=",ROUND((M26+O26+S26)/3,2))</f>
        <v>估价对象比较价值=(62.82+62.81+62.5)/3=62.71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38"/>
      <c r="T27" s="38"/>
    </row>
    <row r="30" spans="1:23">
      <c r="C30" s="34">
        <f>ROUND((M26+O26+S26)/3,2)</f>
        <v>62.71</v>
      </c>
      <c r="E30" s="34">
        <f>ROUND(E26/E25,4)</f>
        <v>1.087</v>
      </c>
      <c r="G30" s="34">
        <f>ROUND(G26/G25,4)</f>
        <v>1.1362000000000001</v>
      </c>
      <c r="I30" s="34">
        <f>ROUND(I26/I25,4)</f>
        <v>1.103</v>
      </c>
      <c r="K30" s="34">
        <f>ROUND(K26/K25,4)</f>
        <v>1.1525000000000001</v>
      </c>
      <c r="M30" s="34">
        <f>ROUND(M26/M25,4)</f>
        <v>1.1529</v>
      </c>
      <c r="O30" s="34">
        <f>ROUND(O26/O25,4)</f>
        <v>1.1527000000000001</v>
      </c>
      <c r="Q30" s="34">
        <f>ROUND(Q26/Q25,4)</f>
        <v>1.1140000000000001</v>
      </c>
      <c r="S30" s="34">
        <f>ROUND(S26/S25,4)</f>
        <v>1.147</v>
      </c>
    </row>
    <row r="32" spans="1:23">
      <c r="C32" s="79">
        <f>M25</f>
        <v>54.49</v>
      </c>
      <c r="M32" s="34">
        <f>ROUND(M25*M30,2)</f>
        <v>62.82</v>
      </c>
      <c r="O32" s="34">
        <f>ROUND(O25*O30,2)</f>
        <v>62.81</v>
      </c>
      <c r="Q32" s="34">
        <f>ROUND(Q25*Q30,2)</f>
        <v>60.7</v>
      </c>
      <c r="S32" s="34">
        <f>ROUND(S25*S30,2)</f>
        <v>62.5</v>
      </c>
    </row>
    <row r="34" spans="1:20" ht="14.25" customHeight="1">
      <c r="A34" s="118" t="s">
        <v>187</v>
      </c>
      <c r="B34" s="118"/>
      <c r="C34" s="125" t="str">
        <f>标准房测算表!C4</f>
        <v>朝新嘉园</v>
      </c>
      <c r="D34" s="121"/>
      <c r="E34" s="127" t="str">
        <f>小区明细!B3</f>
        <v>驹子房</v>
      </c>
      <c r="F34" s="121"/>
      <c r="G34" s="127" t="str">
        <f>小区明细!B4</f>
        <v>东湾家园</v>
      </c>
      <c r="H34" s="121"/>
      <c r="I34" s="127" t="str">
        <f>小区明细!B5</f>
        <v>首开畅颐园</v>
      </c>
      <c r="J34" s="121"/>
      <c r="K34" s="127" t="str">
        <f>小区明细!B6</f>
        <v>恒大江湾</v>
      </c>
      <c r="L34" s="121"/>
      <c r="M34" s="127" t="str">
        <f>小区明细!B7</f>
        <v>首城东郡汇</v>
      </c>
      <c r="N34" s="121"/>
      <c r="O34" s="127" t="str">
        <f>小区明细!B8</f>
        <v>福润四季</v>
      </c>
      <c r="P34" s="121"/>
      <c r="Q34" s="127" t="str">
        <f>小区明细!B9</f>
        <v>悦和园</v>
      </c>
      <c r="R34" s="121"/>
      <c r="S34" s="127" t="str">
        <f>小区明细!B10</f>
        <v>景和园</v>
      </c>
      <c r="T34" s="121"/>
    </row>
    <row r="35" spans="1:20" ht="32.25" customHeight="1">
      <c r="A35" s="129" t="s">
        <v>395</v>
      </c>
      <c r="B35" s="118"/>
      <c r="C35" s="125">
        <f>标准房测算表!C27</f>
        <v>54.49</v>
      </c>
      <c r="D35" s="121"/>
      <c r="E35" s="128">
        <f>E26</f>
        <v>59.23</v>
      </c>
      <c r="F35" s="121"/>
      <c r="G35" s="128">
        <f>G26</f>
        <v>61.91</v>
      </c>
      <c r="H35" s="121"/>
      <c r="I35" s="128">
        <f>I26</f>
        <v>60.1</v>
      </c>
      <c r="J35" s="121"/>
      <c r="K35" s="128">
        <f t="shared" ref="K35" si="1">K26</f>
        <v>62.8</v>
      </c>
      <c r="L35" s="121"/>
      <c r="M35" s="128">
        <f t="shared" ref="M35" si="2">M26</f>
        <v>62.82</v>
      </c>
      <c r="N35" s="121"/>
      <c r="O35" s="128">
        <f t="shared" ref="O35" si="3">O26</f>
        <v>62.81</v>
      </c>
      <c r="P35" s="121"/>
      <c r="Q35" s="128">
        <f t="shared" ref="Q35" si="4">Q26</f>
        <v>60.7</v>
      </c>
      <c r="R35" s="121"/>
      <c r="S35" s="128">
        <f t="shared" ref="S35" si="5">S26</f>
        <v>62.5</v>
      </c>
      <c r="T35" s="121"/>
    </row>
    <row r="36" spans="1:20" ht="14.25" customHeight="1">
      <c r="A36" s="129" t="s">
        <v>396</v>
      </c>
      <c r="B36" s="118"/>
      <c r="C36" s="125">
        <v>1.55</v>
      </c>
      <c r="D36" s="121"/>
      <c r="E36" s="127">
        <v>4</v>
      </c>
      <c r="F36" s="121"/>
      <c r="G36" s="127">
        <v>3.2</v>
      </c>
      <c r="H36" s="121"/>
      <c r="I36" s="127">
        <v>3.7</v>
      </c>
      <c r="J36" s="121"/>
      <c r="K36" s="127">
        <v>3</v>
      </c>
      <c r="L36" s="121"/>
      <c r="M36" s="127">
        <v>2.9</v>
      </c>
      <c r="N36" s="121"/>
      <c r="O36" s="127">
        <v>1.98</v>
      </c>
      <c r="P36" s="121"/>
      <c r="Q36" s="127">
        <v>1.98</v>
      </c>
      <c r="R36" s="121"/>
      <c r="S36" s="127">
        <v>1.95</v>
      </c>
      <c r="T36" s="121"/>
    </row>
    <row r="37" spans="1:20" ht="29.25" customHeight="1">
      <c r="A37" s="129" t="s">
        <v>397</v>
      </c>
      <c r="B37" s="118"/>
      <c r="C37" s="125">
        <f>ROUND(SUM(C35:D36),2)</f>
        <v>56.04</v>
      </c>
      <c r="D37" s="121"/>
      <c r="E37" s="125">
        <f t="shared" ref="E37" si="6">ROUND(SUM(E35:F36),2)</f>
        <v>63.23</v>
      </c>
      <c r="F37" s="121"/>
      <c r="G37" s="125">
        <f t="shared" ref="G37" si="7">ROUND(SUM(G35:H36),2)</f>
        <v>65.11</v>
      </c>
      <c r="H37" s="121"/>
      <c r="I37" s="125">
        <f t="shared" ref="I37" si="8">ROUND(SUM(I35:J36),2)</f>
        <v>63.8</v>
      </c>
      <c r="J37" s="121"/>
      <c r="K37" s="125">
        <f t="shared" ref="K37" si="9">ROUND(SUM(K35:L36),2)</f>
        <v>65.8</v>
      </c>
      <c r="L37" s="121"/>
      <c r="M37" s="125">
        <f t="shared" ref="M37" si="10">ROUND(SUM(M35:N36),2)</f>
        <v>65.72</v>
      </c>
      <c r="N37" s="121"/>
      <c r="O37" s="125">
        <f t="shared" ref="O37" si="11">ROUND(SUM(O35:P36),2)</f>
        <v>64.790000000000006</v>
      </c>
      <c r="P37" s="121"/>
      <c r="Q37" s="125">
        <f t="shared" ref="Q37" si="12">ROUND(SUM(Q35:R36),2)</f>
        <v>62.68</v>
      </c>
      <c r="R37" s="121"/>
      <c r="S37" s="125">
        <f t="shared" ref="S37" si="13">ROUND(SUM(S35:T36),2)</f>
        <v>64.45</v>
      </c>
      <c r="T37" s="121"/>
    </row>
    <row r="38" spans="1:20" ht="14.25" customHeight="1">
      <c r="A38" s="129" t="s">
        <v>393</v>
      </c>
      <c r="B38" s="118"/>
      <c r="C38" s="125">
        <v>24347.09</v>
      </c>
      <c r="D38" s="121"/>
      <c r="E38" s="125">
        <v>10004.040000000001</v>
      </c>
      <c r="F38" s="121"/>
      <c r="G38" s="125">
        <v>4075.23</v>
      </c>
      <c r="H38" s="121"/>
      <c r="I38" s="125">
        <v>3175.94</v>
      </c>
      <c r="J38" s="121"/>
      <c r="K38" s="125">
        <v>54.95</v>
      </c>
      <c r="L38" s="121"/>
      <c r="M38" s="125">
        <v>76.349999999999994</v>
      </c>
      <c r="N38" s="121"/>
      <c r="O38" s="125">
        <v>74.17</v>
      </c>
      <c r="P38" s="121"/>
      <c r="Q38" s="125">
        <v>144.97999999999999</v>
      </c>
      <c r="R38" s="121"/>
      <c r="S38" s="125">
        <v>242.04</v>
      </c>
      <c r="T38" s="121"/>
    </row>
    <row r="39" spans="1:20" ht="14.25" customHeight="1">
      <c r="A39" s="129" t="s">
        <v>394</v>
      </c>
      <c r="B39" s="118"/>
      <c r="C39" s="125">
        <f>ROUND(C37*C38,2)</f>
        <v>1364410.92</v>
      </c>
      <c r="D39" s="121"/>
      <c r="E39" s="125">
        <f t="shared" ref="E39" si="14">ROUND(E37*E38,2)</f>
        <v>632555.44999999995</v>
      </c>
      <c r="F39" s="121"/>
      <c r="G39" s="125">
        <f t="shared" ref="G39" si="15">ROUND(G37*G38,2)</f>
        <v>265338.23</v>
      </c>
      <c r="H39" s="121"/>
      <c r="I39" s="125">
        <f t="shared" ref="I39" si="16">ROUND(I37*I38,2)</f>
        <v>202624.97</v>
      </c>
      <c r="J39" s="121"/>
      <c r="K39" s="125">
        <f t="shared" ref="K39" si="17">ROUND(K37*K38,2)</f>
        <v>3615.71</v>
      </c>
      <c r="L39" s="121"/>
      <c r="M39" s="125">
        <f t="shared" ref="M39" si="18">ROUND(M37*M38,2)</f>
        <v>5017.72</v>
      </c>
      <c r="N39" s="121"/>
      <c r="O39" s="125">
        <f t="shared" ref="O39" si="19">ROUND(O37*O38,2)</f>
        <v>4805.47</v>
      </c>
      <c r="P39" s="121"/>
      <c r="Q39" s="125">
        <f t="shared" ref="Q39" si="20">ROUND(Q37*Q38,2)</f>
        <v>9087.35</v>
      </c>
      <c r="R39" s="121"/>
      <c r="S39" s="125">
        <f t="shared" ref="S39" si="21">ROUND(S37*S38,2)</f>
        <v>15599.48</v>
      </c>
      <c r="T39" s="121"/>
    </row>
    <row r="40" spans="1:20" ht="14.25" customHeight="1">
      <c r="A40" s="129" t="s">
        <v>398</v>
      </c>
      <c r="B40" s="118"/>
      <c r="C40" s="125">
        <f>ROUND(SUM(C39:T39),2)</f>
        <v>2503055.2999999998</v>
      </c>
      <c r="D40" s="121"/>
      <c r="E40" s="125"/>
      <c r="F40" s="121"/>
      <c r="G40" s="125"/>
      <c r="H40" s="121"/>
      <c r="I40" s="125"/>
      <c r="J40" s="121"/>
      <c r="K40" s="125"/>
      <c r="L40" s="121"/>
      <c r="M40" s="125"/>
      <c r="N40" s="121"/>
      <c r="O40" s="125"/>
      <c r="P40" s="121"/>
      <c r="Q40" s="125"/>
      <c r="R40" s="121"/>
      <c r="S40" s="125"/>
      <c r="T40" s="121"/>
    </row>
    <row r="41" spans="1:20" ht="33.75" customHeight="1">
      <c r="A41" s="129" t="s">
        <v>399</v>
      </c>
      <c r="B41" s="118"/>
      <c r="C41" s="125">
        <f>ROUND(C40/SUM(C38:T38),2)</f>
        <v>59.32</v>
      </c>
      <c r="D41" s="121"/>
      <c r="E41" s="125"/>
      <c r="F41" s="121"/>
      <c r="G41" s="125"/>
      <c r="H41" s="121"/>
      <c r="I41" s="125"/>
      <c r="J41" s="121"/>
      <c r="K41" s="125"/>
      <c r="L41" s="121"/>
      <c r="M41" s="125"/>
      <c r="N41" s="121"/>
      <c r="O41" s="125"/>
      <c r="P41" s="121"/>
      <c r="Q41" s="125"/>
      <c r="R41" s="121"/>
      <c r="S41" s="125"/>
      <c r="T41" s="121"/>
    </row>
    <row r="49" ht="15" customHeight="1"/>
  </sheetData>
  <mergeCells count="141">
    <mergeCell ref="S25:T25"/>
    <mergeCell ref="U25:V25"/>
    <mergeCell ref="A27:R27"/>
    <mergeCell ref="Q26:R26"/>
    <mergeCell ref="S26:T26"/>
    <mergeCell ref="E26:F26"/>
    <mergeCell ref="G26:H26"/>
    <mergeCell ref="K26:L26"/>
    <mergeCell ref="I26:J26"/>
    <mergeCell ref="U26:V26"/>
    <mergeCell ref="A26:B26"/>
    <mergeCell ref="C26:D26"/>
    <mergeCell ref="M26:N26"/>
    <mergeCell ref="O26:P26"/>
    <mergeCell ref="S5:T5"/>
    <mergeCell ref="U5:V5"/>
    <mergeCell ref="A6:B6"/>
    <mergeCell ref="A7:B7"/>
    <mergeCell ref="A25:B25"/>
    <mergeCell ref="C25:D25"/>
    <mergeCell ref="A8:A12"/>
    <mergeCell ref="E25:F25"/>
    <mergeCell ref="E5:F5"/>
    <mergeCell ref="G5:H5"/>
    <mergeCell ref="G25:H25"/>
    <mergeCell ref="K5:L5"/>
    <mergeCell ref="K25:L25"/>
    <mergeCell ref="I5:J5"/>
    <mergeCell ref="I25:J25"/>
    <mergeCell ref="A5:B5"/>
    <mergeCell ref="C5:D5"/>
    <mergeCell ref="M5:N5"/>
    <mergeCell ref="O5:P5"/>
    <mergeCell ref="Q5:R5"/>
    <mergeCell ref="A13:A24"/>
    <mergeCell ref="M25:N25"/>
    <mergeCell ref="O25:P25"/>
    <mergeCell ref="Q25:R25"/>
    <mergeCell ref="S3:T3"/>
    <mergeCell ref="U3:V3"/>
    <mergeCell ref="A4:B4"/>
    <mergeCell ref="C4:D4"/>
    <mergeCell ref="M4:N4"/>
    <mergeCell ref="O4:P4"/>
    <mergeCell ref="Q4:R4"/>
    <mergeCell ref="S4:T4"/>
    <mergeCell ref="U4:V4"/>
    <mergeCell ref="E4:F4"/>
    <mergeCell ref="G4:H4"/>
    <mergeCell ref="K4:L4"/>
    <mergeCell ref="I4:J4"/>
    <mergeCell ref="A1:R1"/>
    <mergeCell ref="A3:B3"/>
    <mergeCell ref="C3:D3"/>
    <mergeCell ref="M3:N3"/>
    <mergeCell ref="O3:P3"/>
    <mergeCell ref="Q3:R3"/>
    <mergeCell ref="E3:F3"/>
    <mergeCell ref="K3:L3"/>
    <mergeCell ref="G3:H3"/>
    <mergeCell ref="I3:J3"/>
    <mergeCell ref="K34:L34"/>
    <mergeCell ref="M34:N34"/>
    <mergeCell ref="O34:P34"/>
    <mergeCell ref="Q34:R34"/>
    <mergeCell ref="S34:T34"/>
    <mergeCell ref="M35:N35"/>
    <mergeCell ref="A34:B34"/>
    <mergeCell ref="C34:D34"/>
    <mergeCell ref="E34:F34"/>
    <mergeCell ref="G34:H34"/>
    <mergeCell ref="I34:J34"/>
    <mergeCell ref="A35:B35"/>
    <mergeCell ref="O35:P35"/>
    <mergeCell ref="Q35:R35"/>
    <mergeCell ref="S35:T35"/>
    <mergeCell ref="O37:P37"/>
    <mergeCell ref="Q37:R37"/>
    <mergeCell ref="S37:T37"/>
    <mergeCell ref="K37:L37"/>
    <mergeCell ref="M37:N37"/>
    <mergeCell ref="E37:F37"/>
    <mergeCell ref="G37:H37"/>
    <mergeCell ref="I37:J37"/>
    <mergeCell ref="A37:B37"/>
    <mergeCell ref="C37:D37"/>
    <mergeCell ref="O38:P38"/>
    <mergeCell ref="Q38:R38"/>
    <mergeCell ref="S38:T38"/>
    <mergeCell ref="K38:L38"/>
    <mergeCell ref="M38:N38"/>
    <mergeCell ref="E38:F38"/>
    <mergeCell ref="G38:H38"/>
    <mergeCell ref="I38:J38"/>
    <mergeCell ref="A38:B38"/>
    <mergeCell ref="C38:D38"/>
    <mergeCell ref="E39:F39"/>
    <mergeCell ref="G39:H39"/>
    <mergeCell ref="I39:J39"/>
    <mergeCell ref="E41:F41"/>
    <mergeCell ref="G41:H41"/>
    <mergeCell ref="I41:J41"/>
    <mergeCell ref="A39:B39"/>
    <mergeCell ref="C39:D39"/>
    <mergeCell ref="A41:B41"/>
    <mergeCell ref="C41:D41"/>
    <mergeCell ref="E40:F40"/>
    <mergeCell ref="G40:H40"/>
    <mergeCell ref="I40:J40"/>
    <mergeCell ref="A40:B40"/>
    <mergeCell ref="C40:D40"/>
    <mergeCell ref="O39:P39"/>
    <mergeCell ref="Q39:R39"/>
    <mergeCell ref="S39:T39"/>
    <mergeCell ref="O41:P41"/>
    <mergeCell ref="Q41:R41"/>
    <mergeCell ref="S41:T41"/>
    <mergeCell ref="K39:L39"/>
    <mergeCell ref="M39:N39"/>
    <mergeCell ref="K41:L41"/>
    <mergeCell ref="M41:N41"/>
    <mergeCell ref="O40:P40"/>
    <mergeCell ref="Q40:R40"/>
    <mergeCell ref="S40:T40"/>
    <mergeCell ref="K40:L40"/>
    <mergeCell ref="M40:N40"/>
    <mergeCell ref="S36:T36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34" sqref="H34"/>
    </sheetView>
  </sheetViews>
  <sheetFormatPr defaultRowHeight="14.25"/>
  <cols>
    <col min="1" max="1" width="9" style="43"/>
    <col min="2" max="2" width="11.875" style="43" customWidth="1"/>
    <col min="3" max="6" width="9" style="43"/>
    <col min="7" max="7" width="13.125" style="43" customWidth="1"/>
    <col min="8" max="16384" width="9" style="43"/>
  </cols>
  <sheetData>
    <row r="1" spans="1:7">
      <c r="A1" s="78" t="s">
        <v>313</v>
      </c>
      <c r="B1" s="78" t="s">
        <v>312</v>
      </c>
      <c r="C1" s="78" t="s">
        <v>311</v>
      </c>
      <c r="D1" s="78" t="s">
        <v>310</v>
      </c>
      <c r="E1" s="78" t="s">
        <v>309</v>
      </c>
      <c r="F1" s="78" t="s">
        <v>308</v>
      </c>
      <c r="G1" s="78" t="s">
        <v>307</v>
      </c>
    </row>
    <row r="2" spans="1:7">
      <c r="A2" s="137">
        <v>1</v>
      </c>
      <c r="B2" s="136" t="s">
        <v>306</v>
      </c>
      <c r="C2" s="136" t="s">
        <v>305</v>
      </c>
      <c r="D2" s="137">
        <v>133</v>
      </c>
      <c r="E2" s="78" t="s">
        <v>298</v>
      </c>
      <c r="F2" s="77">
        <v>27</v>
      </c>
      <c r="G2" s="136" t="s">
        <v>304</v>
      </c>
    </row>
    <row r="3" spans="1:7">
      <c r="A3" s="137"/>
      <c r="B3" s="136"/>
      <c r="C3" s="136"/>
      <c r="D3" s="137"/>
      <c r="E3" s="78" t="s">
        <v>314</v>
      </c>
      <c r="F3" s="77">
        <v>36</v>
      </c>
      <c r="G3" s="137"/>
    </row>
    <row r="4" spans="1:7">
      <c r="A4" s="137"/>
      <c r="B4" s="136"/>
      <c r="C4" s="136"/>
      <c r="D4" s="137"/>
      <c r="E4" s="78" t="s">
        <v>301</v>
      </c>
      <c r="F4" s="77">
        <v>30</v>
      </c>
      <c r="G4" s="137"/>
    </row>
    <row r="5" spans="1:7">
      <c r="A5" s="137"/>
      <c r="B5" s="136"/>
      <c r="C5" s="136"/>
      <c r="D5" s="137"/>
      <c r="E5" s="78" t="s">
        <v>315</v>
      </c>
      <c r="F5" s="77">
        <v>40</v>
      </c>
      <c r="G5" s="137"/>
    </row>
    <row r="6" spans="1:7">
      <c r="A6" s="137"/>
      <c r="B6" s="136"/>
      <c r="C6" s="136" t="s">
        <v>303</v>
      </c>
      <c r="D6" s="137">
        <v>95</v>
      </c>
      <c r="E6" s="78" t="s">
        <v>298</v>
      </c>
      <c r="F6" s="77">
        <v>45</v>
      </c>
      <c r="G6" s="137"/>
    </row>
    <row r="7" spans="1:7">
      <c r="A7" s="137"/>
      <c r="B7" s="136"/>
      <c r="C7" s="136"/>
      <c r="D7" s="137"/>
      <c r="E7" s="96" t="s">
        <v>285</v>
      </c>
      <c r="F7" s="96">
        <v>50</v>
      </c>
      <c r="G7" s="137"/>
    </row>
    <row r="8" spans="1:7">
      <c r="A8" s="77">
        <v>2</v>
      </c>
      <c r="B8" s="78" t="s">
        <v>302</v>
      </c>
      <c r="C8" s="78" t="s">
        <v>286</v>
      </c>
      <c r="D8" s="77">
        <v>59</v>
      </c>
      <c r="E8" s="96" t="s">
        <v>301</v>
      </c>
      <c r="F8" s="96">
        <v>59</v>
      </c>
      <c r="G8" s="78" t="s">
        <v>300</v>
      </c>
    </row>
    <row r="9" spans="1:7">
      <c r="A9" s="136">
        <v>3</v>
      </c>
      <c r="B9" s="136" t="s">
        <v>299</v>
      </c>
      <c r="C9" s="136" t="s">
        <v>283</v>
      </c>
      <c r="D9" s="136">
        <v>54</v>
      </c>
      <c r="E9" s="78" t="s">
        <v>298</v>
      </c>
      <c r="F9" s="77">
        <v>1</v>
      </c>
      <c r="G9" s="136" t="s">
        <v>297</v>
      </c>
    </row>
    <row r="10" spans="1:7">
      <c r="A10" s="136"/>
      <c r="B10" s="136"/>
      <c r="C10" s="136"/>
      <c r="D10" s="136"/>
      <c r="E10" s="96" t="s">
        <v>293</v>
      </c>
      <c r="F10" s="96">
        <v>31</v>
      </c>
      <c r="G10" s="136"/>
    </row>
    <row r="11" spans="1:7">
      <c r="A11" s="136"/>
      <c r="B11" s="136"/>
      <c r="C11" s="136"/>
      <c r="D11" s="136"/>
      <c r="E11" s="78" t="s">
        <v>285</v>
      </c>
      <c r="F11" s="77">
        <v>14</v>
      </c>
      <c r="G11" s="136"/>
    </row>
    <row r="12" spans="1:7">
      <c r="A12" s="136"/>
      <c r="B12" s="136"/>
      <c r="C12" s="136"/>
      <c r="D12" s="136"/>
      <c r="E12" s="78" t="s">
        <v>296</v>
      </c>
      <c r="F12" s="77">
        <v>8</v>
      </c>
      <c r="G12" s="136"/>
    </row>
    <row r="13" spans="1:7">
      <c r="A13" s="77">
        <v>4</v>
      </c>
      <c r="B13" s="78" t="s">
        <v>295</v>
      </c>
      <c r="C13" s="78" t="s">
        <v>294</v>
      </c>
      <c r="D13" s="77">
        <v>1</v>
      </c>
      <c r="E13" s="96" t="s">
        <v>293</v>
      </c>
      <c r="F13" s="96">
        <v>1</v>
      </c>
      <c r="G13" s="78" t="s">
        <v>292</v>
      </c>
    </row>
    <row r="14" spans="1:7">
      <c r="A14" s="77">
        <v>5</v>
      </c>
      <c r="B14" s="78" t="s">
        <v>291</v>
      </c>
      <c r="C14" s="78" t="s">
        <v>286</v>
      </c>
      <c r="D14" s="77">
        <v>1</v>
      </c>
      <c r="E14" s="96" t="s">
        <v>290</v>
      </c>
      <c r="F14" s="96">
        <v>1</v>
      </c>
      <c r="G14" s="78" t="s">
        <v>289</v>
      </c>
    </row>
    <row r="15" spans="1:7">
      <c r="A15" s="77">
        <v>6</v>
      </c>
      <c r="B15" s="78" t="s">
        <v>288</v>
      </c>
      <c r="C15" s="78" t="s">
        <v>283</v>
      </c>
      <c r="D15" s="77">
        <v>1</v>
      </c>
      <c r="E15" s="96" t="s">
        <v>376</v>
      </c>
      <c r="F15" s="96">
        <v>1</v>
      </c>
      <c r="G15" s="81" t="s">
        <v>300</v>
      </c>
    </row>
    <row r="16" spans="1:7">
      <c r="A16" s="77">
        <v>7</v>
      </c>
      <c r="B16" s="77" t="s">
        <v>287</v>
      </c>
      <c r="C16" s="77" t="s">
        <v>286</v>
      </c>
      <c r="D16" s="77">
        <v>2</v>
      </c>
      <c r="E16" s="96" t="s">
        <v>285</v>
      </c>
      <c r="F16" s="96">
        <v>2</v>
      </c>
      <c r="G16" s="78" t="s">
        <v>300</v>
      </c>
    </row>
    <row r="17" spans="1:8">
      <c r="A17" s="137">
        <v>8</v>
      </c>
      <c r="B17" s="137" t="s">
        <v>284</v>
      </c>
      <c r="C17" s="137" t="s">
        <v>283</v>
      </c>
      <c r="D17" s="137">
        <v>3</v>
      </c>
      <c r="E17" s="96" t="s">
        <v>290</v>
      </c>
      <c r="F17" s="96">
        <v>2</v>
      </c>
      <c r="G17" s="137" t="s">
        <v>377</v>
      </c>
    </row>
    <row r="18" spans="1:8">
      <c r="A18" s="137"/>
      <c r="B18" s="137"/>
      <c r="C18" s="137"/>
      <c r="D18" s="137"/>
      <c r="E18" s="81" t="s">
        <v>285</v>
      </c>
      <c r="F18" s="77">
        <v>1</v>
      </c>
      <c r="G18" s="137"/>
    </row>
    <row r="19" spans="1:8">
      <c r="A19" s="130">
        <v>9</v>
      </c>
      <c r="B19" s="133" t="s">
        <v>282</v>
      </c>
      <c r="C19" s="133" t="s">
        <v>281</v>
      </c>
      <c r="D19" s="130">
        <v>580</v>
      </c>
      <c r="E19" s="109" t="s">
        <v>280</v>
      </c>
      <c r="F19" s="109">
        <v>267</v>
      </c>
      <c r="G19" s="133" t="s">
        <v>434</v>
      </c>
    </row>
    <row r="20" spans="1:8">
      <c r="A20" s="131"/>
      <c r="B20" s="134"/>
      <c r="C20" s="134"/>
      <c r="D20" s="131"/>
      <c r="E20" s="95" t="s">
        <v>280</v>
      </c>
      <c r="F20" s="95">
        <v>23</v>
      </c>
      <c r="G20" s="134"/>
      <c r="H20" s="43" t="s">
        <v>431</v>
      </c>
    </row>
    <row r="21" spans="1:8">
      <c r="A21" s="131"/>
      <c r="B21" s="134"/>
      <c r="C21" s="134"/>
      <c r="D21" s="131"/>
      <c r="E21" s="96" t="s">
        <v>279</v>
      </c>
      <c r="F21" s="96">
        <v>267</v>
      </c>
      <c r="G21" s="134"/>
    </row>
    <row r="22" spans="1:8">
      <c r="A22" s="132"/>
      <c r="B22" s="135"/>
      <c r="C22" s="135"/>
      <c r="D22" s="132"/>
      <c r="E22" s="78" t="s">
        <v>279</v>
      </c>
      <c r="F22" s="77">
        <v>23</v>
      </c>
      <c r="G22" s="135"/>
    </row>
  </sheetData>
  <mergeCells count="22">
    <mergeCell ref="G17:G18"/>
    <mergeCell ref="C17:C18"/>
    <mergeCell ref="A17:A18"/>
    <mergeCell ref="B17:B18"/>
    <mergeCell ref="D17:D18"/>
    <mergeCell ref="G2:G7"/>
    <mergeCell ref="B2:B7"/>
    <mergeCell ref="A2:A7"/>
    <mergeCell ref="C9:C12"/>
    <mergeCell ref="B9:B12"/>
    <mergeCell ref="D9:D12"/>
    <mergeCell ref="C2:C5"/>
    <mergeCell ref="D2:D5"/>
    <mergeCell ref="C6:C7"/>
    <mergeCell ref="D6:D7"/>
    <mergeCell ref="G9:G12"/>
    <mergeCell ref="A9:A12"/>
    <mergeCell ref="A19:A22"/>
    <mergeCell ref="B19:B22"/>
    <mergeCell ref="C19:C22"/>
    <mergeCell ref="D19:D22"/>
    <mergeCell ref="G19:G2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13"/>
  <sheetViews>
    <sheetView zoomScaleNormal="100" workbookViewId="0">
      <selection activeCell="E9" sqref="E9"/>
    </sheetView>
  </sheetViews>
  <sheetFormatPr defaultRowHeight="14.25"/>
  <cols>
    <col min="1" max="1" width="6.375" style="1" customWidth="1"/>
    <col min="2" max="2" width="12" style="1" customWidth="1"/>
    <col min="3" max="3" width="7.125" style="1" customWidth="1"/>
    <col min="4" max="4" width="12.25" style="1" customWidth="1"/>
    <col min="5" max="5" width="49.625" style="1" customWidth="1"/>
    <col min="6" max="6" width="8.875" style="1" customWidth="1"/>
    <col min="7" max="7" width="7.375" style="1" customWidth="1"/>
    <col min="8" max="9" width="8.875" style="1" customWidth="1"/>
    <col min="10" max="10" width="15" style="1" customWidth="1"/>
    <col min="11" max="11" width="6.5" style="1" customWidth="1"/>
    <col min="12" max="12" width="20" style="1" customWidth="1"/>
    <col min="13" max="13" width="7.625" style="1" customWidth="1"/>
    <col min="14" max="14" width="32.25" style="1" customWidth="1"/>
    <col min="15" max="15" width="11.625" style="1" customWidth="1"/>
    <col min="16" max="16" width="8.75" style="1" customWidth="1"/>
    <col min="17" max="1031" width="9" style="1" customWidth="1"/>
  </cols>
  <sheetData>
    <row r="1" spans="1:16" ht="2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s="3" customFormat="1" ht="56.65" customHeight="1">
      <c r="A2" s="2" t="s">
        <v>1</v>
      </c>
      <c r="B2" s="2" t="s">
        <v>2</v>
      </c>
      <c r="C2" s="2" t="s">
        <v>3</v>
      </c>
      <c r="D2" s="15" t="s">
        <v>63</v>
      </c>
      <c r="E2" s="15" t="s">
        <v>4</v>
      </c>
      <c r="F2" s="15" t="s">
        <v>58</v>
      </c>
      <c r="G2" s="22" t="s">
        <v>64</v>
      </c>
      <c r="H2" s="22" t="s">
        <v>65</v>
      </c>
      <c r="I2" s="22"/>
      <c r="J2" s="22" t="s">
        <v>66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ht="29.25" customHeight="1">
      <c r="A3" s="4" t="s">
        <v>11</v>
      </c>
      <c r="B3" s="6" t="s">
        <v>432</v>
      </c>
      <c r="C3" s="139" t="s">
        <v>13</v>
      </c>
      <c r="D3" s="19" t="s">
        <v>12</v>
      </c>
      <c r="E3" s="16" t="s">
        <v>59</v>
      </c>
      <c r="F3" s="20">
        <v>228</v>
      </c>
      <c r="G3" s="20">
        <v>47.5</v>
      </c>
      <c r="H3" s="20">
        <v>38</v>
      </c>
      <c r="I3" s="101">
        <f>H3/G3</f>
        <v>0.8</v>
      </c>
      <c r="J3" s="23">
        <v>42797</v>
      </c>
      <c r="K3" s="4">
        <v>1</v>
      </c>
      <c r="L3" s="13" t="s">
        <v>50</v>
      </c>
      <c r="M3" s="4" t="s">
        <v>14</v>
      </c>
      <c r="N3" s="12" t="s">
        <v>15</v>
      </c>
      <c r="O3" s="140" t="s">
        <v>16</v>
      </c>
      <c r="P3" s="140" t="s">
        <v>17</v>
      </c>
    </row>
    <row r="4" spans="1:16" ht="29.1" customHeight="1">
      <c r="A4" s="4" t="s">
        <v>18</v>
      </c>
      <c r="B4" s="5" t="s">
        <v>19</v>
      </c>
      <c r="C4" s="140"/>
      <c r="D4" s="19" t="s">
        <v>19</v>
      </c>
      <c r="E4" s="16" t="s">
        <v>60</v>
      </c>
      <c r="F4" s="20">
        <v>59</v>
      </c>
      <c r="G4" s="20">
        <v>52.4</v>
      </c>
      <c r="H4" s="20">
        <v>42</v>
      </c>
      <c r="I4" s="101">
        <f t="shared" ref="I4:I10" si="0">H4/G4</f>
        <v>0.80152671755725191</v>
      </c>
      <c r="J4" s="23">
        <v>44029</v>
      </c>
      <c r="K4" s="4">
        <v>2</v>
      </c>
      <c r="L4" s="14" t="s">
        <v>53</v>
      </c>
      <c r="M4" s="4" t="s">
        <v>14</v>
      </c>
      <c r="N4" s="12" t="s">
        <v>53</v>
      </c>
      <c r="O4" s="140"/>
      <c r="P4" s="140"/>
    </row>
    <row r="5" spans="1:16" ht="29.25" customHeight="1">
      <c r="A5" s="4" t="s">
        <v>20</v>
      </c>
      <c r="B5" s="6" t="s">
        <v>21</v>
      </c>
      <c r="C5" s="141"/>
      <c r="D5" s="19" t="s">
        <v>21</v>
      </c>
      <c r="E5" s="16" t="s">
        <v>61</v>
      </c>
      <c r="F5" s="20">
        <v>54</v>
      </c>
      <c r="G5" s="20">
        <v>55</v>
      </c>
      <c r="H5" s="20">
        <v>44</v>
      </c>
      <c r="I5" s="101">
        <f t="shared" si="0"/>
        <v>0.8</v>
      </c>
      <c r="J5" s="23">
        <v>44029</v>
      </c>
      <c r="K5" s="4">
        <v>3</v>
      </c>
      <c r="L5" s="11" t="s">
        <v>44</v>
      </c>
      <c r="M5" s="4" t="s">
        <v>14</v>
      </c>
      <c r="N5" s="8" t="s">
        <v>25</v>
      </c>
      <c r="O5" s="140"/>
      <c r="P5" s="140"/>
    </row>
    <row r="6" spans="1:16" ht="29.25" customHeight="1">
      <c r="A6" s="4" t="s">
        <v>22</v>
      </c>
      <c r="B6" s="6" t="s">
        <v>23</v>
      </c>
      <c r="C6" s="141"/>
      <c r="D6" s="19" t="s">
        <v>23</v>
      </c>
      <c r="E6" s="16" t="s">
        <v>24</v>
      </c>
      <c r="F6" s="20">
        <v>1</v>
      </c>
      <c r="G6" s="20">
        <v>58.1</v>
      </c>
      <c r="H6" s="20">
        <v>46</v>
      </c>
      <c r="I6" s="101">
        <f t="shared" si="0"/>
        <v>0.79173838209982783</v>
      </c>
      <c r="J6" s="23">
        <v>44029</v>
      </c>
      <c r="K6" s="4">
        <v>4</v>
      </c>
      <c r="L6" s="7" t="s">
        <v>45</v>
      </c>
      <c r="M6" s="4" t="s">
        <v>14</v>
      </c>
      <c r="N6" s="8" t="s">
        <v>29</v>
      </c>
      <c r="O6" s="140"/>
      <c r="P6" s="140"/>
    </row>
    <row r="7" spans="1:16" ht="29.25" customHeight="1">
      <c r="A7" s="4" t="s">
        <v>26</v>
      </c>
      <c r="B7" s="6" t="s">
        <v>27</v>
      </c>
      <c r="C7" s="141"/>
      <c r="D7" s="19" t="s">
        <v>27</v>
      </c>
      <c r="E7" s="16" t="s">
        <v>28</v>
      </c>
      <c r="F7" s="20">
        <v>1</v>
      </c>
      <c r="G7" s="20">
        <v>55.3</v>
      </c>
      <c r="H7" s="20">
        <v>44</v>
      </c>
      <c r="I7" s="101">
        <f t="shared" si="0"/>
        <v>0.79566003616636527</v>
      </c>
      <c r="J7" s="23">
        <v>44029</v>
      </c>
      <c r="K7" s="4">
        <v>5</v>
      </c>
      <c r="L7" s="14" t="s">
        <v>51</v>
      </c>
      <c r="M7" s="4" t="s">
        <v>14</v>
      </c>
      <c r="N7" s="8" t="s">
        <v>32</v>
      </c>
      <c r="O7" s="140"/>
      <c r="P7" s="140"/>
    </row>
    <row r="8" spans="1:16" ht="29.25" customHeight="1">
      <c r="A8" s="4" t="s">
        <v>30</v>
      </c>
      <c r="B8" s="6" t="s">
        <v>31</v>
      </c>
      <c r="C8" s="141"/>
      <c r="D8" s="19" t="s">
        <v>31</v>
      </c>
      <c r="E8" s="16" t="s">
        <v>62</v>
      </c>
      <c r="F8" s="20">
        <v>1</v>
      </c>
      <c r="G8" s="20">
        <v>53.8</v>
      </c>
      <c r="H8" s="20">
        <v>43</v>
      </c>
      <c r="I8" s="101">
        <f t="shared" si="0"/>
        <v>0.7992565055762082</v>
      </c>
      <c r="J8" s="23">
        <v>44029</v>
      </c>
      <c r="K8" s="4">
        <v>6</v>
      </c>
      <c r="L8" s="11" t="s">
        <v>46</v>
      </c>
      <c r="M8" s="4" t="s">
        <v>14</v>
      </c>
      <c r="N8" s="8" t="s">
        <v>35</v>
      </c>
      <c r="O8" s="140"/>
      <c r="P8" s="140"/>
    </row>
    <row r="9" spans="1:16" ht="29.25" customHeight="1">
      <c r="A9" s="4" t="s">
        <v>33</v>
      </c>
      <c r="B9" s="6" t="s">
        <v>34</v>
      </c>
      <c r="C9" s="141"/>
      <c r="D9" s="19" t="s">
        <v>34</v>
      </c>
      <c r="E9" s="17" t="s">
        <v>52</v>
      </c>
      <c r="F9" s="20">
        <v>2</v>
      </c>
      <c r="G9" s="20">
        <v>52</v>
      </c>
      <c r="H9" s="20">
        <v>42</v>
      </c>
      <c r="I9" s="101">
        <f t="shared" si="0"/>
        <v>0.80769230769230771</v>
      </c>
      <c r="J9" s="23">
        <v>44029</v>
      </c>
      <c r="K9" s="4">
        <v>7</v>
      </c>
      <c r="L9" s="14" t="s">
        <v>54</v>
      </c>
      <c r="M9" s="4" t="s">
        <v>14</v>
      </c>
      <c r="N9" s="11" t="s">
        <v>55</v>
      </c>
      <c r="O9" s="140"/>
      <c r="P9" s="140"/>
    </row>
    <row r="10" spans="1:16" ht="29.25" customHeight="1">
      <c r="A10" s="4" t="s">
        <v>36</v>
      </c>
      <c r="B10" s="6" t="s">
        <v>37</v>
      </c>
      <c r="C10" s="141"/>
      <c r="D10" s="19" t="s">
        <v>37</v>
      </c>
      <c r="E10" s="16" t="s">
        <v>38</v>
      </c>
      <c r="F10" s="20">
        <v>3</v>
      </c>
      <c r="G10" s="20">
        <v>53.6</v>
      </c>
      <c r="H10" s="20">
        <v>43</v>
      </c>
      <c r="I10" s="101">
        <f t="shared" si="0"/>
        <v>0.80223880597014918</v>
      </c>
      <c r="J10" s="23">
        <v>44029</v>
      </c>
      <c r="K10" s="4">
        <v>8</v>
      </c>
      <c r="L10" s="11" t="s">
        <v>47</v>
      </c>
      <c r="M10" s="4" t="s">
        <v>14</v>
      </c>
      <c r="N10" s="8" t="s">
        <v>41</v>
      </c>
      <c r="O10" s="140"/>
      <c r="P10" s="140"/>
    </row>
    <row r="11" spans="1:16" ht="29.25" customHeight="1">
      <c r="A11" s="4" t="s">
        <v>39</v>
      </c>
      <c r="B11" s="6" t="s">
        <v>40</v>
      </c>
      <c r="C11" s="142"/>
      <c r="D11" s="19" t="s">
        <v>40</v>
      </c>
      <c r="E11" s="18" t="s">
        <v>205</v>
      </c>
      <c r="F11" s="21">
        <v>580</v>
      </c>
      <c r="G11" s="20" t="s">
        <v>67</v>
      </c>
      <c r="H11" s="21">
        <v>30.6</v>
      </c>
      <c r="I11" s="21"/>
      <c r="J11" s="23">
        <v>40487</v>
      </c>
      <c r="K11" s="4">
        <v>9</v>
      </c>
      <c r="L11" s="11" t="s">
        <v>48</v>
      </c>
      <c r="M11" s="4" t="s">
        <v>14</v>
      </c>
      <c r="N11" s="8" t="s">
        <v>42</v>
      </c>
      <c r="O11" s="140"/>
      <c r="P11" s="140"/>
    </row>
    <row r="12" spans="1:16" s="3" customFormat="1" ht="29.25" customHeight="1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4">
        <v>10</v>
      </c>
      <c r="L12" s="11" t="s">
        <v>49</v>
      </c>
      <c r="M12" s="4" t="s">
        <v>14</v>
      </c>
      <c r="N12" s="8" t="s">
        <v>43</v>
      </c>
      <c r="O12" s="140"/>
      <c r="P12" s="140"/>
    </row>
    <row r="13" spans="1:16" ht="29.25" customHeight="1">
      <c r="K13" s="4">
        <v>11</v>
      </c>
      <c r="L13" s="11" t="s">
        <v>97</v>
      </c>
      <c r="M13" s="4" t="s">
        <v>56</v>
      </c>
      <c r="N13" s="8" t="s">
        <v>57</v>
      </c>
      <c r="O13" s="140"/>
      <c r="P13" s="140"/>
    </row>
  </sheetData>
  <mergeCells count="4">
    <mergeCell ref="A1:P1"/>
    <mergeCell ref="C3:C11"/>
    <mergeCell ref="O3:O13"/>
    <mergeCell ref="P3:P13"/>
  </mergeCells>
  <phoneticPr fontId="8" type="noConversion"/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H22" workbookViewId="0">
      <selection activeCell="N33" sqref="N33"/>
    </sheetView>
  </sheetViews>
  <sheetFormatPr defaultRowHeight="14.25"/>
  <cols>
    <col min="1" max="1" width="6.125" style="25" customWidth="1"/>
    <col min="2" max="2" width="9.75" style="25" customWidth="1"/>
    <col min="3" max="3" width="12.875" style="25" customWidth="1"/>
    <col min="4" max="4" width="9.5" style="51" customWidth="1"/>
    <col min="5" max="5" width="23.125" style="25" customWidth="1"/>
    <col min="6" max="7" width="9" style="25"/>
    <col min="8" max="8" width="7.125" style="25" customWidth="1"/>
    <col min="9" max="9" width="17.625" style="25" customWidth="1"/>
    <col min="10" max="10" width="12.25" style="25" customWidth="1"/>
    <col min="11" max="11" width="9" style="25"/>
    <col min="12" max="12" width="24.375" style="25" customWidth="1"/>
    <col min="13" max="15" width="9" style="25"/>
    <col min="16" max="16" width="12.375" style="25" customWidth="1"/>
    <col min="17" max="17" width="12.625" style="25" customWidth="1"/>
    <col min="18" max="18" width="8.875" style="25" customWidth="1"/>
    <col min="19" max="19" width="24.125" style="25" customWidth="1"/>
    <col min="20" max="16384" width="9" style="25"/>
  </cols>
  <sheetData>
    <row r="1" spans="1:20">
      <c r="A1" s="143" t="s">
        <v>222</v>
      </c>
      <c r="B1" s="143"/>
      <c r="C1" s="143"/>
      <c r="D1" s="143"/>
      <c r="E1" s="143"/>
      <c r="F1" s="143"/>
      <c r="H1" s="143" t="s">
        <v>223</v>
      </c>
      <c r="I1" s="143"/>
      <c r="J1" s="143"/>
      <c r="K1" s="143"/>
      <c r="L1" s="143"/>
      <c r="M1" s="143"/>
      <c r="O1" s="143" t="s">
        <v>234</v>
      </c>
      <c r="P1" s="143"/>
      <c r="Q1" s="143"/>
      <c r="R1" s="143"/>
      <c r="S1" s="143"/>
      <c r="T1" s="143"/>
    </row>
    <row r="2" spans="1:20">
      <c r="A2" s="58" t="s">
        <v>110</v>
      </c>
      <c r="B2" s="58" t="s">
        <v>194</v>
      </c>
      <c r="C2" s="58" t="s">
        <v>197</v>
      </c>
      <c r="D2" s="60" t="s">
        <v>196</v>
      </c>
      <c r="E2" s="58" t="s">
        <v>195</v>
      </c>
      <c r="F2" s="58" t="s">
        <v>206</v>
      </c>
      <c r="H2" s="58" t="s">
        <v>110</v>
      </c>
      <c r="I2" s="58" t="s">
        <v>194</v>
      </c>
      <c r="J2" s="58" t="s">
        <v>197</v>
      </c>
      <c r="K2" s="60" t="s">
        <v>196</v>
      </c>
      <c r="L2" s="58" t="s">
        <v>195</v>
      </c>
      <c r="M2" s="58" t="s">
        <v>206</v>
      </c>
      <c r="O2" s="58" t="s">
        <v>110</v>
      </c>
      <c r="P2" s="58" t="s">
        <v>194</v>
      </c>
      <c r="Q2" s="58" t="s">
        <v>197</v>
      </c>
      <c r="R2" s="60" t="s">
        <v>196</v>
      </c>
      <c r="S2" s="58" t="s">
        <v>195</v>
      </c>
      <c r="T2" s="58" t="s">
        <v>206</v>
      </c>
    </row>
    <row r="3" spans="1:20" ht="14.25" customHeight="1">
      <c r="A3" s="145">
        <v>1</v>
      </c>
      <c r="B3" s="148" t="s">
        <v>50</v>
      </c>
      <c r="C3" s="58" t="s">
        <v>246</v>
      </c>
      <c r="D3" s="60" t="s">
        <v>247</v>
      </c>
      <c r="E3" s="58">
        <v>65.5</v>
      </c>
      <c r="F3" s="58">
        <f>E3</f>
        <v>65.5</v>
      </c>
      <c r="H3" s="145">
        <v>1</v>
      </c>
      <c r="I3" s="148" t="s">
        <v>250</v>
      </c>
      <c r="J3" s="97" t="s">
        <v>246</v>
      </c>
      <c r="K3" s="97" t="s">
        <v>211</v>
      </c>
      <c r="L3" s="97" t="s">
        <v>211</v>
      </c>
      <c r="M3" s="97" t="s">
        <v>211</v>
      </c>
      <c r="O3" s="145">
        <v>1</v>
      </c>
      <c r="P3" s="148" t="s">
        <v>98</v>
      </c>
      <c r="Q3" s="58" t="s">
        <v>246</v>
      </c>
      <c r="R3" s="60" t="s">
        <v>247</v>
      </c>
      <c r="S3" s="58">
        <v>66.73</v>
      </c>
      <c r="T3" s="58">
        <f>S3</f>
        <v>66.73</v>
      </c>
    </row>
    <row r="4" spans="1:20" ht="14.25" customHeight="1">
      <c r="A4" s="146"/>
      <c r="B4" s="149"/>
      <c r="C4" s="143" t="s">
        <v>200</v>
      </c>
      <c r="D4" s="61">
        <v>2022.7</v>
      </c>
      <c r="E4" s="59">
        <v>70.78</v>
      </c>
      <c r="F4" s="144">
        <f>ROUND(AVERAGE(E4:E5),2)</f>
        <v>71.92</v>
      </c>
      <c r="H4" s="146"/>
      <c r="I4" s="160"/>
      <c r="J4" s="97" t="s">
        <v>225</v>
      </c>
      <c r="K4" s="97" t="s">
        <v>211</v>
      </c>
      <c r="L4" s="97" t="s">
        <v>211</v>
      </c>
      <c r="M4" s="97" t="s">
        <v>211</v>
      </c>
      <c r="O4" s="146"/>
      <c r="P4" s="149"/>
      <c r="Q4" s="143" t="s">
        <v>225</v>
      </c>
      <c r="R4" s="59">
        <v>2022.7</v>
      </c>
      <c r="S4" s="59">
        <v>65.17</v>
      </c>
      <c r="T4" s="144">
        <f>ROUND(AVERAGE(S4:S5),2)</f>
        <v>68.14</v>
      </c>
    </row>
    <row r="5" spans="1:20">
      <c r="A5" s="146"/>
      <c r="B5" s="149"/>
      <c r="C5" s="143"/>
      <c r="D5" s="61">
        <v>2022.8</v>
      </c>
      <c r="E5" s="59">
        <v>73.05</v>
      </c>
      <c r="F5" s="144"/>
      <c r="H5" s="146"/>
      <c r="I5" s="160"/>
      <c r="J5" s="143" t="s">
        <v>231</v>
      </c>
      <c r="K5" s="59">
        <v>2022.11</v>
      </c>
      <c r="L5" s="59">
        <v>66.97</v>
      </c>
      <c r="M5" s="144">
        <f>ROUND(AVERAGE(L5:L6),2)</f>
        <v>66.94</v>
      </c>
      <c r="O5" s="146"/>
      <c r="P5" s="149"/>
      <c r="Q5" s="143"/>
      <c r="R5" s="59">
        <v>2022.9</v>
      </c>
      <c r="S5" s="59">
        <v>71.11</v>
      </c>
      <c r="T5" s="144"/>
    </row>
    <row r="6" spans="1:20">
      <c r="A6" s="146"/>
      <c r="B6" s="149"/>
      <c r="C6" s="143" t="s">
        <v>224</v>
      </c>
      <c r="D6" s="60" t="s">
        <v>199</v>
      </c>
      <c r="E6" s="59">
        <v>75.430000000000007</v>
      </c>
      <c r="F6" s="144">
        <f>ROUND(AVERAGE(E6:E8),2)</f>
        <v>73.349999999999994</v>
      </c>
      <c r="H6" s="146"/>
      <c r="I6" s="160"/>
      <c r="J6" s="144"/>
      <c r="K6" s="59">
        <v>2022.12</v>
      </c>
      <c r="L6" s="59">
        <v>66.900000000000006</v>
      </c>
      <c r="M6" s="144"/>
      <c r="O6" s="146"/>
      <c r="P6" s="149"/>
      <c r="Q6" s="143" t="s">
        <v>231</v>
      </c>
      <c r="R6" s="59">
        <v>2022.11</v>
      </c>
      <c r="S6" s="59">
        <v>68.89</v>
      </c>
      <c r="T6" s="144">
        <f>ROUND(AVERAGE(S6:S7),2)</f>
        <v>72.239999999999995</v>
      </c>
    </row>
    <row r="7" spans="1:20">
      <c r="A7" s="146"/>
      <c r="B7" s="149"/>
      <c r="C7" s="143"/>
      <c r="D7" s="61">
        <v>2022.11</v>
      </c>
      <c r="E7" s="59">
        <v>69.040000000000006</v>
      </c>
      <c r="F7" s="144"/>
      <c r="H7" s="146"/>
      <c r="I7" s="160"/>
      <c r="J7" s="143" t="s">
        <v>233</v>
      </c>
      <c r="K7" s="59">
        <v>2023.1</v>
      </c>
      <c r="L7" s="59">
        <v>67.91</v>
      </c>
      <c r="M7" s="144">
        <f>ROUND(AVERAGE(L7:L9),2)</f>
        <v>69.89</v>
      </c>
      <c r="O7" s="146"/>
      <c r="P7" s="149"/>
      <c r="Q7" s="144"/>
      <c r="R7" s="59">
        <v>2022.11</v>
      </c>
      <c r="S7" s="59">
        <v>75.58</v>
      </c>
      <c r="T7" s="144"/>
    </row>
    <row r="8" spans="1:20">
      <c r="A8" s="146"/>
      <c r="B8" s="149"/>
      <c r="C8" s="143"/>
      <c r="D8" s="61">
        <v>2022.12</v>
      </c>
      <c r="E8" s="59">
        <v>75.58</v>
      </c>
      <c r="F8" s="144"/>
      <c r="H8" s="146"/>
      <c r="I8" s="160"/>
      <c r="J8" s="144"/>
      <c r="K8" s="61">
        <v>2023.2</v>
      </c>
      <c r="L8" s="59">
        <v>69.739999999999995</v>
      </c>
      <c r="M8" s="144"/>
      <c r="O8" s="146"/>
      <c r="P8" s="149"/>
      <c r="Q8" s="143" t="s">
        <v>233</v>
      </c>
      <c r="R8" s="59">
        <v>2023.1</v>
      </c>
      <c r="S8" s="59">
        <v>70.25</v>
      </c>
      <c r="T8" s="144">
        <f>ROUND(AVERAGE(S8:S9),2)</f>
        <v>72.88</v>
      </c>
    </row>
    <row r="9" spans="1:20">
      <c r="A9" s="146"/>
      <c r="B9" s="149"/>
      <c r="C9" s="143" t="s">
        <v>204</v>
      </c>
      <c r="D9" s="61">
        <v>2023.2</v>
      </c>
      <c r="E9" s="59">
        <v>78.599999999999994</v>
      </c>
      <c r="F9" s="144">
        <f>ROUND(AVERAGE(E9:E10),2)</f>
        <v>75.900000000000006</v>
      </c>
      <c r="H9" s="146"/>
      <c r="I9" s="160"/>
      <c r="J9" s="144"/>
      <c r="K9" s="61">
        <v>2023.3</v>
      </c>
      <c r="L9" s="59">
        <v>72.02</v>
      </c>
      <c r="M9" s="144"/>
      <c r="O9" s="146"/>
      <c r="P9" s="149"/>
      <c r="Q9" s="143"/>
      <c r="R9" s="59">
        <v>2023.2</v>
      </c>
      <c r="S9" s="59">
        <v>75.510000000000005</v>
      </c>
      <c r="T9" s="144"/>
    </row>
    <row r="10" spans="1:20">
      <c r="A10" s="146"/>
      <c r="B10" s="149"/>
      <c r="C10" s="143"/>
      <c r="D10" s="61">
        <v>2023.3</v>
      </c>
      <c r="E10" s="59">
        <v>73.2</v>
      </c>
      <c r="F10" s="144"/>
      <c r="H10" s="146"/>
      <c r="I10" s="160"/>
      <c r="J10" s="143" t="s">
        <v>202</v>
      </c>
      <c r="K10" s="61">
        <v>2023.4</v>
      </c>
      <c r="L10" s="59">
        <v>73.06</v>
      </c>
      <c r="M10" s="144">
        <f>ROUND(AVERAGE(L10:L11),2)</f>
        <v>72.56</v>
      </c>
      <c r="O10" s="146"/>
      <c r="P10" s="149"/>
      <c r="Q10" s="143" t="s">
        <v>236</v>
      </c>
      <c r="R10" s="59">
        <v>2023.5</v>
      </c>
      <c r="S10" s="59">
        <v>73.58</v>
      </c>
      <c r="T10" s="144">
        <f>ROUND(AVERAGE(S10:S11),2)</f>
        <v>67.83</v>
      </c>
    </row>
    <row r="11" spans="1:20">
      <c r="A11" s="147"/>
      <c r="B11" s="150"/>
      <c r="C11" s="58" t="s">
        <v>202</v>
      </c>
      <c r="D11" s="61">
        <v>2023.4</v>
      </c>
      <c r="E11" s="59">
        <v>71.88</v>
      </c>
      <c r="F11" s="59">
        <f>ROUND(AVERAGE(E11),2)</f>
        <v>71.88</v>
      </c>
      <c r="H11" s="147"/>
      <c r="I11" s="161"/>
      <c r="J11" s="143"/>
      <c r="K11" s="59">
        <v>2023.5</v>
      </c>
      <c r="L11" s="59">
        <v>72.05</v>
      </c>
      <c r="M11" s="144"/>
      <c r="O11" s="147"/>
      <c r="P11" s="150"/>
      <c r="Q11" s="143"/>
      <c r="R11" s="59">
        <v>2023.5</v>
      </c>
      <c r="S11" s="59">
        <v>62.07</v>
      </c>
      <c r="T11" s="144"/>
    </row>
    <row r="12" spans="1:20">
      <c r="A12" s="143" t="s">
        <v>206</v>
      </c>
      <c r="B12" s="144"/>
      <c r="C12" s="144"/>
      <c r="D12" s="144"/>
      <c r="E12" s="144"/>
      <c r="F12" s="59">
        <f>ROUND(AVERAGE(F3:F11),2)</f>
        <v>71.709999999999994</v>
      </c>
      <c r="H12" s="143" t="s">
        <v>206</v>
      </c>
      <c r="I12" s="144"/>
      <c r="J12" s="144"/>
      <c r="K12" s="144"/>
      <c r="L12" s="144"/>
      <c r="M12" s="59">
        <f>ROUND(AVERAGE(M3:M11),2)</f>
        <v>69.8</v>
      </c>
      <c r="O12" s="143" t="s">
        <v>206</v>
      </c>
      <c r="P12" s="144"/>
      <c r="Q12" s="144"/>
      <c r="R12" s="144"/>
      <c r="S12" s="144"/>
      <c r="T12" s="59">
        <f>ROUND(AVERAGE(T3:T11),2)</f>
        <v>69.56</v>
      </c>
    </row>
    <row r="13" spans="1:20">
      <c r="A13" s="145">
        <v>2</v>
      </c>
      <c r="B13" s="151" t="s">
        <v>228</v>
      </c>
      <c r="C13" s="58" t="s">
        <v>246</v>
      </c>
      <c r="D13" s="60" t="s">
        <v>247</v>
      </c>
      <c r="E13" s="59">
        <v>64.02</v>
      </c>
      <c r="F13" s="59">
        <f>E13</f>
        <v>64.02</v>
      </c>
      <c r="H13" s="154" t="s">
        <v>227</v>
      </c>
      <c r="I13" s="162" t="s">
        <v>92</v>
      </c>
      <c r="J13" s="97" t="s">
        <v>246</v>
      </c>
      <c r="K13" s="97" t="s">
        <v>211</v>
      </c>
      <c r="L13" s="97" t="s">
        <v>211</v>
      </c>
      <c r="M13" s="97" t="s">
        <v>211</v>
      </c>
      <c r="O13" s="145">
        <v>2</v>
      </c>
      <c r="P13" s="154" t="s">
        <v>46</v>
      </c>
      <c r="Q13" s="58" t="s">
        <v>246</v>
      </c>
      <c r="R13" s="60" t="s">
        <v>247</v>
      </c>
      <c r="S13" s="59">
        <v>65.709999999999994</v>
      </c>
      <c r="T13" s="59">
        <f>S13</f>
        <v>65.709999999999994</v>
      </c>
    </row>
    <row r="14" spans="1:20">
      <c r="A14" s="146"/>
      <c r="B14" s="152"/>
      <c r="C14" s="58" t="s">
        <v>200</v>
      </c>
      <c r="D14" s="60" t="s">
        <v>209</v>
      </c>
      <c r="E14" s="59">
        <v>57.6</v>
      </c>
      <c r="F14" s="59">
        <f>E14</f>
        <v>57.6</v>
      </c>
      <c r="H14" s="155"/>
      <c r="I14" s="163"/>
      <c r="J14" s="58" t="s">
        <v>225</v>
      </c>
      <c r="K14" s="60" t="s">
        <v>209</v>
      </c>
      <c r="L14" s="59">
        <v>77.37</v>
      </c>
      <c r="M14" s="63">
        <f>L14</f>
        <v>77.37</v>
      </c>
      <c r="O14" s="146"/>
      <c r="P14" s="155"/>
      <c r="Q14" s="58" t="s">
        <v>225</v>
      </c>
      <c r="R14" s="59">
        <v>2022.9</v>
      </c>
      <c r="S14" s="59">
        <v>57.6</v>
      </c>
      <c r="T14" s="59">
        <f>S14</f>
        <v>57.6</v>
      </c>
    </row>
    <row r="15" spans="1:20">
      <c r="A15" s="146"/>
      <c r="B15" s="152"/>
      <c r="C15" s="58" t="s">
        <v>198</v>
      </c>
      <c r="D15" s="60" t="s">
        <v>208</v>
      </c>
      <c r="E15" s="59">
        <v>57.58</v>
      </c>
      <c r="F15" s="59">
        <f t="shared" ref="F15:F17" si="0">E15</f>
        <v>57.58</v>
      </c>
      <c r="H15" s="155"/>
      <c r="I15" s="163"/>
      <c r="J15" s="157" t="s">
        <v>221</v>
      </c>
      <c r="K15" s="60" t="s">
        <v>208</v>
      </c>
      <c r="L15" s="62">
        <v>101.8</v>
      </c>
      <c r="M15" s="158">
        <f>ROUND(AVERAGE(L15:L16),2)</f>
        <v>106.82</v>
      </c>
      <c r="O15" s="146"/>
      <c r="P15" s="155"/>
      <c r="Q15" s="143" t="s">
        <v>231</v>
      </c>
      <c r="R15" s="60" t="s">
        <v>208</v>
      </c>
      <c r="S15" s="59">
        <v>62.59</v>
      </c>
      <c r="T15" s="144">
        <f>ROUND(AVERAGE(S15:S16),2)</f>
        <v>60.78</v>
      </c>
    </row>
    <row r="16" spans="1:20">
      <c r="A16" s="146"/>
      <c r="B16" s="152"/>
      <c r="C16" s="58" t="s">
        <v>204</v>
      </c>
      <c r="D16" s="60" t="s">
        <v>210</v>
      </c>
      <c r="E16" s="59">
        <v>59.07</v>
      </c>
      <c r="F16" s="59">
        <f t="shared" si="0"/>
        <v>59.07</v>
      </c>
      <c r="H16" s="155"/>
      <c r="I16" s="163"/>
      <c r="J16" s="157"/>
      <c r="K16" s="60" t="s">
        <v>229</v>
      </c>
      <c r="L16" s="62">
        <v>111.83</v>
      </c>
      <c r="M16" s="158"/>
      <c r="O16" s="146"/>
      <c r="P16" s="155"/>
      <c r="Q16" s="144"/>
      <c r="R16" s="60" t="s">
        <v>208</v>
      </c>
      <c r="S16" s="59">
        <v>58.97</v>
      </c>
      <c r="T16" s="144"/>
    </row>
    <row r="17" spans="1:20">
      <c r="A17" s="147"/>
      <c r="B17" s="153"/>
      <c r="C17" s="97" t="s">
        <v>202</v>
      </c>
      <c r="D17" s="99" t="s">
        <v>211</v>
      </c>
      <c r="E17" s="99" t="s">
        <v>211</v>
      </c>
      <c r="F17" s="100" t="str">
        <f t="shared" si="0"/>
        <v>-</v>
      </c>
      <c r="H17" s="155"/>
      <c r="I17" s="163"/>
      <c r="J17" s="157" t="s">
        <v>203</v>
      </c>
      <c r="K17" s="60" t="s">
        <v>210</v>
      </c>
      <c r="L17" s="62">
        <v>62.46</v>
      </c>
      <c r="M17" s="159">
        <f>ROUND(AVERAGE(L17:L18),2)</f>
        <v>63.84</v>
      </c>
      <c r="O17" s="146"/>
      <c r="P17" s="155"/>
      <c r="Q17" s="143" t="s">
        <v>235</v>
      </c>
      <c r="R17" s="59">
        <v>2023.2</v>
      </c>
      <c r="S17" s="59">
        <v>58.23</v>
      </c>
      <c r="T17" s="144">
        <f>ROUND(AVERAGE(S17:S18),2)</f>
        <v>61.84</v>
      </c>
    </row>
    <row r="18" spans="1:20">
      <c r="A18" s="143" t="s">
        <v>206</v>
      </c>
      <c r="B18" s="144"/>
      <c r="C18" s="144"/>
      <c r="D18" s="144"/>
      <c r="E18" s="144"/>
      <c r="F18" s="59">
        <f>ROUND(AVERAGE(F13:F17),2)</f>
        <v>59.57</v>
      </c>
      <c r="H18" s="155"/>
      <c r="I18" s="163"/>
      <c r="J18" s="157"/>
      <c r="K18" s="60" t="s">
        <v>230</v>
      </c>
      <c r="L18" s="59">
        <v>65.22</v>
      </c>
      <c r="M18" s="159"/>
      <c r="O18" s="146"/>
      <c r="P18" s="155"/>
      <c r="Q18" s="143"/>
      <c r="R18" s="59">
        <v>2023.3</v>
      </c>
      <c r="S18" s="59">
        <v>65.44</v>
      </c>
      <c r="T18" s="144"/>
    </row>
    <row r="19" spans="1:20" ht="14.25" customHeight="1">
      <c r="A19" s="145">
        <v>3</v>
      </c>
      <c r="B19" s="148" t="s">
        <v>278</v>
      </c>
      <c r="C19" s="58" t="s">
        <v>246</v>
      </c>
      <c r="D19" s="60" t="s">
        <v>247</v>
      </c>
      <c r="E19" s="58" t="s">
        <v>248</v>
      </c>
      <c r="F19" s="59" t="str">
        <f>E19</f>
        <v>-</v>
      </c>
      <c r="H19" s="155"/>
      <c r="I19" s="163"/>
      <c r="J19" s="144" t="s">
        <v>201</v>
      </c>
      <c r="K19" s="61">
        <v>2023.4</v>
      </c>
      <c r="L19" s="59">
        <v>68.23</v>
      </c>
      <c r="M19" s="159">
        <f>ROUND(AVERAGE(L19:L20),2)</f>
        <v>68.510000000000005</v>
      </c>
      <c r="O19" s="147"/>
      <c r="P19" s="156"/>
      <c r="Q19" s="98" t="s">
        <v>201</v>
      </c>
      <c r="R19" s="98">
        <v>2023.5</v>
      </c>
      <c r="S19" s="98"/>
      <c r="T19" s="98"/>
    </row>
    <row r="20" spans="1:20">
      <c r="A20" s="146"/>
      <c r="B20" s="149"/>
      <c r="C20" s="58" t="s">
        <v>200</v>
      </c>
      <c r="D20" s="60" t="s">
        <v>214</v>
      </c>
      <c r="E20" s="59">
        <v>69.930000000000007</v>
      </c>
      <c r="F20" s="59">
        <f>E20</f>
        <v>69.930000000000007</v>
      </c>
      <c r="H20" s="156"/>
      <c r="I20" s="164"/>
      <c r="J20" s="144"/>
      <c r="K20" s="59">
        <v>2023.5</v>
      </c>
      <c r="L20" s="59">
        <v>68.78</v>
      </c>
      <c r="M20" s="159"/>
      <c r="O20" s="143" t="s">
        <v>206</v>
      </c>
      <c r="P20" s="144"/>
      <c r="Q20" s="144"/>
      <c r="R20" s="144"/>
      <c r="S20" s="144"/>
      <c r="T20" s="59">
        <f>ROUND(AVERAGE(T13:T19),2)</f>
        <v>61.48</v>
      </c>
    </row>
    <row r="21" spans="1:20">
      <c r="A21" s="146"/>
      <c r="B21" s="149"/>
      <c r="C21" s="143" t="s">
        <v>198</v>
      </c>
      <c r="D21" s="60" t="s">
        <v>208</v>
      </c>
      <c r="E21" s="59">
        <v>65.27</v>
      </c>
      <c r="F21" s="144">
        <f>ROUND(AVERAGE(E21:E22),2)</f>
        <v>72.760000000000005</v>
      </c>
      <c r="H21" s="143" t="s">
        <v>206</v>
      </c>
      <c r="I21" s="144"/>
      <c r="J21" s="144"/>
      <c r="K21" s="144"/>
      <c r="L21" s="144"/>
      <c r="M21" s="59">
        <f>ROUND(AVERAGE(M13:M20),2)</f>
        <v>79.14</v>
      </c>
      <c r="O21" s="144">
        <v>3</v>
      </c>
      <c r="P21" s="143" t="s">
        <v>54</v>
      </c>
      <c r="Q21" s="58" t="s">
        <v>246</v>
      </c>
      <c r="R21" s="58" t="s">
        <v>211</v>
      </c>
      <c r="S21" s="58" t="s">
        <v>211</v>
      </c>
      <c r="T21" s="58" t="s">
        <v>211</v>
      </c>
    </row>
    <row r="22" spans="1:20" ht="14.25" customHeight="1">
      <c r="A22" s="146"/>
      <c r="B22" s="149"/>
      <c r="C22" s="143"/>
      <c r="D22" s="60" t="s">
        <v>213</v>
      </c>
      <c r="E22" s="59">
        <v>80.25</v>
      </c>
      <c r="F22" s="144"/>
      <c r="H22" s="145">
        <v>3</v>
      </c>
      <c r="I22" s="148" t="s">
        <v>54</v>
      </c>
      <c r="J22" s="58" t="s">
        <v>246</v>
      </c>
      <c r="K22" s="58" t="s">
        <v>211</v>
      </c>
      <c r="L22" s="58" t="s">
        <v>211</v>
      </c>
      <c r="M22" s="58" t="s">
        <v>211</v>
      </c>
      <c r="O22" s="144"/>
      <c r="P22" s="143"/>
      <c r="Q22" s="58" t="s">
        <v>225</v>
      </c>
      <c r="R22" s="58" t="s">
        <v>211</v>
      </c>
      <c r="S22" s="58" t="s">
        <v>211</v>
      </c>
      <c r="T22" s="58" t="s">
        <v>211</v>
      </c>
    </row>
    <row r="23" spans="1:20" ht="14.25" customHeight="1">
      <c r="A23" s="146"/>
      <c r="B23" s="149"/>
      <c r="C23" s="143" t="s">
        <v>204</v>
      </c>
      <c r="D23" s="60" t="s">
        <v>218</v>
      </c>
      <c r="E23" s="59">
        <v>84.35</v>
      </c>
      <c r="F23" s="144">
        <f>ROUND(AVERAGE(E23:E25),2)</f>
        <v>79.11</v>
      </c>
      <c r="H23" s="146"/>
      <c r="I23" s="149"/>
      <c r="J23" s="58" t="s">
        <v>225</v>
      </c>
      <c r="K23" s="60" t="s">
        <v>209</v>
      </c>
      <c r="L23" s="59">
        <v>69.930000000000007</v>
      </c>
      <c r="M23" s="59">
        <f>L23</f>
        <v>69.930000000000007</v>
      </c>
      <c r="O23" s="144"/>
      <c r="P23" s="144"/>
      <c r="Q23" s="58" t="s">
        <v>231</v>
      </c>
      <c r="R23" s="59">
        <v>2022.12</v>
      </c>
      <c r="S23" s="59">
        <v>80.39</v>
      </c>
      <c r="T23" s="59">
        <f>S23</f>
        <v>80.39</v>
      </c>
    </row>
    <row r="24" spans="1:20">
      <c r="A24" s="146"/>
      <c r="B24" s="149"/>
      <c r="C24" s="143"/>
      <c r="D24" s="60" t="s">
        <v>210</v>
      </c>
      <c r="E24" s="59">
        <v>75.260000000000005</v>
      </c>
      <c r="F24" s="144"/>
      <c r="H24" s="146"/>
      <c r="I24" s="149"/>
      <c r="J24" s="144" t="s">
        <v>221</v>
      </c>
      <c r="K24" s="60" t="s">
        <v>208</v>
      </c>
      <c r="L24" s="59">
        <v>69.989999999999995</v>
      </c>
      <c r="M24" s="144">
        <f>ROUND(AVERAGE(L24:L26),2)</f>
        <v>71.42</v>
      </c>
      <c r="O24" s="144"/>
      <c r="P24" s="144"/>
      <c r="Q24" s="143" t="s">
        <v>232</v>
      </c>
      <c r="R24" s="59">
        <v>2023.1</v>
      </c>
      <c r="S24" s="59">
        <v>85.29</v>
      </c>
      <c r="T24" s="144">
        <f>ROUND(AVERAGE(S24:S27),2)</f>
        <v>81.790000000000006</v>
      </c>
    </row>
    <row r="25" spans="1:20">
      <c r="A25" s="146"/>
      <c r="B25" s="149"/>
      <c r="C25" s="143"/>
      <c r="D25" s="60" t="s">
        <v>217</v>
      </c>
      <c r="E25" s="59">
        <v>77.709999999999994</v>
      </c>
      <c r="F25" s="144"/>
      <c r="H25" s="146"/>
      <c r="I25" s="149"/>
      <c r="J25" s="144"/>
      <c r="K25" s="60" t="s">
        <v>229</v>
      </c>
      <c r="L25" s="59">
        <v>71.510000000000005</v>
      </c>
      <c r="M25" s="144"/>
      <c r="O25" s="144"/>
      <c r="P25" s="144"/>
      <c r="Q25" s="144"/>
      <c r="R25" s="59">
        <v>2023.1</v>
      </c>
      <c r="S25" s="59">
        <v>84.53</v>
      </c>
      <c r="T25" s="144"/>
    </row>
    <row r="26" spans="1:20">
      <c r="A26" s="146"/>
      <c r="B26" s="149"/>
      <c r="C26" s="143" t="s">
        <v>202</v>
      </c>
      <c r="D26" s="60" t="s">
        <v>216</v>
      </c>
      <c r="E26" s="59">
        <v>68.739999999999995</v>
      </c>
      <c r="F26" s="144">
        <f>ROUND(AVERAGE(E26:E27),2)</f>
        <v>72.8</v>
      </c>
      <c r="H26" s="146"/>
      <c r="I26" s="149"/>
      <c r="J26" s="144"/>
      <c r="K26" s="59">
        <v>2022.12</v>
      </c>
      <c r="L26" s="59">
        <v>72.77</v>
      </c>
      <c r="M26" s="144"/>
      <c r="O26" s="144"/>
      <c r="P26" s="144"/>
      <c r="Q26" s="144"/>
      <c r="R26" s="59">
        <v>2023.2</v>
      </c>
      <c r="S26" s="59">
        <v>88.24</v>
      </c>
      <c r="T26" s="144"/>
    </row>
    <row r="27" spans="1:20">
      <c r="A27" s="147"/>
      <c r="B27" s="150"/>
      <c r="C27" s="143"/>
      <c r="D27" s="60" t="s">
        <v>215</v>
      </c>
      <c r="E27" s="59">
        <v>76.849999999999994</v>
      </c>
      <c r="F27" s="144"/>
      <c r="H27" s="146"/>
      <c r="I27" s="149"/>
      <c r="J27" s="144" t="s">
        <v>203</v>
      </c>
      <c r="K27" s="59">
        <v>2023.1</v>
      </c>
      <c r="L27" s="59">
        <v>72.92</v>
      </c>
      <c r="M27" s="144">
        <f>ROUND(AVERAGE(L27:L29),2)</f>
        <v>73.05</v>
      </c>
      <c r="O27" s="144"/>
      <c r="P27" s="144"/>
      <c r="Q27" s="144"/>
      <c r="R27" s="59">
        <v>2023.2</v>
      </c>
      <c r="S27" s="59">
        <v>69.099999999999994</v>
      </c>
      <c r="T27" s="144"/>
    </row>
    <row r="28" spans="1:20">
      <c r="A28" s="143" t="s">
        <v>206</v>
      </c>
      <c r="B28" s="144"/>
      <c r="C28" s="144"/>
      <c r="D28" s="144"/>
      <c r="E28" s="144"/>
      <c r="F28" s="59">
        <f>ROUND(AVERAGE(F19:F27),2)</f>
        <v>73.650000000000006</v>
      </c>
      <c r="H28" s="146"/>
      <c r="I28" s="149"/>
      <c r="J28" s="144"/>
      <c r="K28" s="61">
        <v>2023.2</v>
      </c>
      <c r="L28" s="59">
        <v>72.19</v>
      </c>
      <c r="M28" s="144"/>
      <c r="O28" s="144"/>
      <c r="P28" s="144"/>
      <c r="Q28" s="143" t="s">
        <v>202</v>
      </c>
      <c r="R28" s="59">
        <v>2023.4</v>
      </c>
      <c r="S28" s="59">
        <v>68.069999999999993</v>
      </c>
      <c r="T28" s="144">
        <f>ROUND(AVERAGE(S28:S31),2)</f>
        <v>71.459999999999994</v>
      </c>
    </row>
    <row r="29" spans="1:20">
      <c r="A29" s="145">
        <v>4</v>
      </c>
      <c r="B29" s="151" t="s">
        <v>48</v>
      </c>
      <c r="C29" s="58" t="s">
        <v>246</v>
      </c>
      <c r="D29" s="60" t="s">
        <v>247</v>
      </c>
      <c r="E29" s="59">
        <v>69.989999999999995</v>
      </c>
      <c r="F29" s="59">
        <f>E29</f>
        <v>69.989999999999995</v>
      </c>
      <c r="H29" s="146"/>
      <c r="I29" s="149"/>
      <c r="J29" s="144"/>
      <c r="K29" s="61">
        <v>2023.3</v>
      </c>
      <c r="L29" s="59">
        <v>74.040000000000006</v>
      </c>
      <c r="M29" s="144"/>
      <c r="O29" s="144"/>
      <c r="P29" s="144"/>
      <c r="Q29" s="143"/>
      <c r="R29" s="59"/>
      <c r="S29" s="59"/>
      <c r="T29" s="144"/>
    </row>
    <row r="30" spans="1:20">
      <c r="A30" s="146"/>
      <c r="B30" s="152"/>
      <c r="C30" s="143" t="s">
        <v>200</v>
      </c>
      <c r="D30" s="59">
        <v>2022.7</v>
      </c>
      <c r="E30" s="59">
        <v>73.010000000000005</v>
      </c>
      <c r="F30" s="144">
        <f>ROUND(AVERAGE(E30:E32),2)</f>
        <v>71.900000000000006</v>
      </c>
      <c r="H30" s="146"/>
      <c r="I30" s="149"/>
      <c r="J30" s="144" t="s">
        <v>201</v>
      </c>
      <c r="K30" s="61">
        <v>2023.4</v>
      </c>
      <c r="L30" s="59">
        <v>74.61</v>
      </c>
      <c r="M30" s="144">
        <f>ROUND(AVERAGE(L30:L31),2)</f>
        <v>74.66</v>
      </c>
      <c r="O30" s="144"/>
      <c r="P30" s="144"/>
      <c r="Q30" s="144"/>
      <c r="R30" s="59">
        <v>2023.4</v>
      </c>
      <c r="S30" s="59">
        <v>69.459999999999994</v>
      </c>
      <c r="T30" s="144"/>
    </row>
    <row r="31" spans="1:20">
      <c r="A31" s="146"/>
      <c r="B31" s="152"/>
      <c r="C31" s="143"/>
      <c r="D31" s="59">
        <v>2022.8</v>
      </c>
      <c r="E31" s="59">
        <v>73</v>
      </c>
      <c r="F31" s="144"/>
      <c r="H31" s="147"/>
      <c r="I31" s="150"/>
      <c r="J31" s="144"/>
      <c r="K31" s="59">
        <v>2023.5</v>
      </c>
      <c r="L31" s="59">
        <v>74.7</v>
      </c>
      <c r="M31" s="144"/>
      <c r="O31" s="144"/>
      <c r="P31" s="144"/>
      <c r="Q31" s="144"/>
      <c r="R31" s="59">
        <v>2023.5</v>
      </c>
      <c r="S31" s="59">
        <v>76.849999999999994</v>
      </c>
      <c r="T31" s="144"/>
    </row>
    <row r="32" spans="1:20">
      <c r="A32" s="146"/>
      <c r="B32" s="152"/>
      <c r="C32" s="143"/>
      <c r="D32" s="59">
        <v>2022.9</v>
      </c>
      <c r="E32" s="59">
        <v>69.7</v>
      </c>
      <c r="F32" s="144"/>
      <c r="H32" s="143" t="s">
        <v>206</v>
      </c>
      <c r="I32" s="144"/>
      <c r="J32" s="144"/>
      <c r="K32" s="144"/>
      <c r="L32" s="144"/>
      <c r="M32" s="59">
        <f>ROUND(AVERAGE(M22:M31),2)</f>
        <v>72.27</v>
      </c>
      <c r="O32" s="143" t="s">
        <v>206</v>
      </c>
      <c r="P32" s="144"/>
      <c r="Q32" s="144"/>
      <c r="R32" s="144"/>
      <c r="S32" s="144"/>
      <c r="T32" s="59">
        <f>ROUND(AVERAGE(T21:T31),2)</f>
        <v>77.88</v>
      </c>
    </row>
    <row r="33" spans="1:20">
      <c r="A33" s="146"/>
      <c r="B33" s="152"/>
      <c r="C33" s="144" t="s">
        <v>221</v>
      </c>
      <c r="D33" s="60" t="s">
        <v>220</v>
      </c>
      <c r="E33" s="59">
        <v>71.55</v>
      </c>
      <c r="F33" s="144">
        <f>ROUND(AVERAGE(E33:E35),2)</f>
        <v>67.2</v>
      </c>
      <c r="H33" s="145">
        <v>4</v>
      </c>
      <c r="I33" s="151" t="s">
        <v>48</v>
      </c>
      <c r="J33" s="58" t="s">
        <v>246</v>
      </c>
      <c r="K33" s="58">
        <v>2022.6</v>
      </c>
      <c r="L33" s="58">
        <v>69.11</v>
      </c>
      <c r="M33" s="58">
        <f>L33</f>
        <v>69.11</v>
      </c>
      <c r="O33" s="145">
        <v>4</v>
      </c>
      <c r="P33" s="145" t="s">
        <v>95</v>
      </c>
      <c r="Q33" s="97" t="s">
        <v>249</v>
      </c>
      <c r="R33" s="97" t="s">
        <v>211</v>
      </c>
      <c r="S33" s="97" t="s">
        <v>211</v>
      </c>
      <c r="T33" s="97" t="s">
        <v>211</v>
      </c>
    </row>
    <row r="34" spans="1:20">
      <c r="A34" s="146"/>
      <c r="B34" s="152"/>
      <c r="C34" s="144"/>
      <c r="D34" s="59">
        <v>2022.11</v>
      </c>
      <c r="E34" s="59">
        <v>62.68</v>
      </c>
      <c r="F34" s="144"/>
      <c r="H34" s="146"/>
      <c r="I34" s="152"/>
      <c r="J34" s="143" t="s">
        <v>225</v>
      </c>
      <c r="K34" s="59">
        <v>2022.7</v>
      </c>
      <c r="L34" s="59">
        <v>71.05</v>
      </c>
      <c r="M34" s="144">
        <f>ROUND(AVERAGE(L34:L36),2)</f>
        <v>70.17</v>
      </c>
      <c r="O34" s="146"/>
      <c r="P34" s="146"/>
      <c r="Q34" s="97" t="s">
        <v>225</v>
      </c>
      <c r="R34" s="97" t="s">
        <v>211</v>
      </c>
      <c r="S34" s="97" t="s">
        <v>211</v>
      </c>
      <c r="T34" s="97" t="s">
        <v>211</v>
      </c>
    </row>
    <row r="35" spans="1:20">
      <c r="A35" s="146"/>
      <c r="B35" s="152"/>
      <c r="C35" s="144"/>
      <c r="D35" s="60" t="s">
        <v>213</v>
      </c>
      <c r="E35" s="59">
        <v>67.36</v>
      </c>
      <c r="F35" s="144"/>
      <c r="H35" s="146"/>
      <c r="I35" s="152"/>
      <c r="J35" s="143"/>
      <c r="K35" s="59">
        <v>2022.8</v>
      </c>
      <c r="L35" s="59">
        <v>68.56</v>
      </c>
      <c r="M35" s="144"/>
      <c r="O35" s="146"/>
      <c r="P35" s="146"/>
      <c r="Q35" s="144" t="s">
        <v>221</v>
      </c>
      <c r="R35" s="59">
        <v>2022.11</v>
      </c>
      <c r="S35" s="59">
        <v>70</v>
      </c>
      <c r="T35" s="144">
        <f>ROUND(AVERAGE(S35:S38),2)</f>
        <v>66.39</v>
      </c>
    </row>
    <row r="36" spans="1:20">
      <c r="A36" s="146"/>
      <c r="B36" s="152"/>
      <c r="C36" s="144" t="s">
        <v>203</v>
      </c>
      <c r="D36" s="59">
        <v>2023.1</v>
      </c>
      <c r="E36" s="59">
        <v>64.05</v>
      </c>
      <c r="F36" s="144">
        <f>ROUND(AVERAGE(E36:E38),2)</f>
        <v>67.16</v>
      </c>
      <c r="H36" s="146"/>
      <c r="I36" s="152"/>
      <c r="J36" s="143"/>
      <c r="K36" s="60" t="s">
        <v>209</v>
      </c>
      <c r="L36" s="59">
        <v>70.91</v>
      </c>
      <c r="M36" s="144"/>
      <c r="O36" s="146"/>
      <c r="P36" s="146"/>
      <c r="Q36" s="144"/>
      <c r="R36" s="59">
        <v>2022.12</v>
      </c>
      <c r="S36" s="59">
        <v>66.22</v>
      </c>
      <c r="T36" s="144"/>
    </row>
    <row r="37" spans="1:20">
      <c r="A37" s="146"/>
      <c r="B37" s="152"/>
      <c r="C37" s="144"/>
      <c r="D37" s="59">
        <v>2023.2</v>
      </c>
      <c r="E37" s="59">
        <v>67.62</v>
      </c>
      <c r="F37" s="144"/>
      <c r="H37" s="146"/>
      <c r="I37" s="152"/>
      <c r="J37" s="144" t="s">
        <v>221</v>
      </c>
      <c r="K37" s="60" t="s">
        <v>208</v>
      </c>
      <c r="L37" s="59">
        <v>70.59</v>
      </c>
      <c r="M37" s="144">
        <f>ROUND(AVERAGE(L37:L39),2)</f>
        <v>70.680000000000007</v>
      </c>
      <c r="O37" s="146"/>
      <c r="P37" s="146"/>
      <c r="Q37" s="144"/>
      <c r="R37" s="59">
        <v>2022.12</v>
      </c>
      <c r="S37" s="59">
        <v>64.47</v>
      </c>
      <c r="T37" s="144"/>
    </row>
    <row r="38" spans="1:20">
      <c r="A38" s="146"/>
      <c r="B38" s="152"/>
      <c r="C38" s="144"/>
      <c r="D38" s="59">
        <v>2023.3</v>
      </c>
      <c r="E38" s="59">
        <v>69.819999999999993</v>
      </c>
      <c r="F38" s="144"/>
      <c r="H38" s="146"/>
      <c r="I38" s="152"/>
      <c r="J38" s="144"/>
      <c r="K38" s="60" t="s">
        <v>229</v>
      </c>
      <c r="L38" s="59">
        <v>71.349999999999994</v>
      </c>
      <c r="M38" s="144"/>
      <c r="O38" s="146"/>
      <c r="P38" s="146"/>
      <c r="Q38" s="144"/>
      <c r="R38" s="59">
        <v>2022.12</v>
      </c>
      <c r="S38" s="59">
        <v>64.86</v>
      </c>
      <c r="T38" s="144"/>
    </row>
    <row r="39" spans="1:20">
      <c r="A39" s="146"/>
      <c r="B39" s="152"/>
      <c r="C39" s="144" t="s">
        <v>201</v>
      </c>
      <c r="D39" s="59">
        <v>2023.4</v>
      </c>
      <c r="E39" s="59">
        <v>67.09</v>
      </c>
      <c r="F39" s="144">
        <f>ROUND(AVERAGE(E39:E40),2)</f>
        <v>67.790000000000006</v>
      </c>
      <c r="H39" s="146"/>
      <c r="I39" s="152"/>
      <c r="J39" s="144"/>
      <c r="K39" s="59">
        <v>2022.12</v>
      </c>
      <c r="L39" s="59">
        <v>70.09</v>
      </c>
      <c r="M39" s="144"/>
      <c r="O39" s="146"/>
      <c r="P39" s="146"/>
      <c r="Q39" s="144" t="s">
        <v>203</v>
      </c>
      <c r="R39" s="59">
        <v>2023.2</v>
      </c>
      <c r="S39" s="59">
        <v>66.67</v>
      </c>
      <c r="T39" s="144">
        <f>ROUND(AVERAGE(S39:S42),2)</f>
        <v>70.3</v>
      </c>
    </row>
    <row r="40" spans="1:20">
      <c r="A40" s="147"/>
      <c r="B40" s="153"/>
      <c r="C40" s="144"/>
      <c r="D40" s="59">
        <v>2023.5</v>
      </c>
      <c r="E40" s="59">
        <v>68.489999999999995</v>
      </c>
      <c r="F40" s="144"/>
      <c r="H40" s="146"/>
      <c r="I40" s="152"/>
      <c r="J40" s="144" t="s">
        <v>203</v>
      </c>
      <c r="K40" s="59">
        <v>2023.1</v>
      </c>
      <c r="L40" s="59">
        <v>69.38</v>
      </c>
      <c r="M40" s="144">
        <f>ROUND(AVERAGE(L40:L42),2)</f>
        <v>69.89</v>
      </c>
      <c r="O40" s="146"/>
      <c r="P40" s="146"/>
      <c r="Q40" s="144"/>
      <c r="R40" s="59">
        <v>2023.3</v>
      </c>
      <c r="S40" s="59">
        <v>69.319999999999993</v>
      </c>
      <c r="T40" s="144"/>
    </row>
    <row r="41" spans="1:20">
      <c r="A41" s="143" t="s">
        <v>206</v>
      </c>
      <c r="B41" s="144"/>
      <c r="C41" s="144"/>
      <c r="D41" s="144"/>
      <c r="E41" s="144"/>
      <c r="F41" s="59">
        <f>ROUND(AVERAGE(F29:F40),2)</f>
        <v>68.81</v>
      </c>
      <c r="H41" s="146"/>
      <c r="I41" s="152"/>
      <c r="J41" s="144"/>
      <c r="K41" s="61">
        <v>2023.2</v>
      </c>
      <c r="L41" s="59">
        <v>70.37</v>
      </c>
      <c r="M41" s="144"/>
      <c r="O41" s="146"/>
      <c r="P41" s="146"/>
      <c r="Q41" s="144"/>
      <c r="R41" s="59">
        <v>2023.3</v>
      </c>
      <c r="S41" s="59">
        <v>74.14</v>
      </c>
      <c r="T41" s="144"/>
    </row>
    <row r="42" spans="1:20">
      <c r="H42" s="146"/>
      <c r="I42" s="152"/>
      <c r="J42" s="144"/>
      <c r="K42" s="61">
        <v>2023.3</v>
      </c>
      <c r="L42" s="59">
        <v>69.92</v>
      </c>
      <c r="M42" s="144"/>
      <c r="O42" s="146"/>
      <c r="P42" s="146"/>
      <c r="Q42" s="144"/>
      <c r="R42" s="59">
        <v>2023.3</v>
      </c>
      <c r="S42" s="59">
        <v>71.06</v>
      </c>
      <c r="T42" s="144"/>
    </row>
    <row r="43" spans="1:20">
      <c r="H43" s="146"/>
      <c r="I43" s="152"/>
      <c r="J43" s="144" t="s">
        <v>201</v>
      </c>
      <c r="K43" s="61">
        <v>2023.4</v>
      </c>
      <c r="L43" s="59">
        <v>70.069999999999993</v>
      </c>
      <c r="M43" s="144">
        <f>ROUND(AVERAGE(L43:L44),2)</f>
        <v>70.39</v>
      </c>
      <c r="O43" s="146"/>
      <c r="P43" s="146"/>
      <c r="Q43" s="145" t="s">
        <v>201</v>
      </c>
      <c r="R43" s="59">
        <v>2023.4</v>
      </c>
      <c r="S43" s="59">
        <v>68.38</v>
      </c>
      <c r="T43" s="145">
        <f>ROUND(AVERAGE(S43:S44),2)</f>
        <v>68.36</v>
      </c>
    </row>
    <row r="44" spans="1:20">
      <c r="H44" s="147"/>
      <c r="I44" s="153"/>
      <c r="J44" s="144"/>
      <c r="K44" s="59">
        <v>2023.5</v>
      </c>
      <c r="L44" s="59">
        <v>70.709999999999994</v>
      </c>
      <c r="M44" s="144"/>
      <c r="O44" s="147"/>
      <c r="P44" s="147"/>
      <c r="Q44" s="147"/>
      <c r="R44" s="59">
        <v>2023.5</v>
      </c>
      <c r="S44" s="59">
        <v>68.33</v>
      </c>
      <c r="T44" s="146"/>
    </row>
    <row r="45" spans="1:20">
      <c r="H45" s="143" t="s">
        <v>206</v>
      </c>
      <c r="I45" s="144"/>
      <c r="J45" s="144"/>
      <c r="K45" s="144"/>
      <c r="L45" s="144"/>
      <c r="M45" s="59">
        <f>ROUND(AVERAGE(M33:M44),2)</f>
        <v>70.05</v>
      </c>
      <c r="O45" s="143" t="s">
        <v>206</v>
      </c>
      <c r="P45" s="144"/>
      <c r="Q45" s="144"/>
      <c r="R45" s="144"/>
      <c r="S45" s="144"/>
      <c r="T45" s="59">
        <f>ROUND(AVERAGE(T33:T44),2)</f>
        <v>68.349999999999994</v>
      </c>
    </row>
    <row r="48" spans="1:20">
      <c r="A48" s="143" t="s">
        <v>238</v>
      </c>
      <c r="B48" s="143"/>
      <c r="C48" s="143"/>
      <c r="D48" s="143"/>
      <c r="E48" s="143"/>
      <c r="F48" s="143"/>
    </row>
    <row r="49" spans="1:9">
      <c r="A49" s="52" t="s">
        <v>110</v>
      </c>
      <c r="B49" s="52" t="s">
        <v>194</v>
      </c>
      <c r="C49" s="52" t="s">
        <v>239</v>
      </c>
      <c r="D49" s="53" t="s">
        <v>240</v>
      </c>
      <c r="E49" s="52" t="s">
        <v>241</v>
      </c>
      <c r="F49" s="52" t="s">
        <v>242</v>
      </c>
      <c r="G49" s="73" t="s">
        <v>316</v>
      </c>
      <c r="H49" s="73" t="s">
        <v>317</v>
      </c>
      <c r="I49" s="73" t="s">
        <v>318</v>
      </c>
    </row>
    <row r="50" spans="1:9" ht="28.5">
      <c r="A50" s="55">
        <v>1</v>
      </c>
      <c r="B50" s="56" t="s">
        <v>226</v>
      </c>
      <c r="C50" s="52">
        <f>F12</f>
        <v>71.709999999999994</v>
      </c>
      <c r="D50" s="57">
        <f>M12</f>
        <v>69.8</v>
      </c>
      <c r="E50" s="55">
        <f>T12</f>
        <v>69.56</v>
      </c>
      <c r="F50" s="55">
        <f>ROUND(AVERAGE(C50:E50),2)</f>
        <v>70.36</v>
      </c>
      <c r="G50" s="25">
        <v>2.91</v>
      </c>
      <c r="H50" s="25">
        <f>30/12</f>
        <v>2.5</v>
      </c>
      <c r="I50" s="25">
        <f>ROUND(F50-G50-H50,2)</f>
        <v>64.95</v>
      </c>
    </row>
    <row r="51" spans="1:9">
      <c r="A51" s="55">
        <v>2</v>
      </c>
      <c r="B51" s="54" t="s">
        <v>92</v>
      </c>
      <c r="C51" s="55">
        <f>F18</f>
        <v>59.57</v>
      </c>
      <c r="D51" s="57">
        <f>M21</f>
        <v>79.14</v>
      </c>
      <c r="E51" s="55">
        <f>T20</f>
        <v>61.48</v>
      </c>
      <c r="F51" s="55">
        <f t="shared" ref="F51:F52" si="1">ROUND(AVERAGE(C51:E51),2)</f>
        <v>66.73</v>
      </c>
      <c r="G51" s="25">
        <v>2.2000000000000002</v>
      </c>
      <c r="H51" s="74">
        <f t="shared" ref="H51:H53" si="2">30/12</f>
        <v>2.5</v>
      </c>
      <c r="I51" s="74">
        <f t="shared" ref="I51:I53" si="3">ROUND(F51-G51-H51,2)</f>
        <v>62.03</v>
      </c>
    </row>
    <row r="52" spans="1:9" ht="28.5">
      <c r="A52" s="55">
        <v>3</v>
      </c>
      <c r="B52" s="54" t="s">
        <v>93</v>
      </c>
      <c r="C52" s="55">
        <f>F28</f>
        <v>73.650000000000006</v>
      </c>
      <c r="D52" s="57">
        <f>M32</f>
        <v>72.27</v>
      </c>
      <c r="E52" s="55">
        <f>T32</f>
        <v>77.88</v>
      </c>
      <c r="F52" s="55">
        <f t="shared" si="1"/>
        <v>74.599999999999994</v>
      </c>
      <c r="G52" s="25">
        <v>1.85</v>
      </c>
      <c r="H52" s="74">
        <f t="shared" si="2"/>
        <v>2.5</v>
      </c>
      <c r="I52" s="74">
        <f t="shared" si="3"/>
        <v>70.25</v>
      </c>
    </row>
    <row r="53" spans="1:9">
      <c r="A53" s="55">
        <v>4</v>
      </c>
      <c r="B53" s="56" t="s">
        <v>237</v>
      </c>
      <c r="C53" s="55">
        <f>F41</f>
        <v>68.81</v>
      </c>
      <c r="D53" s="57">
        <f>M45</f>
        <v>70.05</v>
      </c>
      <c r="E53" s="55">
        <f>T45</f>
        <v>68.349999999999994</v>
      </c>
      <c r="F53" s="55">
        <f>ROUND(AVERAGE(C53:E53),2)</f>
        <v>69.069999999999993</v>
      </c>
      <c r="G53" s="25">
        <v>1.98</v>
      </c>
      <c r="H53" s="74">
        <f t="shared" si="2"/>
        <v>2.5</v>
      </c>
      <c r="I53" s="74">
        <f t="shared" si="3"/>
        <v>64.59</v>
      </c>
    </row>
    <row r="55" spans="1:9">
      <c r="D55" s="25"/>
    </row>
    <row r="56" spans="1:9">
      <c r="D56" s="25"/>
    </row>
    <row r="57" spans="1:9">
      <c r="D57" s="25"/>
    </row>
    <row r="58" spans="1:9">
      <c r="D58" s="25"/>
    </row>
  </sheetData>
  <mergeCells count="108">
    <mergeCell ref="A12:E12"/>
    <mergeCell ref="A1:F1"/>
    <mergeCell ref="A18:E18"/>
    <mergeCell ref="F4:F5"/>
    <mergeCell ref="F6:F8"/>
    <mergeCell ref="F9:F10"/>
    <mergeCell ref="A13:A17"/>
    <mergeCell ref="B13:B17"/>
    <mergeCell ref="A3:A11"/>
    <mergeCell ref="B3:B11"/>
    <mergeCell ref="O1:T1"/>
    <mergeCell ref="Q6:Q7"/>
    <mergeCell ref="Q8:Q9"/>
    <mergeCell ref="Q10:Q11"/>
    <mergeCell ref="Q4:Q5"/>
    <mergeCell ref="T4:T5"/>
    <mergeCell ref="T6:T7"/>
    <mergeCell ref="C9:C10"/>
    <mergeCell ref="C6:C8"/>
    <mergeCell ref="C4:C5"/>
    <mergeCell ref="T10:T11"/>
    <mergeCell ref="T8:T9"/>
    <mergeCell ref="O3:O11"/>
    <mergeCell ref="P3:P11"/>
    <mergeCell ref="H12:L12"/>
    <mergeCell ref="J15:J16"/>
    <mergeCell ref="J17:J18"/>
    <mergeCell ref="J19:J20"/>
    <mergeCell ref="M15:M16"/>
    <mergeCell ref="M17:M18"/>
    <mergeCell ref="M19:M20"/>
    <mergeCell ref="H1:M1"/>
    <mergeCell ref="J5:J6"/>
    <mergeCell ref="J7:J9"/>
    <mergeCell ref="J10:J11"/>
    <mergeCell ref="M5:M6"/>
    <mergeCell ref="M7:M9"/>
    <mergeCell ref="M10:M11"/>
    <mergeCell ref="H3:H11"/>
    <mergeCell ref="I3:I11"/>
    <mergeCell ref="H13:H20"/>
    <mergeCell ref="I13:I20"/>
    <mergeCell ref="O20:S20"/>
    <mergeCell ref="Q24:Q27"/>
    <mergeCell ref="Q28:Q31"/>
    <mergeCell ref="P21:P31"/>
    <mergeCell ref="O21:O31"/>
    <mergeCell ref="Q15:Q16"/>
    <mergeCell ref="Q17:Q18"/>
    <mergeCell ref="T15:T16"/>
    <mergeCell ref="T17:T18"/>
    <mergeCell ref="O13:O19"/>
    <mergeCell ref="P13:P19"/>
    <mergeCell ref="O12:S12"/>
    <mergeCell ref="O45:S45"/>
    <mergeCell ref="A48:F48"/>
    <mergeCell ref="T35:T38"/>
    <mergeCell ref="T39:T42"/>
    <mergeCell ref="T24:T27"/>
    <mergeCell ref="T28:T31"/>
    <mergeCell ref="O32:S32"/>
    <mergeCell ref="Q35:Q38"/>
    <mergeCell ref="Q39:Q42"/>
    <mergeCell ref="C23:C25"/>
    <mergeCell ref="C26:C27"/>
    <mergeCell ref="F23:F25"/>
    <mergeCell ref="F26:F27"/>
    <mergeCell ref="A28:E28"/>
    <mergeCell ref="C30:C32"/>
    <mergeCell ref="F30:F32"/>
    <mergeCell ref="A41:E41"/>
    <mergeCell ref="Q43:Q44"/>
    <mergeCell ref="M43:M44"/>
    <mergeCell ref="H45:L45"/>
    <mergeCell ref="A19:A27"/>
    <mergeCell ref="B19:B27"/>
    <mergeCell ref="C21:C22"/>
    <mergeCell ref="F21:F22"/>
    <mergeCell ref="A29:A40"/>
    <mergeCell ref="B29:B40"/>
    <mergeCell ref="C33:C35"/>
    <mergeCell ref="F33:F35"/>
    <mergeCell ref="C36:C38"/>
    <mergeCell ref="F36:F38"/>
    <mergeCell ref="C39:C40"/>
    <mergeCell ref="F39:F40"/>
    <mergeCell ref="T43:T44"/>
    <mergeCell ref="P33:P44"/>
    <mergeCell ref="O33:O44"/>
    <mergeCell ref="H32:L32"/>
    <mergeCell ref="H33:H44"/>
    <mergeCell ref="I33:I44"/>
    <mergeCell ref="J34:J36"/>
    <mergeCell ref="M34:M36"/>
    <mergeCell ref="J37:J39"/>
    <mergeCell ref="M37:M39"/>
    <mergeCell ref="J40:J42"/>
    <mergeCell ref="M40:M42"/>
    <mergeCell ref="J43:J44"/>
    <mergeCell ref="H21:L21"/>
    <mergeCell ref="H22:H31"/>
    <mergeCell ref="I22:I31"/>
    <mergeCell ref="J24:J26"/>
    <mergeCell ref="M24:M26"/>
    <mergeCell ref="J27:J29"/>
    <mergeCell ref="M27:M29"/>
    <mergeCell ref="J30:J31"/>
    <mergeCell ref="M30:M3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E81" sqref="E81:E92"/>
    </sheetView>
  </sheetViews>
  <sheetFormatPr defaultRowHeight="14.25"/>
  <cols>
    <col min="2" max="2" width="15.75" customWidth="1"/>
    <col min="3" max="3" width="12.25" customWidth="1"/>
    <col min="4" max="4" width="12.875" customWidth="1"/>
    <col min="5" max="5" width="13.375" customWidth="1"/>
  </cols>
  <sheetData>
    <row r="1" spans="1:12">
      <c r="A1" s="24" t="s">
        <v>68</v>
      </c>
      <c r="B1" s="24" t="s">
        <v>69</v>
      </c>
      <c r="C1" s="24" t="s">
        <v>70</v>
      </c>
      <c r="D1" s="24" t="s">
        <v>71</v>
      </c>
      <c r="E1" s="24" t="s">
        <v>72</v>
      </c>
      <c r="I1" s="30" t="s">
        <v>124</v>
      </c>
    </row>
    <row r="2" spans="1:12">
      <c r="A2" s="26" t="s">
        <v>13</v>
      </c>
      <c r="B2" s="28" t="s">
        <v>50</v>
      </c>
      <c r="C2" s="26">
        <v>2022</v>
      </c>
      <c r="D2" s="26" t="s">
        <v>74</v>
      </c>
      <c r="E2" s="26">
        <v>75.580748112999999</v>
      </c>
      <c r="I2">
        <v>73.45</v>
      </c>
    </row>
    <row r="3" spans="1:12">
      <c r="A3" s="26" t="s">
        <v>13</v>
      </c>
      <c r="B3" s="26" t="s">
        <v>73</v>
      </c>
      <c r="C3" s="26">
        <v>2022</v>
      </c>
      <c r="D3" s="26" t="s">
        <v>75</v>
      </c>
      <c r="E3" s="26">
        <v>69.041226741000003</v>
      </c>
      <c r="I3">
        <v>73.180000000000007</v>
      </c>
    </row>
    <row r="4" spans="1:12">
      <c r="A4" s="26" t="s">
        <v>13</v>
      </c>
      <c r="B4" s="26" t="s">
        <v>73</v>
      </c>
      <c r="C4" s="26">
        <v>2022</v>
      </c>
      <c r="D4" s="26" t="s">
        <v>76</v>
      </c>
      <c r="E4" s="26">
        <v>75.426335561000002</v>
      </c>
      <c r="I4">
        <v>58.09</v>
      </c>
      <c r="J4">
        <v>74.790000000000006</v>
      </c>
      <c r="L4">
        <f>J4/I5</f>
        <v>1.0905511811023623</v>
      </c>
    </row>
    <row r="5" spans="1:12">
      <c r="A5" s="26" t="s">
        <v>13</v>
      </c>
      <c r="B5" s="26" t="s">
        <v>73</v>
      </c>
      <c r="C5" s="26">
        <v>2022</v>
      </c>
      <c r="D5" s="26" t="s">
        <v>77</v>
      </c>
      <c r="E5" s="26">
        <v>73.048780488000006</v>
      </c>
      <c r="I5">
        <v>68.58</v>
      </c>
      <c r="L5">
        <f>J4/I4</f>
        <v>1.2874849371664658</v>
      </c>
    </row>
    <row r="6" spans="1:12">
      <c r="A6" s="26" t="s">
        <v>13</v>
      </c>
      <c r="B6" s="26" t="s">
        <v>73</v>
      </c>
      <c r="C6" s="26">
        <v>2022</v>
      </c>
      <c r="D6" s="26" t="s">
        <v>78</v>
      </c>
      <c r="E6" s="26">
        <v>70.784642270999996</v>
      </c>
      <c r="I6">
        <v>65.599999999999994</v>
      </c>
    </row>
    <row r="7" spans="1:12">
      <c r="A7" s="26" t="s">
        <v>13</v>
      </c>
      <c r="B7" s="26" t="s">
        <v>73</v>
      </c>
      <c r="C7" s="26">
        <v>2022</v>
      </c>
      <c r="D7" s="26" t="s">
        <v>79</v>
      </c>
      <c r="E7" s="26">
        <v>65.500558987000005</v>
      </c>
    </row>
    <row r="8" spans="1:12">
      <c r="A8" s="26" t="s">
        <v>13</v>
      </c>
      <c r="B8" s="26" t="s">
        <v>73</v>
      </c>
      <c r="C8" s="26">
        <v>2023</v>
      </c>
      <c r="D8" s="26" t="s">
        <v>80</v>
      </c>
      <c r="E8" s="26">
        <v>71.876781406999996</v>
      </c>
    </row>
    <row r="9" spans="1:12">
      <c r="A9" s="26" t="s">
        <v>13</v>
      </c>
      <c r="B9" s="26" t="s">
        <v>73</v>
      </c>
      <c r="C9" s="26">
        <v>2023</v>
      </c>
      <c r="D9" s="26" t="s">
        <v>81</v>
      </c>
      <c r="E9" s="26">
        <v>73.203771114000006</v>
      </c>
    </row>
    <row r="10" spans="1:12">
      <c r="A10" s="26" t="s">
        <v>13</v>
      </c>
      <c r="B10" s="26" t="s">
        <v>73</v>
      </c>
      <c r="C10" s="26">
        <v>2023</v>
      </c>
      <c r="D10" s="26" t="s">
        <v>82</v>
      </c>
      <c r="E10" s="26">
        <v>78.603860612000005</v>
      </c>
    </row>
    <row r="11" spans="1:12">
      <c r="A11" s="27" t="s">
        <v>13</v>
      </c>
      <c r="B11" s="27" t="s">
        <v>83</v>
      </c>
      <c r="C11" s="27">
        <v>2022</v>
      </c>
      <c r="D11" s="27" t="s">
        <v>78</v>
      </c>
      <c r="E11" s="27">
        <v>51.256778279000002</v>
      </c>
    </row>
    <row r="12" spans="1:12">
      <c r="A12" s="25" t="s">
        <v>13</v>
      </c>
      <c r="B12" s="25" t="s">
        <v>84</v>
      </c>
      <c r="C12" s="25">
        <v>2022</v>
      </c>
      <c r="D12" s="25" t="s">
        <v>74</v>
      </c>
      <c r="E12" s="25">
        <v>82.644623823000003</v>
      </c>
    </row>
    <row r="13" spans="1:12">
      <c r="A13" s="25" t="s">
        <v>13</v>
      </c>
      <c r="B13" s="25" t="s">
        <v>85</v>
      </c>
      <c r="C13" s="25">
        <v>2022</v>
      </c>
      <c r="D13" s="25" t="s">
        <v>74</v>
      </c>
      <c r="E13" s="25">
        <v>79.745860070999996</v>
      </c>
    </row>
    <row r="14" spans="1:12">
      <c r="A14" s="25" t="s">
        <v>13</v>
      </c>
      <c r="B14" s="25" t="s">
        <v>86</v>
      </c>
      <c r="C14" s="25">
        <v>2022</v>
      </c>
      <c r="D14" s="25" t="s">
        <v>74</v>
      </c>
      <c r="E14" s="25">
        <v>74.240673147999999</v>
      </c>
    </row>
    <row r="15" spans="1:12">
      <c r="A15" s="25" t="s">
        <v>13</v>
      </c>
      <c r="B15" s="25" t="s">
        <v>85</v>
      </c>
      <c r="C15" s="25">
        <v>2022</v>
      </c>
      <c r="D15" s="25" t="s">
        <v>75</v>
      </c>
      <c r="E15" s="25">
        <v>116.358653592</v>
      </c>
    </row>
    <row r="16" spans="1:12">
      <c r="A16" s="25" t="s">
        <v>13</v>
      </c>
      <c r="B16" s="25" t="s">
        <v>87</v>
      </c>
      <c r="C16" s="25">
        <v>2022</v>
      </c>
      <c r="D16" s="25" t="s">
        <v>75</v>
      </c>
      <c r="E16" s="25">
        <v>68.372728699000007</v>
      </c>
    </row>
    <row r="17" spans="1:5">
      <c r="A17" s="25" t="s">
        <v>13</v>
      </c>
      <c r="B17" s="25" t="s">
        <v>84</v>
      </c>
      <c r="C17" s="25">
        <v>2022</v>
      </c>
      <c r="D17" s="25" t="s">
        <v>76</v>
      </c>
      <c r="E17" s="25">
        <v>85.935262477999999</v>
      </c>
    </row>
    <row r="18" spans="1:5">
      <c r="A18" s="25" t="s">
        <v>13</v>
      </c>
      <c r="B18" s="25" t="s">
        <v>85</v>
      </c>
      <c r="C18" s="25">
        <v>2022</v>
      </c>
      <c r="D18" s="25" t="s">
        <v>76</v>
      </c>
      <c r="E18" s="25">
        <v>82.200786469999997</v>
      </c>
    </row>
    <row r="19" spans="1:5">
      <c r="A19" s="25" t="s">
        <v>13</v>
      </c>
      <c r="B19" s="25" t="s">
        <v>87</v>
      </c>
      <c r="C19" s="25">
        <v>2022</v>
      </c>
      <c r="D19" s="25" t="s">
        <v>76</v>
      </c>
      <c r="E19" s="25">
        <v>87.627695799999998</v>
      </c>
    </row>
    <row r="20" spans="1:5">
      <c r="A20" s="25" t="s">
        <v>13</v>
      </c>
      <c r="B20" s="25" t="s">
        <v>86</v>
      </c>
      <c r="C20" s="25">
        <v>2022</v>
      </c>
      <c r="D20" s="25" t="s">
        <v>76</v>
      </c>
      <c r="E20" s="25">
        <v>107.150506546</v>
      </c>
    </row>
    <row r="21" spans="1:5">
      <c r="A21" s="25" t="s">
        <v>13</v>
      </c>
      <c r="B21" s="25" t="s">
        <v>84</v>
      </c>
      <c r="C21" s="25">
        <v>2022</v>
      </c>
      <c r="D21" s="25" t="s">
        <v>88</v>
      </c>
      <c r="E21" s="25">
        <v>74.499522412999994</v>
      </c>
    </row>
    <row r="22" spans="1:5">
      <c r="A22" s="25" t="s">
        <v>13</v>
      </c>
      <c r="B22" s="25" t="s">
        <v>85</v>
      </c>
      <c r="C22" s="25">
        <v>2022</v>
      </c>
      <c r="D22" s="25" t="s">
        <v>88</v>
      </c>
      <c r="E22" s="25">
        <v>79.249139510999996</v>
      </c>
    </row>
    <row r="23" spans="1:5">
      <c r="A23" s="25" t="s">
        <v>13</v>
      </c>
      <c r="B23" s="25" t="s">
        <v>86</v>
      </c>
      <c r="C23" s="25">
        <v>2022</v>
      </c>
      <c r="D23" s="25" t="s">
        <v>88</v>
      </c>
      <c r="E23" s="25">
        <v>88.224699039000001</v>
      </c>
    </row>
    <row r="24" spans="1:5">
      <c r="A24" s="25" t="s">
        <v>13</v>
      </c>
      <c r="B24" s="25" t="s">
        <v>84</v>
      </c>
      <c r="C24" s="25">
        <v>2022</v>
      </c>
      <c r="D24" s="25" t="s">
        <v>77</v>
      </c>
      <c r="E24" s="25">
        <v>77.824897734000004</v>
      </c>
    </row>
    <row r="25" spans="1:5">
      <c r="A25" s="25" t="s">
        <v>13</v>
      </c>
      <c r="B25" s="25" t="s">
        <v>85</v>
      </c>
      <c r="C25" s="25">
        <v>2022</v>
      </c>
      <c r="D25" s="25" t="s">
        <v>77</v>
      </c>
      <c r="E25" s="25">
        <v>77.525232782000003</v>
      </c>
    </row>
    <row r="26" spans="1:5">
      <c r="A26" s="25" t="s">
        <v>13</v>
      </c>
      <c r="B26" s="25" t="s">
        <v>87</v>
      </c>
      <c r="C26" s="25">
        <v>2022</v>
      </c>
      <c r="D26" s="25" t="s">
        <v>77</v>
      </c>
      <c r="E26" s="25">
        <v>79.996815366999996</v>
      </c>
    </row>
    <row r="27" spans="1:5">
      <c r="A27" s="25" t="s">
        <v>13</v>
      </c>
      <c r="B27" s="25" t="s">
        <v>86</v>
      </c>
      <c r="C27" s="25">
        <v>2022</v>
      </c>
      <c r="D27" s="25" t="s">
        <v>77</v>
      </c>
      <c r="E27" s="25">
        <v>72.655216500999998</v>
      </c>
    </row>
    <row r="28" spans="1:5">
      <c r="A28" s="25" t="s">
        <v>13</v>
      </c>
      <c r="B28" s="25" t="s">
        <v>84</v>
      </c>
      <c r="C28" s="25">
        <v>2022</v>
      </c>
      <c r="D28" s="25" t="s">
        <v>78</v>
      </c>
      <c r="E28" s="25">
        <v>73.535329747999995</v>
      </c>
    </row>
    <row r="29" spans="1:5">
      <c r="A29" s="25" t="s">
        <v>13</v>
      </c>
      <c r="B29" s="25" t="s">
        <v>85</v>
      </c>
      <c r="C29" s="25">
        <v>2022</v>
      </c>
      <c r="D29" s="25" t="s">
        <v>78</v>
      </c>
      <c r="E29" s="25">
        <v>78.535247016</v>
      </c>
    </row>
    <row r="30" spans="1:5">
      <c r="A30" s="25" t="s">
        <v>13</v>
      </c>
      <c r="B30" s="25" t="s">
        <v>87</v>
      </c>
      <c r="C30" s="25">
        <v>2022</v>
      </c>
      <c r="D30" s="25" t="s">
        <v>78</v>
      </c>
      <c r="E30" s="25">
        <v>75.239370481999998</v>
      </c>
    </row>
    <row r="31" spans="1:5">
      <c r="A31" s="25" t="s">
        <v>13</v>
      </c>
      <c r="B31" s="25" t="s">
        <v>86</v>
      </c>
      <c r="C31" s="25">
        <v>2022</v>
      </c>
      <c r="D31" s="25" t="s">
        <v>78</v>
      </c>
      <c r="E31" s="25">
        <v>62.071916186000003</v>
      </c>
    </row>
    <row r="32" spans="1:5">
      <c r="A32" s="25" t="s">
        <v>13</v>
      </c>
      <c r="B32" s="25" t="s">
        <v>84</v>
      </c>
      <c r="C32" s="25">
        <v>2022</v>
      </c>
      <c r="D32" s="25" t="s">
        <v>79</v>
      </c>
      <c r="E32" s="25">
        <v>79.143060132000002</v>
      </c>
    </row>
    <row r="33" spans="1:5">
      <c r="A33" s="25" t="s">
        <v>13</v>
      </c>
      <c r="B33" s="25" t="s">
        <v>85</v>
      </c>
      <c r="C33" s="25">
        <v>2022</v>
      </c>
      <c r="D33" s="25" t="s">
        <v>79</v>
      </c>
      <c r="E33" s="25">
        <v>75.360719041999999</v>
      </c>
    </row>
    <row r="34" spans="1:5">
      <c r="A34" s="25" t="s">
        <v>13</v>
      </c>
      <c r="B34" s="25" t="s">
        <v>87</v>
      </c>
      <c r="C34" s="25">
        <v>2022</v>
      </c>
      <c r="D34" s="25" t="s">
        <v>79</v>
      </c>
      <c r="E34" s="25">
        <v>76.417750568000002</v>
      </c>
    </row>
    <row r="35" spans="1:5">
      <c r="A35" s="25" t="s">
        <v>13</v>
      </c>
      <c r="B35" s="25" t="s">
        <v>84</v>
      </c>
      <c r="C35" s="25">
        <v>2023</v>
      </c>
      <c r="D35" s="25" t="s">
        <v>89</v>
      </c>
      <c r="E35" s="25">
        <v>74.493308006000007</v>
      </c>
    </row>
    <row r="36" spans="1:5">
      <c r="A36" s="25" t="s">
        <v>13</v>
      </c>
      <c r="B36" s="25" t="s">
        <v>85</v>
      </c>
      <c r="C36" s="25">
        <v>2023</v>
      </c>
      <c r="D36" s="25" t="s">
        <v>89</v>
      </c>
      <c r="E36" s="25">
        <v>79.808458216000005</v>
      </c>
    </row>
    <row r="37" spans="1:5">
      <c r="A37" s="25" t="s">
        <v>13</v>
      </c>
      <c r="B37" s="25" t="s">
        <v>87</v>
      </c>
      <c r="C37" s="25">
        <v>2023</v>
      </c>
      <c r="D37" s="25" t="s">
        <v>89</v>
      </c>
      <c r="E37" s="25">
        <v>73.784478596</v>
      </c>
    </row>
    <row r="38" spans="1:5">
      <c r="A38" s="25" t="s">
        <v>13</v>
      </c>
      <c r="B38" s="25" t="s">
        <v>86</v>
      </c>
      <c r="C38" s="25">
        <v>2023</v>
      </c>
      <c r="D38" s="25" t="s">
        <v>89</v>
      </c>
      <c r="E38" s="25">
        <v>69.418800278999996</v>
      </c>
    </row>
    <row r="39" spans="1:5">
      <c r="A39" s="25" t="s">
        <v>13</v>
      </c>
      <c r="B39" s="25" t="s">
        <v>84</v>
      </c>
      <c r="C39" s="25">
        <v>2023</v>
      </c>
      <c r="D39" s="25" t="s">
        <v>80</v>
      </c>
      <c r="E39" s="25">
        <v>73.812137898000003</v>
      </c>
    </row>
    <row r="40" spans="1:5">
      <c r="A40" s="25" t="s">
        <v>13</v>
      </c>
      <c r="B40" s="25" t="s">
        <v>85</v>
      </c>
      <c r="C40" s="25">
        <v>2023</v>
      </c>
      <c r="D40" s="25" t="s">
        <v>80</v>
      </c>
      <c r="E40" s="25">
        <v>86.714655789000005</v>
      </c>
    </row>
    <row r="41" spans="1:5">
      <c r="A41" s="25" t="s">
        <v>13</v>
      </c>
      <c r="B41" s="25" t="s">
        <v>87</v>
      </c>
      <c r="C41" s="25">
        <v>2023</v>
      </c>
      <c r="D41" s="25" t="s">
        <v>80</v>
      </c>
      <c r="E41" s="25">
        <v>71.581336762000007</v>
      </c>
    </row>
    <row r="42" spans="1:5">
      <c r="A42" s="25" t="s">
        <v>13</v>
      </c>
      <c r="B42" s="25" t="s">
        <v>86</v>
      </c>
      <c r="C42" s="25">
        <v>2023</v>
      </c>
      <c r="D42" s="25" t="s">
        <v>80</v>
      </c>
      <c r="E42" s="25">
        <v>80</v>
      </c>
    </row>
    <row r="43" spans="1:5">
      <c r="A43" s="25" t="s">
        <v>13</v>
      </c>
      <c r="B43" s="25" t="s">
        <v>84</v>
      </c>
      <c r="C43" s="25">
        <v>2023</v>
      </c>
      <c r="D43" s="25" t="s">
        <v>81</v>
      </c>
      <c r="E43" s="25">
        <v>75.757575987999999</v>
      </c>
    </row>
    <row r="44" spans="1:5">
      <c r="A44" s="25" t="s">
        <v>13</v>
      </c>
      <c r="B44" s="25" t="s">
        <v>85</v>
      </c>
      <c r="C44" s="25">
        <v>2023</v>
      </c>
      <c r="D44" s="25" t="s">
        <v>81</v>
      </c>
      <c r="E44" s="25">
        <v>75.536017850999997</v>
      </c>
    </row>
    <row r="45" spans="1:5">
      <c r="A45" s="25" t="s">
        <v>13</v>
      </c>
      <c r="B45" s="25" t="s">
        <v>87</v>
      </c>
      <c r="C45" s="25">
        <v>2023</v>
      </c>
      <c r="D45" s="25" t="s">
        <v>81</v>
      </c>
      <c r="E45" s="25">
        <v>73.127090448000004</v>
      </c>
    </row>
    <row r="46" spans="1:5">
      <c r="A46" s="25" t="s">
        <v>13</v>
      </c>
      <c r="B46" s="25" t="s">
        <v>86</v>
      </c>
      <c r="C46" s="25">
        <v>2023</v>
      </c>
      <c r="D46" s="25" t="s">
        <v>81</v>
      </c>
      <c r="E46" s="25">
        <v>93.212549378999995</v>
      </c>
    </row>
    <row r="47" spans="1:5">
      <c r="A47" s="25" t="s">
        <v>13</v>
      </c>
      <c r="B47" s="25" t="s">
        <v>84</v>
      </c>
      <c r="C47" s="25">
        <v>2023</v>
      </c>
      <c r="D47" s="25" t="s">
        <v>82</v>
      </c>
      <c r="E47" s="25">
        <v>88.648720425999997</v>
      </c>
    </row>
    <row r="48" spans="1:5">
      <c r="A48" s="25" t="s">
        <v>13</v>
      </c>
      <c r="B48" s="25" t="s">
        <v>85</v>
      </c>
      <c r="C48" s="25">
        <v>2023</v>
      </c>
      <c r="D48" s="25" t="s">
        <v>82</v>
      </c>
      <c r="E48" s="25">
        <v>79.981160208000006</v>
      </c>
    </row>
    <row r="49" spans="1:5">
      <c r="A49" s="25" t="s">
        <v>13</v>
      </c>
      <c r="B49" s="25" t="s">
        <v>87</v>
      </c>
      <c r="C49" s="25">
        <v>2023</v>
      </c>
      <c r="D49" s="25" t="s">
        <v>82</v>
      </c>
      <c r="E49" s="25">
        <v>76.739548549000006</v>
      </c>
    </row>
    <row r="50" spans="1:5">
      <c r="A50" s="25" t="s">
        <v>13</v>
      </c>
      <c r="B50" s="25" t="s">
        <v>84</v>
      </c>
      <c r="C50" s="25">
        <v>2023</v>
      </c>
      <c r="D50" s="25" t="s">
        <v>90</v>
      </c>
      <c r="E50" s="25">
        <v>85.473062893999995</v>
      </c>
    </row>
    <row r="51" spans="1:5">
      <c r="A51" s="25" t="s">
        <v>13</v>
      </c>
      <c r="B51" s="25" t="s">
        <v>85</v>
      </c>
      <c r="C51" s="25">
        <v>2023</v>
      </c>
      <c r="D51" s="25" t="s">
        <v>90</v>
      </c>
      <c r="E51" s="25">
        <v>70.327290077000001</v>
      </c>
    </row>
    <row r="52" spans="1:5">
      <c r="A52" s="25" t="s">
        <v>13</v>
      </c>
      <c r="B52" s="25" t="s">
        <v>87</v>
      </c>
      <c r="C52" s="25">
        <v>2023</v>
      </c>
      <c r="D52" s="25" t="s">
        <v>90</v>
      </c>
      <c r="E52" s="25">
        <v>87.253690878</v>
      </c>
    </row>
    <row r="53" spans="1:5">
      <c r="A53" s="25" t="s">
        <v>13</v>
      </c>
      <c r="B53" s="25" t="s">
        <v>86</v>
      </c>
      <c r="C53" s="25">
        <v>2023</v>
      </c>
      <c r="D53" s="25" t="s">
        <v>90</v>
      </c>
      <c r="E53" s="25">
        <v>67.460588639999997</v>
      </c>
    </row>
    <row r="54" spans="1:5">
      <c r="A54" s="25" t="s">
        <v>13</v>
      </c>
      <c r="B54" s="25" t="s">
        <v>91</v>
      </c>
      <c r="C54" s="25">
        <v>2022</v>
      </c>
      <c r="D54" s="25" t="s">
        <v>88</v>
      </c>
      <c r="E54" s="25">
        <v>74.698155563</v>
      </c>
    </row>
    <row r="55" spans="1:5">
      <c r="A55" s="25" t="s">
        <v>13</v>
      </c>
      <c r="B55" s="25" t="s">
        <v>99</v>
      </c>
      <c r="C55" s="25">
        <v>2022</v>
      </c>
      <c r="D55" s="25" t="s">
        <v>77</v>
      </c>
      <c r="E55" s="25">
        <v>77.183905659999994</v>
      </c>
    </row>
    <row r="56" spans="1:5">
      <c r="A56" s="25" t="s">
        <v>13</v>
      </c>
      <c r="B56" s="25" t="s">
        <v>91</v>
      </c>
      <c r="C56" s="25">
        <v>2022</v>
      </c>
      <c r="D56" s="25" t="s">
        <v>78</v>
      </c>
      <c r="E56" s="25">
        <v>73.708309365000005</v>
      </c>
    </row>
    <row r="57" spans="1:5">
      <c r="A57" s="25" t="s">
        <v>13</v>
      </c>
      <c r="B57" s="25" t="s">
        <v>91</v>
      </c>
      <c r="C57" s="25">
        <v>2022</v>
      </c>
      <c r="D57" s="25" t="s">
        <v>79</v>
      </c>
      <c r="E57" s="25">
        <v>74.147307659000006</v>
      </c>
    </row>
    <row r="58" spans="1:5">
      <c r="A58" s="25" t="s">
        <v>13</v>
      </c>
      <c r="B58" s="25" t="s">
        <v>91</v>
      </c>
      <c r="C58" s="25">
        <v>2023</v>
      </c>
      <c r="D58" s="25" t="s">
        <v>89</v>
      </c>
      <c r="E58" s="25">
        <v>64.365128103000004</v>
      </c>
    </row>
    <row r="59" spans="1:5">
      <c r="A59" s="25" t="s">
        <v>13</v>
      </c>
      <c r="B59" s="25" t="s">
        <v>91</v>
      </c>
      <c r="C59" s="25">
        <v>2023</v>
      </c>
      <c r="D59" s="25" t="s">
        <v>80</v>
      </c>
      <c r="E59" s="25">
        <v>71.074478756999994</v>
      </c>
    </row>
    <row r="60" spans="1:5">
      <c r="A60" s="25" t="s">
        <v>13</v>
      </c>
      <c r="B60" s="25" t="s">
        <v>91</v>
      </c>
      <c r="C60" s="25">
        <v>2023</v>
      </c>
      <c r="D60" s="25" t="s">
        <v>81</v>
      </c>
      <c r="E60" s="25">
        <v>78.021291410000003</v>
      </c>
    </row>
    <row r="61" spans="1:5">
      <c r="A61" s="26" t="s">
        <v>13</v>
      </c>
      <c r="B61" s="28" t="s">
        <v>207</v>
      </c>
      <c r="C61" s="26">
        <v>2022</v>
      </c>
      <c r="D61" s="26" t="s">
        <v>76</v>
      </c>
      <c r="E61" s="26">
        <v>57.579171801000001</v>
      </c>
    </row>
    <row r="62" spans="1:5">
      <c r="A62" s="26" t="s">
        <v>13</v>
      </c>
      <c r="B62" s="26" t="s">
        <v>92</v>
      </c>
      <c r="C62" s="26">
        <v>2022</v>
      </c>
      <c r="D62" s="26" t="s">
        <v>88</v>
      </c>
      <c r="E62" s="26">
        <v>57.603684610999998</v>
      </c>
    </row>
    <row r="63" spans="1:5">
      <c r="A63" s="26" t="s">
        <v>13</v>
      </c>
      <c r="B63" s="26" t="s">
        <v>92</v>
      </c>
      <c r="C63" s="26">
        <v>2022</v>
      </c>
      <c r="D63" s="26" t="s">
        <v>79</v>
      </c>
      <c r="E63" s="26">
        <v>64.020485722000004</v>
      </c>
    </row>
    <row r="64" spans="1:5">
      <c r="A64" s="26" t="s">
        <v>13</v>
      </c>
      <c r="B64" s="26" t="s">
        <v>100</v>
      </c>
      <c r="C64" s="26">
        <v>2023</v>
      </c>
      <c r="D64" s="26" t="s">
        <v>82</v>
      </c>
      <c r="E64" s="26">
        <v>59.07281158</v>
      </c>
    </row>
    <row r="65" spans="1:5">
      <c r="A65" s="26" t="s">
        <v>13</v>
      </c>
      <c r="B65" s="28" t="s">
        <v>212</v>
      </c>
      <c r="C65" s="26">
        <v>2022</v>
      </c>
      <c r="D65" s="26" t="s">
        <v>74</v>
      </c>
      <c r="E65" s="26">
        <v>80.250538026000001</v>
      </c>
    </row>
    <row r="66" spans="1:5">
      <c r="A66" s="26" t="s">
        <v>13</v>
      </c>
      <c r="B66" s="26" t="s">
        <v>93</v>
      </c>
      <c r="C66" s="26">
        <v>2022</v>
      </c>
      <c r="D66" s="26" t="s">
        <v>76</v>
      </c>
      <c r="E66" s="26">
        <v>65.268066816000001</v>
      </c>
    </row>
    <row r="67" spans="1:5">
      <c r="A67" s="26" t="s">
        <v>13</v>
      </c>
      <c r="B67" s="26" t="s">
        <v>93</v>
      </c>
      <c r="C67" s="26">
        <v>2022</v>
      </c>
      <c r="D67" s="26" t="s">
        <v>77</v>
      </c>
      <c r="E67" s="26">
        <v>69.930071588000004</v>
      </c>
    </row>
    <row r="68" spans="1:5">
      <c r="A68" s="26" t="s">
        <v>13</v>
      </c>
      <c r="B68" s="26" t="s">
        <v>93</v>
      </c>
      <c r="C68" s="26">
        <v>2023</v>
      </c>
      <c r="D68" s="26" t="s">
        <v>89</v>
      </c>
      <c r="E68" s="26">
        <v>76.849184604000001</v>
      </c>
    </row>
    <row r="69" spans="1:5">
      <c r="A69" s="26" t="s">
        <v>13</v>
      </c>
      <c r="B69" s="26" t="s">
        <v>93</v>
      </c>
      <c r="C69" s="26">
        <v>2023</v>
      </c>
      <c r="D69" s="26" t="s">
        <v>80</v>
      </c>
      <c r="E69" s="26">
        <v>68.738984305000002</v>
      </c>
    </row>
    <row r="70" spans="1:5">
      <c r="A70" s="26" t="s">
        <v>13</v>
      </c>
      <c r="B70" s="26" t="s">
        <v>93</v>
      </c>
      <c r="C70" s="26">
        <v>2023</v>
      </c>
      <c r="D70" s="26" t="s">
        <v>81</v>
      </c>
      <c r="E70" s="26">
        <v>77.705073079000002</v>
      </c>
    </row>
    <row r="71" spans="1:5">
      <c r="A71" s="26" t="s">
        <v>13</v>
      </c>
      <c r="B71" s="26" t="s">
        <v>93</v>
      </c>
      <c r="C71" s="26">
        <v>2023</v>
      </c>
      <c r="D71" s="26" t="s">
        <v>82</v>
      </c>
      <c r="E71" s="26">
        <v>75.258703228000002</v>
      </c>
    </row>
    <row r="72" spans="1:5">
      <c r="A72" s="26" t="s">
        <v>13</v>
      </c>
      <c r="B72" s="26" t="s">
        <v>93</v>
      </c>
      <c r="C72" s="26">
        <v>2023</v>
      </c>
      <c r="D72" s="26" t="s">
        <v>90</v>
      </c>
      <c r="E72" s="26">
        <v>84.345480819000002</v>
      </c>
    </row>
    <row r="73" spans="1:5">
      <c r="A73" s="25" t="s">
        <v>13</v>
      </c>
      <c r="B73" s="25" t="s">
        <v>94</v>
      </c>
      <c r="C73" s="25">
        <v>2022</v>
      </c>
      <c r="D73" s="25" t="s">
        <v>74</v>
      </c>
      <c r="E73" s="25">
        <v>112.77500430400001</v>
      </c>
    </row>
    <row r="74" spans="1:5">
      <c r="A74" s="25" t="s">
        <v>13</v>
      </c>
      <c r="B74" s="25" t="s">
        <v>94</v>
      </c>
      <c r="C74" s="25">
        <v>2022</v>
      </c>
      <c r="D74" s="25" t="s">
        <v>75</v>
      </c>
      <c r="E74" s="25">
        <v>72.921731758000007</v>
      </c>
    </row>
    <row r="75" spans="1:5">
      <c r="A75" s="25" t="s">
        <v>13</v>
      </c>
      <c r="B75" s="25" t="s">
        <v>94</v>
      </c>
      <c r="C75" s="25">
        <v>2022</v>
      </c>
      <c r="D75" s="25" t="s">
        <v>76</v>
      </c>
      <c r="E75" s="25">
        <v>105.421688867</v>
      </c>
    </row>
    <row r="76" spans="1:5">
      <c r="A76" s="25" t="s">
        <v>13</v>
      </c>
      <c r="B76" s="25" t="s">
        <v>94</v>
      </c>
      <c r="C76" s="25">
        <v>2022</v>
      </c>
      <c r="D76" s="25" t="s">
        <v>77</v>
      </c>
      <c r="E76" s="25">
        <v>75.728887362999998</v>
      </c>
    </row>
    <row r="77" spans="1:5">
      <c r="A77" s="25" t="s">
        <v>13</v>
      </c>
      <c r="B77" s="25" t="s">
        <v>94</v>
      </c>
      <c r="C77" s="25">
        <v>2022</v>
      </c>
      <c r="D77" s="25" t="s">
        <v>78</v>
      </c>
      <c r="E77" s="25">
        <v>106.897170058</v>
      </c>
    </row>
    <row r="78" spans="1:5">
      <c r="A78" s="25" t="s">
        <v>13</v>
      </c>
      <c r="B78" s="25" t="s">
        <v>94</v>
      </c>
      <c r="C78" s="25">
        <v>2022</v>
      </c>
      <c r="D78" s="25" t="s">
        <v>79</v>
      </c>
      <c r="E78" s="25">
        <v>97.184379184999997</v>
      </c>
    </row>
    <row r="79" spans="1:5">
      <c r="A79" s="25" t="s">
        <v>13</v>
      </c>
      <c r="B79" s="25" t="s">
        <v>94</v>
      </c>
      <c r="C79" s="25">
        <v>2023</v>
      </c>
      <c r="D79" s="25" t="s">
        <v>89</v>
      </c>
      <c r="E79" s="25">
        <v>108.997227503</v>
      </c>
    </row>
    <row r="80" spans="1:5">
      <c r="A80" s="25" t="s">
        <v>13</v>
      </c>
      <c r="B80" s="25" t="s">
        <v>94</v>
      </c>
      <c r="C80" s="25">
        <v>2023</v>
      </c>
      <c r="D80" s="25" t="s">
        <v>81</v>
      </c>
      <c r="E80" s="25">
        <v>95.733041309000001</v>
      </c>
    </row>
    <row r="81" spans="1:5">
      <c r="A81" s="26" t="s">
        <v>13</v>
      </c>
      <c r="B81" s="28" t="s">
        <v>219</v>
      </c>
      <c r="C81" s="26">
        <v>2022</v>
      </c>
      <c r="D81" s="26" t="s">
        <v>74</v>
      </c>
      <c r="E81" s="26">
        <v>67.356602482</v>
      </c>
    </row>
    <row r="82" spans="1:5">
      <c r="A82" s="26" t="s">
        <v>13</v>
      </c>
      <c r="B82" s="26" t="s">
        <v>101</v>
      </c>
      <c r="C82" s="26">
        <v>2022</v>
      </c>
      <c r="D82" s="26" t="s">
        <v>75</v>
      </c>
      <c r="E82" s="26">
        <v>62.675053687999998</v>
      </c>
    </row>
    <row r="83" spans="1:5">
      <c r="A83" s="26" t="s">
        <v>13</v>
      </c>
      <c r="B83" s="26" t="s">
        <v>95</v>
      </c>
      <c r="C83" s="26">
        <v>2022</v>
      </c>
      <c r="D83" s="26" t="s">
        <v>76</v>
      </c>
      <c r="E83" s="26">
        <v>71.554781199000004</v>
      </c>
    </row>
    <row r="84" spans="1:5">
      <c r="A84" s="26" t="s">
        <v>13</v>
      </c>
      <c r="B84" s="26" t="s">
        <v>95</v>
      </c>
      <c r="C84" s="26">
        <v>2022</v>
      </c>
      <c r="D84" s="26" t="s">
        <v>88</v>
      </c>
      <c r="E84" s="26">
        <v>69.697393184999996</v>
      </c>
    </row>
    <row r="85" spans="1:5">
      <c r="A85" s="26" t="s">
        <v>13</v>
      </c>
      <c r="B85" s="26" t="s">
        <v>95</v>
      </c>
      <c r="C85" s="26">
        <v>2022</v>
      </c>
      <c r="D85" s="26" t="s">
        <v>77</v>
      </c>
      <c r="E85" s="26">
        <v>72.999855296999996</v>
      </c>
    </row>
    <row r="86" spans="1:5">
      <c r="A86" s="26" t="s">
        <v>13</v>
      </c>
      <c r="B86" s="26" t="s">
        <v>95</v>
      </c>
      <c r="C86" s="26">
        <v>2022</v>
      </c>
      <c r="D86" s="26" t="s">
        <v>78</v>
      </c>
      <c r="E86" s="26">
        <v>73.008164851000004</v>
      </c>
    </row>
    <row r="87" spans="1:5">
      <c r="A87" s="26" t="s">
        <v>13</v>
      </c>
      <c r="B87" s="26" t="s">
        <v>95</v>
      </c>
      <c r="C87" s="26">
        <v>2022</v>
      </c>
      <c r="D87" s="26" t="s">
        <v>79</v>
      </c>
      <c r="E87" s="26">
        <v>69.991100170999999</v>
      </c>
    </row>
    <row r="88" spans="1:5">
      <c r="A88" s="26" t="s">
        <v>13</v>
      </c>
      <c r="B88" s="26" t="s">
        <v>95</v>
      </c>
      <c r="C88" s="26">
        <v>2023</v>
      </c>
      <c r="D88" s="26" t="s">
        <v>89</v>
      </c>
      <c r="E88" s="26">
        <v>68.490063163000002</v>
      </c>
    </row>
    <row r="89" spans="1:5">
      <c r="A89" s="26" t="s">
        <v>13</v>
      </c>
      <c r="B89" s="26" t="s">
        <v>95</v>
      </c>
      <c r="C89" s="26">
        <v>2023</v>
      </c>
      <c r="D89" s="26" t="s">
        <v>80</v>
      </c>
      <c r="E89" s="26">
        <v>67.094863849999996</v>
      </c>
    </row>
    <row r="90" spans="1:5">
      <c r="A90" s="26" t="s">
        <v>13</v>
      </c>
      <c r="B90" s="26" t="s">
        <v>95</v>
      </c>
      <c r="C90" s="26">
        <v>2023</v>
      </c>
      <c r="D90" s="26" t="s">
        <v>81</v>
      </c>
      <c r="E90" s="26">
        <v>69.820808110000002</v>
      </c>
    </row>
    <row r="91" spans="1:5">
      <c r="A91" s="26" t="s">
        <v>13</v>
      </c>
      <c r="B91" s="26" t="s">
        <v>95</v>
      </c>
      <c r="C91" s="26">
        <v>2023</v>
      </c>
      <c r="D91" s="26" t="s">
        <v>82</v>
      </c>
      <c r="E91" s="26">
        <v>67.620496829999993</v>
      </c>
    </row>
    <row r="92" spans="1:5">
      <c r="A92" s="26" t="s">
        <v>13</v>
      </c>
      <c r="B92" s="26" t="s">
        <v>95</v>
      </c>
      <c r="C92" s="26">
        <v>2023</v>
      </c>
      <c r="D92" s="26" t="s">
        <v>90</v>
      </c>
      <c r="E92" s="26">
        <v>64.045009727999997</v>
      </c>
    </row>
    <row r="93" spans="1:5">
      <c r="A93" s="25" t="s">
        <v>13</v>
      </c>
      <c r="B93" s="25" t="s">
        <v>96</v>
      </c>
      <c r="C93" s="25">
        <v>2022</v>
      </c>
      <c r="D93" s="25" t="s">
        <v>74</v>
      </c>
      <c r="E93" s="25">
        <v>72.899582245999994</v>
      </c>
    </row>
    <row r="94" spans="1:5">
      <c r="A94" s="25" t="s">
        <v>13</v>
      </c>
      <c r="B94" s="25" t="s">
        <v>102</v>
      </c>
      <c r="C94" s="25">
        <v>2022</v>
      </c>
      <c r="D94" s="25" t="s">
        <v>75</v>
      </c>
      <c r="E94" s="25">
        <v>67.074857746000006</v>
      </c>
    </row>
    <row r="95" spans="1:5">
      <c r="A95" s="25" t="s">
        <v>13</v>
      </c>
      <c r="B95" s="25" t="s">
        <v>96</v>
      </c>
      <c r="C95" s="25">
        <v>2022</v>
      </c>
      <c r="D95" s="25" t="s">
        <v>76</v>
      </c>
      <c r="E95" s="25">
        <v>67.002999682999999</v>
      </c>
    </row>
    <row r="96" spans="1:5">
      <c r="A96" s="25" t="s">
        <v>13</v>
      </c>
      <c r="B96" s="25" t="s">
        <v>96</v>
      </c>
      <c r="C96" s="25">
        <v>2022</v>
      </c>
      <c r="D96" s="25" t="s">
        <v>88</v>
      </c>
      <c r="E96" s="25">
        <v>65.919254710000004</v>
      </c>
    </row>
    <row r="97" spans="1:5">
      <c r="A97" s="25" t="s">
        <v>13</v>
      </c>
      <c r="B97" s="25" t="s">
        <v>96</v>
      </c>
      <c r="C97" s="25">
        <v>2022</v>
      </c>
      <c r="D97" s="25" t="s">
        <v>77</v>
      </c>
      <c r="E97" s="25">
        <v>66.474588921000006</v>
      </c>
    </row>
    <row r="98" spans="1:5">
      <c r="A98" s="25" t="s">
        <v>13</v>
      </c>
      <c r="B98" s="25" t="s">
        <v>96</v>
      </c>
      <c r="C98" s="25">
        <v>2022</v>
      </c>
      <c r="D98" s="25" t="s">
        <v>78</v>
      </c>
      <c r="E98" s="25">
        <v>61.636715922999997</v>
      </c>
    </row>
    <row r="99" spans="1:5">
      <c r="A99" s="25" t="s">
        <v>13</v>
      </c>
      <c r="B99" s="25" t="s">
        <v>96</v>
      </c>
      <c r="C99" s="25">
        <v>2022</v>
      </c>
      <c r="D99" s="25" t="s">
        <v>79</v>
      </c>
      <c r="E99" s="25">
        <v>68.034861421000002</v>
      </c>
    </row>
    <row r="100" spans="1:5">
      <c r="A100" s="25" t="s">
        <v>13</v>
      </c>
      <c r="B100" s="25" t="s">
        <v>96</v>
      </c>
      <c r="C100" s="25">
        <v>2023</v>
      </c>
      <c r="D100" s="25" t="s">
        <v>80</v>
      </c>
      <c r="E100" s="25">
        <v>65.135179269000005</v>
      </c>
    </row>
    <row r="101" spans="1:5">
      <c r="A101" s="25" t="s">
        <v>13</v>
      </c>
      <c r="B101" s="25" t="s">
        <v>96</v>
      </c>
      <c r="C101" s="25">
        <v>2023</v>
      </c>
      <c r="D101" s="25" t="s">
        <v>81</v>
      </c>
      <c r="E101" s="25">
        <v>66.939346956999998</v>
      </c>
    </row>
    <row r="102" spans="1:5">
      <c r="A102" s="25" t="s">
        <v>13</v>
      </c>
      <c r="B102" s="25" t="s">
        <v>96</v>
      </c>
      <c r="C102" s="25">
        <v>2023</v>
      </c>
      <c r="D102" s="25" t="s">
        <v>82</v>
      </c>
      <c r="E102" s="25">
        <v>57.328832679000001</v>
      </c>
    </row>
  </sheetData>
  <autoFilter ref="A1:E102"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9" workbookViewId="0">
      <selection activeCell="H21" sqref="H21:H30"/>
    </sheetView>
  </sheetViews>
  <sheetFormatPr defaultRowHeight="14.25"/>
  <cols>
    <col min="1" max="1" width="9" style="25"/>
    <col min="2" max="2" width="18" style="25" customWidth="1"/>
    <col min="3" max="5" width="9" style="25"/>
    <col min="6" max="6" width="11.125" style="25" bestFit="1" customWidth="1"/>
    <col min="7" max="7" width="9" style="25"/>
    <col min="8" max="8" width="21.75" style="25" customWidth="1"/>
    <col min="9" max="16384" width="9" style="25"/>
  </cols>
  <sheetData>
    <row r="1" spans="1:13">
      <c r="A1" s="64" t="s">
        <v>110</v>
      </c>
      <c r="B1" s="64" t="s">
        <v>103</v>
      </c>
      <c r="C1" s="64" t="s">
        <v>104</v>
      </c>
      <c r="D1" s="64" t="s">
        <v>105</v>
      </c>
      <c r="E1" s="64" t="s">
        <v>106</v>
      </c>
      <c r="F1" s="64" t="s">
        <v>107</v>
      </c>
      <c r="G1" s="64" t="s">
        <v>108</v>
      </c>
      <c r="H1" s="64" t="s">
        <v>109</v>
      </c>
      <c r="M1" s="64" t="s">
        <v>139</v>
      </c>
    </row>
    <row r="2" spans="1:13">
      <c r="A2" s="26">
        <v>1</v>
      </c>
      <c r="B2" s="28" t="s">
        <v>98</v>
      </c>
      <c r="C2" s="26">
        <v>87</v>
      </c>
      <c r="D2" s="28" t="s">
        <v>111</v>
      </c>
      <c r="E2" s="28" t="s">
        <v>112</v>
      </c>
      <c r="F2" s="65">
        <v>45077</v>
      </c>
      <c r="G2" s="26">
        <v>5400</v>
      </c>
      <c r="H2" s="26">
        <f>ROUND(G2/C2,2)</f>
        <v>62.07</v>
      </c>
      <c r="I2" s="165" t="s">
        <v>256</v>
      </c>
      <c r="M2" s="25">
        <v>2.91</v>
      </c>
    </row>
    <row r="3" spans="1:13">
      <c r="A3" s="26">
        <v>2</v>
      </c>
      <c r="B3" s="26" t="s">
        <v>73</v>
      </c>
      <c r="C3" s="26">
        <v>85.62</v>
      </c>
      <c r="D3" s="28" t="s">
        <v>113</v>
      </c>
      <c r="E3" s="28" t="s">
        <v>114</v>
      </c>
      <c r="F3" s="65">
        <v>45073</v>
      </c>
      <c r="G3" s="26">
        <v>6300</v>
      </c>
      <c r="H3" s="26">
        <f t="shared" ref="H3:H28" si="0">ROUND(G3/C3,2)</f>
        <v>73.58</v>
      </c>
      <c r="I3" s="166"/>
    </row>
    <row r="4" spans="1:13">
      <c r="A4" s="26">
        <v>3</v>
      </c>
      <c r="B4" s="28" t="s">
        <v>430</v>
      </c>
      <c r="C4" s="26">
        <v>87.4</v>
      </c>
      <c r="D4" s="28" t="s">
        <v>115</v>
      </c>
      <c r="E4" s="28" t="s">
        <v>112</v>
      </c>
      <c r="F4" s="65">
        <v>44958</v>
      </c>
      <c r="G4" s="26">
        <v>6600</v>
      </c>
      <c r="H4" s="26">
        <f t="shared" si="0"/>
        <v>75.510000000000005</v>
      </c>
      <c r="I4" s="166"/>
    </row>
    <row r="5" spans="1:13">
      <c r="A5" s="26">
        <v>4</v>
      </c>
      <c r="B5" s="26" t="s">
        <v>73</v>
      </c>
      <c r="C5" s="26">
        <v>89.68</v>
      </c>
      <c r="D5" s="28" t="s">
        <v>116</v>
      </c>
      <c r="E5" s="28" t="s">
        <v>112</v>
      </c>
      <c r="F5" s="65">
        <v>44934</v>
      </c>
      <c r="G5" s="26">
        <v>6300</v>
      </c>
      <c r="H5" s="26">
        <f t="shared" si="0"/>
        <v>70.25</v>
      </c>
      <c r="I5" s="166"/>
    </row>
    <row r="6" spans="1:13">
      <c r="A6" s="26">
        <v>5</v>
      </c>
      <c r="B6" s="26" t="s">
        <v>73</v>
      </c>
      <c r="C6" s="26">
        <v>89.97</v>
      </c>
      <c r="D6" s="28" t="s">
        <v>115</v>
      </c>
      <c r="E6" s="28" t="s">
        <v>117</v>
      </c>
      <c r="F6" s="65">
        <v>44890</v>
      </c>
      <c r="G6" s="26">
        <v>6800</v>
      </c>
      <c r="H6" s="26">
        <f t="shared" si="0"/>
        <v>75.58</v>
      </c>
      <c r="I6" s="166"/>
    </row>
    <row r="7" spans="1:13">
      <c r="A7" s="26">
        <v>6</v>
      </c>
      <c r="B7" s="26" t="s">
        <v>73</v>
      </c>
      <c r="C7" s="26">
        <v>90</v>
      </c>
      <c r="D7" s="28" t="s">
        <v>118</v>
      </c>
      <c r="E7" s="28" t="s">
        <v>119</v>
      </c>
      <c r="F7" s="65">
        <v>44882</v>
      </c>
      <c r="G7" s="26">
        <v>6200</v>
      </c>
      <c r="H7" s="26">
        <f t="shared" si="0"/>
        <v>68.89</v>
      </c>
      <c r="I7" s="166"/>
    </row>
    <row r="8" spans="1:13">
      <c r="A8" s="26">
        <v>7</v>
      </c>
      <c r="B8" s="26" t="s">
        <v>73</v>
      </c>
      <c r="C8" s="26">
        <v>90</v>
      </c>
      <c r="D8" s="28" t="s">
        <v>115</v>
      </c>
      <c r="E8" s="28" t="s">
        <v>117</v>
      </c>
      <c r="F8" s="65">
        <v>44824</v>
      </c>
      <c r="G8" s="26">
        <v>6400</v>
      </c>
      <c r="H8" s="26">
        <f t="shared" si="0"/>
        <v>71.11</v>
      </c>
      <c r="I8" s="166"/>
    </row>
    <row r="9" spans="1:13">
      <c r="A9" s="26">
        <v>8</v>
      </c>
      <c r="B9" s="26" t="s">
        <v>73</v>
      </c>
      <c r="C9" s="26">
        <v>89</v>
      </c>
      <c r="D9" s="28" t="s">
        <v>118</v>
      </c>
      <c r="E9" s="28" t="s">
        <v>119</v>
      </c>
      <c r="F9" s="65">
        <v>44773</v>
      </c>
      <c r="G9" s="26">
        <v>5800</v>
      </c>
      <c r="H9" s="26">
        <f t="shared" si="0"/>
        <v>65.17</v>
      </c>
      <c r="I9" s="166"/>
    </row>
    <row r="10" spans="1:13">
      <c r="A10" s="26">
        <v>9</v>
      </c>
      <c r="B10" s="26" t="s">
        <v>73</v>
      </c>
      <c r="C10" s="26">
        <v>89.92</v>
      </c>
      <c r="D10" s="28" t="s">
        <v>118</v>
      </c>
      <c r="E10" s="28" t="s">
        <v>119</v>
      </c>
      <c r="F10" s="65">
        <v>44740</v>
      </c>
      <c r="G10" s="26">
        <v>6000</v>
      </c>
      <c r="H10" s="26">
        <f t="shared" si="0"/>
        <v>66.73</v>
      </c>
      <c r="I10" s="166"/>
    </row>
    <row r="11" spans="1:13">
      <c r="A11" s="25">
        <v>10</v>
      </c>
      <c r="B11" s="64" t="s">
        <v>99</v>
      </c>
      <c r="D11" s="64"/>
      <c r="E11" s="64"/>
      <c r="F11" s="66"/>
      <c r="H11" s="27" t="s">
        <v>122</v>
      </c>
      <c r="M11" s="25">
        <v>1.98</v>
      </c>
    </row>
    <row r="12" spans="1:13">
      <c r="A12" s="25">
        <v>11</v>
      </c>
      <c r="B12" s="64" t="s">
        <v>99</v>
      </c>
      <c r="C12" s="25">
        <v>61</v>
      </c>
      <c r="D12" s="64" t="s">
        <v>120</v>
      </c>
      <c r="E12" s="64" t="s">
        <v>121</v>
      </c>
      <c r="F12" s="66">
        <v>44781</v>
      </c>
      <c r="G12" s="25">
        <v>4800</v>
      </c>
      <c r="H12" s="25">
        <f t="shared" si="0"/>
        <v>78.69</v>
      </c>
    </row>
    <row r="13" spans="1:13">
      <c r="A13" s="25">
        <v>12</v>
      </c>
      <c r="B13" s="25" t="s">
        <v>91</v>
      </c>
      <c r="C13" s="25">
        <v>48.61</v>
      </c>
      <c r="D13" s="64" t="s">
        <v>120</v>
      </c>
      <c r="E13" s="64" t="s">
        <v>121</v>
      </c>
      <c r="F13" s="66">
        <v>44761</v>
      </c>
      <c r="G13" s="25">
        <v>4800</v>
      </c>
      <c r="H13" s="25">
        <f t="shared" si="0"/>
        <v>98.75</v>
      </c>
    </row>
    <row r="14" spans="1:13">
      <c r="A14" s="26">
        <v>13</v>
      </c>
      <c r="B14" s="28" t="s">
        <v>100</v>
      </c>
      <c r="C14" s="26"/>
      <c r="D14" s="28"/>
      <c r="E14" s="28"/>
      <c r="F14" s="65"/>
      <c r="G14" s="26"/>
      <c r="H14" s="67" t="s">
        <v>128</v>
      </c>
      <c r="I14" s="165" t="s">
        <v>255</v>
      </c>
      <c r="M14" s="25">
        <v>2.2000000000000002</v>
      </c>
    </row>
    <row r="15" spans="1:13">
      <c r="A15" s="26">
        <v>14</v>
      </c>
      <c r="B15" s="26" t="s">
        <v>92</v>
      </c>
      <c r="C15" s="26">
        <v>70.290000000000006</v>
      </c>
      <c r="D15" s="28" t="s">
        <v>127</v>
      </c>
      <c r="E15" s="28" t="s">
        <v>125</v>
      </c>
      <c r="F15" s="65">
        <v>44990</v>
      </c>
      <c r="G15" s="26">
        <v>4600</v>
      </c>
      <c r="H15" s="26">
        <f t="shared" si="0"/>
        <v>65.44</v>
      </c>
      <c r="I15" s="166"/>
    </row>
    <row r="16" spans="1:13">
      <c r="A16" s="26">
        <v>15</v>
      </c>
      <c r="B16" s="26" t="s">
        <v>92</v>
      </c>
      <c r="C16" s="26">
        <v>79</v>
      </c>
      <c r="D16" s="28" t="s">
        <v>118</v>
      </c>
      <c r="E16" s="28" t="s">
        <v>125</v>
      </c>
      <c r="F16" s="65">
        <v>44976</v>
      </c>
      <c r="G16" s="26">
        <v>4600</v>
      </c>
      <c r="H16" s="26">
        <f t="shared" si="0"/>
        <v>58.23</v>
      </c>
      <c r="I16" s="166"/>
    </row>
    <row r="17" spans="1:13">
      <c r="A17" s="26">
        <v>16</v>
      </c>
      <c r="B17" s="26" t="s">
        <v>92</v>
      </c>
      <c r="C17" s="26">
        <v>78</v>
      </c>
      <c r="D17" s="28" t="s">
        <v>129</v>
      </c>
      <c r="E17" s="28" t="s">
        <v>117</v>
      </c>
      <c r="F17" s="65">
        <v>44837</v>
      </c>
      <c r="G17" s="26">
        <v>4600</v>
      </c>
      <c r="H17" s="26">
        <f t="shared" si="0"/>
        <v>58.97</v>
      </c>
      <c r="I17" s="166"/>
    </row>
    <row r="18" spans="1:13">
      <c r="A18" s="26">
        <v>17</v>
      </c>
      <c r="B18" s="26" t="s">
        <v>92</v>
      </c>
      <c r="C18" s="26">
        <v>79.89</v>
      </c>
      <c r="D18" s="28" t="s">
        <v>118</v>
      </c>
      <c r="E18" s="28" t="s">
        <v>121</v>
      </c>
      <c r="F18" s="65">
        <v>44835</v>
      </c>
      <c r="G18" s="26">
        <v>5000</v>
      </c>
      <c r="H18" s="26">
        <f t="shared" si="0"/>
        <v>62.59</v>
      </c>
      <c r="I18" s="166"/>
    </row>
    <row r="19" spans="1:13">
      <c r="A19" s="26">
        <v>18</v>
      </c>
      <c r="B19" s="26" t="s">
        <v>92</v>
      </c>
      <c r="C19" s="26">
        <v>95.48</v>
      </c>
      <c r="D19" s="28" t="s">
        <v>118</v>
      </c>
      <c r="E19" s="28" t="s">
        <v>117</v>
      </c>
      <c r="F19" s="65">
        <v>44825</v>
      </c>
      <c r="G19" s="26">
        <v>5500</v>
      </c>
      <c r="H19" s="26">
        <f t="shared" si="0"/>
        <v>57.6</v>
      </c>
      <c r="I19" s="166"/>
    </row>
    <row r="20" spans="1:13">
      <c r="A20" s="26">
        <v>19</v>
      </c>
      <c r="B20" s="26" t="s">
        <v>92</v>
      </c>
      <c r="C20" s="26">
        <v>70</v>
      </c>
      <c r="D20" s="28" t="s">
        <v>111</v>
      </c>
      <c r="E20" s="28" t="s">
        <v>119</v>
      </c>
      <c r="F20" s="65">
        <v>44732</v>
      </c>
      <c r="G20" s="26">
        <v>4600</v>
      </c>
      <c r="H20" s="26">
        <f t="shared" si="0"/>
        <v>65.709999999999994</v>
      </c>
      <c r="I20" s="166"/>
    </row>
    <row r="21" spans="1:13">
      <c r="A21" s="26">
        <v>20</v>
      </c>
      <c r="B21" s="28" t="s">
        <v>101</v>
      </c>
      <c r="C21" s="26">
        <v>86.14</v>
      </c>
      <c r="D21" s="28" t="s">
        <v>131</v>
      </c>
      <c r="E21" s="28" t="s">
        <v>125</v>
      </c>
      <c r="F21" s="65">
        <v>45091</v>
      </c>
      <c r="G21" s="26">
        <v>6600</v>
      </c>
      <c r="H21" s="26">
        <f t="shared" si="0"/>
        <v>76.62</v>
      </c>
      <c r="I21" s="165" t="s">
        <v>256</v>
      </c>
      <c r="M21" s="25">
        <v>1.98</v>
      </c>
    </row>
    <row r="22" spans="1:13">
      <c r="A22" s="26">
        <v>21</v>
      </c>
      <c r="B22" s="26" t="s">
        <v>95</v>
      </c>
      <c r="C22" s="26">
        <v>60</v>
      </c>
      <c r="D22" s="28" t="s">
        <v>118</v>
      </c>
      <c r="E22" s="28" t="s">
        <v>125</v>
      </c>
      <c r="F22" s="65">
        <v>45076</v>
      </c>
      <c r="G22" s="26">
        <v>4100</v>
      </c>
      <c r="H22" s="26">
        <f t="shared" si="0"/>
        <v>68.33</v>
      </c>
      <c r="I22" s="166"/>
    </row>
    <row r="23" spans="1:13">
      <c r="A23" s="26">
        <v>22</v>
      </c>
      <c r="B23" s="26" t="s">
        <v>95</v>
      </c>
      <c r="C23" s="26">
        <v>73.12</v>
      </c>
      <c r="D23" s="28" t="s">
        <v>115</v>
      </c>
      <c r="E23" s="28" t="s">
        <v>125</v>
      </c>
      <c r="F23" s="65">
        <v>45025</v>
      </c>
      <c r="G23" s="26">
        <v>5000</v>
      </c>
      <c r="H23" s="26">
        <f t="shared" si="0"/>
        <v>68.38</v>
      </c>
      <c r="I23" s="166"/>
    </row>
    <row r="24" spans="1:13">
      <c r="A24" s="26">
        <v>23</v>
      </c>
      <c r="B24" s="28" t="s">
        <v>257</v>
      </c>
      <c r="C24" s="26">
        <v>74.59</v>
      </c>
      <c r="D24" s="28" t="s">
        <v>129</v>
      </c>
      <c r="E24" s="28" t="s">
        <v>121</v>
      </c>
      <c r="F24" s="65">
        <v>45008</v>
      </c>
      <c r="G24" s="26">
        <v>5300</v>
      </c>
      <c r="H24" s="26">
        <f t="shared" si="0"/>
        <v>71.06</v>
      </c>
      <c r="I24" s="166"/>
    </row>
    <row r="25" spans="1:13">
      <c r="A25" s="26">
        <v>24</v>
      </c>
      <c r="B25" s="26" t="s">
        <v>95</v>
      </c>
      <c r="C25" s="26">
        <v>58</v>
      </c>
      <c r="D25" s="28" t="s">
        <v>129</v>
      </c>
      <c r="E25" s="28" t="s">
        <v>117</v>
      </c>
      <c r="F25" s="65">
        <v>44990</v>
      </c>
      <c r="G25" s="26">
        <v>4300</v>
      </c>
      <c r="H25" s="26">
        <f t="shared" si="0"/>
        <v>74.14</v>
      </c>
      <c r="I25" s="166"/>
    </row>
    <row r="26" spans="1:13">
      <c r="A26" s="26">
        <v>25</v>
      </c>
      <c r="B26" s="26" t="s">
        <v>95</v>
      </c>
      <c r="C26" s="26">
        <v>69.239999999999995</v>
      </c>
      <c r="D26" s="28" t="s">
        <v>129</v>
      </c>
      <c r="E26" s="28" t="s">
        <v>121</v>
      </c>
      <c r="F26" s="65">
        <v>45004</v>
      </c>
      <c r="G26" s="26">
        <v>4800</v>
      </c>
      <c r="H26" s="26">
        <f t="shared" si="0"/>
        <v>69.319999999999993</v>
      </c>
      <c r="I26" s="166"/>
    </row>
    <row r="27" spans="1:13">
      <c r="A27" s="26">
        <v>26</v>
      </c>
      <c r="B27" s="26" t="s">
        <v>95</v>
      </c>
      <c r="C27" s="26">
        <v>78</v>
      </c>
      <c r="D27" s="28" t="s">
        <v>115</v>
      </c>
      <c r="E27" s="28" t="s">
        <v>117</v>
      </c>
      <c r="F27" s="65">
        <v>44968</v>
      </c>
      <c r="G27" s="26">
        <v>5200</v>
      </c>
      <c r="H27" s="26">
        <f t="shared" si="0"/>
        <v>66.67</v>
      </c>
      <c r="I27" s="166"/>
    </row>
    <row r="28" spans="1:13">
      <c r="A28" s="26">
        <v>27</v>
      </c>
      <c r="B28" s="26" t="s">
        <v>95</v>
      </c>
      <c r="C28" s="26">
        <v>74</v>
      </c>
      <c r="D28" s="28" t="s">
        <v>129</v>
      </c>
      <c r="E28" s="28" t="s">
        <v>117</v>
      </c>
      <c r="F28" s="65">
        <v>44926</v>
      </c>
      <c r="G28" s="26">
        <v>4800</v>
      </c>
      <c r="H28" s="26">
        <f t="shared" si="0"/>
        <v>64.86</v>
      </c>
      <c r="I28" s="166"/>
    </row>
    <row r="29" spans="1:13">
      <c r="A29" s="26">
        <v>28</v>
      </c>
      <c r="B29" s="26" t="s">
        <v>95</v>
      </c>
      <c r="C29" s="26">
        <v>76</v>
      </c>
      <c r="D29" s="28" t="s">
        <v>129</v>
      </c>
      <c r="E29" s="28" t="s">
        <v>117</v>
      </c>
      <c r="F29" s="68">
        <v>44918</v>
      </c>
      <c r="G29" s="26">
        <v>4900</v>
      </c>
      <c r="H29" s="26">
        <f t="shared" ref="H29" si="1">ROUND(G29/C29,2)</f>
        <v>64.47</v>
      </c>
      <c r="I29" s="166"/>
    </row>
    <row r="30" spans="1:13">
      <c r="A30" s="26">
        <v>29</v>
      </c>
      <c r="B30" s="26" t="s">
        <v>95</v>
      </c>
      <c r="C30" s="26">
        <v>74</v>
      </c>
      <c r="D30" s="28" t="s">
        <v>129</v>
      </c>
      <c r="E30" s="28" t="s">
        <v>117</v>
      </c>
      <c r="F30" s="65">
        <v>44903</v>
      </c>
      <c r="G30" s="26">
        <v>4900</v>
      </c>
      <c r="H30" s="26">
        <f t="shared" ref="H30" si="2">ROUND(G30/C30,2)</f>
        <v>66.22</v>
      </c>
      <c r="I30" s="166"/>
    </row>
    <row r="31" spans="1:13">
      <c r="A31" s="26">
        <v>30</v>
      </c>
      <c r="B31" s="26" t="s">
        <v>95</v>
      </c>
      <c r="C31" s="26">
        <v>60</v>
      </c>
      <c r="D31" s="28" t="s">
        <v>129</v>
      </c>
      <c r="E31" s="28" t="s">
        <v>121</v>
      </c>
      <c r="F31" s="65">
        <v>44892</v>
      </c>
      <c r="G31" s="26">
        <v>4200</v>
      </c>
      <c r="H31" s="26">
        <f t="shared" ref="H31:H45" si="3">ROUND(G31/C31,2)</f>
        <v>70</v>
      </c>
      <c r="I31" s="166"/>
    </row>
    <row r="32" spans="1:13">
      <c r="A32" s="25">
        <v>31</v>
      </c>
      <c r="B32" s="64" t="s">
        <v>102</v>
      </c>
      <c r="C32" s="25">
        <v>66</v>
      </c>
      <c r="D32" s="64" t="s">
        <v>133</v>
      </c>
      <c r="E32" s="64" t="s">
        <v>134</v>
      </c>
      <c r="F32" s="66">
        <v>45074</v>
      </c>
      <c r="G32" s="25">
        <v>4800</v>
      </c>
      <c r="H32" s="25">
        <f t="shared" si="3"/>
        <v>72.73</v>
      </c>
      <c r="M32" s="25">
        <v>1.5</v>
      </c>
    </row>
    <row r="33" spans="1:13">
      <c r="A33" s="25">
        <v>32</v>
      </c>
      <c r="B33" s="25" t="s">
        <v>96</v>
      </c>
      <c r="C33" s="25">
        <v>66</v>
      </c>
      <c r="D33" s="64" t="s">
        <v>133</v>
      </c>
      <c r="E33" s="64" t="s">
        <v>134</v>
      </c>
      <c r="F33" s="66">
        <v>45072</v>
      </c>
      <c r="G33" s="25">
        <v>5000</v>
      </c>
      <c r="H33" s="25">
        <f t="shared" si="3"/>
        <v>75.760000000000005</v>
      </c>
    </row>
    <row r="34" spans="1:13">
      <c r="A34" s="25">
        <v>33</v>
      </c>
      <c r="B34" s="25" t="s">
        <v>96</v>
      </c>
      <c r="C34" s="25">
        <v>105</v>
      </c>
      <c r="D34" s="64" t="s">
        <v>131</v>
      </c>
      <c r="E34" s="64" t="s">
        <v>121</v>
      </c>
      <c r="F34" s="66">
        <v>45067</v>
      </c>
      <c r="G34" s="25">
        <v>5700</v>
      </c>
      <c r="H34" s="25">
        <f t="shared" si="3"/>
        <v>54.29</v>
      </c>
    </row>
    <row r="35" spans="1:13">
      <c r="A35" s="25">
        <v>34</v>
      </c>
      <c r="B35" s="25" t="s">
        <v>96</v>
      </c>
      <c r="C35" s="25">
        <v>79</v>
      </c>
      <c r="D35" s="64" t="s">
        <v>129</v>
      </c>
      <c r="E35" s="64" t="s">
        <v>117</v>
      </c>
      <c r="F35" s="66">
        <v>45061</v>
      </c>
      <c r="G35" s="25">
        <v>5000</v>
      </c>
      <c r="H35" s="25">
        <f t="shared" si="3"/>
        <v>63.29</v>
      </c>
    </row>
    <row r="36" spans="1:13">
      <c r="A36" s="25">
        <v>35</v>
      </c>
      <c r="B36" s="25" t="s">
        <v>96</v>
      </c>
      <c r="C36" s="25">
        <v>91.81</v>
      </c>
      <c r="D36" s="64" t="s">
        <v>115</v>
      </c>
      <c r="E36" s="64" t="s">
        <v>117</v>
      </c>
      <c r="F36" s="66">
        <v>45007</v>
      </c>
      <c r="G36" s="25">
        <v>5000</v>
      </c>
      <c r="H36" s="25">
        <f t="shared" si="3"/>
        <v>54.46</v>
      </c>
    </row>
    <row r="37" spans="1:13">
      <c r="A37" s="25">
        <v>36</v>
      </c>
      <c r="B37" s="64" t="s">
        <v>102</v>
      </c>
      <c r="C37" s="25">
        <v>66</v>
      </c>
      <c r="D37" s="64" t="s">
        <v>133</v>
      </c>
      <c r="E37" s="64" t="s">
        <v>121</v>
      </c>
      <c r="F37" s="66">
        <v>45004</v>
      </c>
      <c r="G37" s="25">
        <v>4500</v>
      </c>
      <c r="H37" s="25">
        <f t="shared" si="3"/>
        <v>68.180000000000007</v>
      </c>
    </row>
    <row r="38" spans="1:13">
      <c r="A38" s="25">
        <v>37</v>
      </c>
      <c r="B38" s="25" t="s">
        <v>96</v>
      </c>
      <c r="C38" s="25">
        <v>57</v>
      </c>
      <c r="D38" s="64" t="s">
        <v>135</v>
      </c>
      <c r="E38" s="64" t="s">
        <v>125</v>
      </c>
      <c r="F38" s="66">
        <v>44999</v>
      </c>
      <c r="G38" s="25">
        <v>4200</v>
      </c>
      <c r="H38" s="25">
        <f t="shared" si="3"/>
        <v>73.680000000000007</v>
      </c>
    </row>
    <row r="39" spans="1:13">
      <c r="A39" s="25">
        <v>38</v>
      </c>
      <c r="B39" s="25" t="s">
        <v>96</v>
      </c>
      <c r="C39" s="25">
        <v>91</v>
      </c>
      <c r="D39" s="64" t="s">
        <v>115</v>
      </c>
      <c r="E39" s="64" t="s">
        <v>121</v>
      </c>
      <c r="F39" s="66">
        <v>44990</v>
      </c>
      <c r="G39" s="25">
        <v>5400</v>
      </c>
      <c r="H39" s="25">
        <f t="shared" si="3"/>
        <v>59.34</v>
      </c>
    </row>
    <row r="40" spans="1:13">
      <c r="A40" s="25">
        <v>39</v>
      </c>
      <c r="B40" s="25" t="s">
        <v>96</v>
      </c>
      <c r="C40" s="25">
        <v>74.77</v>
      </c>
      <c r="D40" s="64" t="s">
        <v>127</v>
      </c>
      <c r="E40" s="64" t="s">
        <v>136</v>
      </c>
      <c r="F40" s="66">
        <v>44989</v>
      </c>
      <c r="G40" s="25">
        <v>5100</v>
      </c>
      <c r="H40" s="25">
        <f t="shared" si="3"/>
        <v>68.209999999999994</v>
      </c>
    </row>
    <row r="41" spans="1:13">
      <c r="A41" s="25">
        <v>40</v>
      </c>
      <c r="B41" s="25" t="s">
        <v>96</v>
      </c>
      <c r="C41" s="25">
        <v>58</v>
      </c>
      <c r="D41" s="64" t="s">
        <v>135</v>
      </c>
      <c r="E41" s="64" t="s">
        <v>125</v>
      </c>
      <c r="F41" s="66">
        <v>44912</v>
      </c>
      <c r="G41" s="25">
        <v>4000</v>
      </c>
      <c r="H41" s="25">
        <f t="shared" si="3"/>
        <v>68.97</v>
      </c>
    </row>
    <row r="42" spans="1:13">
      <c r="A42" s="25">
        <v>41</v>
      </c>
      <c r="B42" s="25" t="s">
        <v>96</v>
      </c>
      <c r="C42" s="25">
        <v>75</v>
      </c>
      <c r="D42" s="64" t="s">
        <v>129</v>
      </c>
      <c r="E42" s="64" t="s">
        <v>121</v>
      </c>
      <c r="F42" s="66">
        <v>44879</v>
      </c>
      <c r="G42" s="25">
        <v>4700</v>
      </c>
      <c r="H42" s="25">
        <f t="shared" si="3"/>
        <v>62.67</v>
      </c>
    </row>
    <row r="43" spans="1:13">
      <c r="A43" s="25">
        <v>42</v>
      </c>
      <c r="B43" s="25" t="s">
        <v>96</v>
      </c>
      <c r="C43" s="25">
        <v>66</v>
      </c>
      <c r="D43" s="64" t="s">
        <v>133</v>
      </c>
      <c r="E43" s="64" t="s">
        <v>137</v>
      </c>
      <c r="F43" s="66">
        <v>44864</v>
      </c>
      <c r="G43" s="25">
        <v>4900</v>
      </c>
      <c r="H43" s="25">
        <f t="shared" si="3"/>
        <v>74.239999999999995</v>
      </c>
    </row>
    <row r="44" spans="1:13">
      <c r="A44" s="25">
        <v>43</v>
      </c>
      <c r="B44" s="25" t="s">
        <v>96</v>
      </c>
      <c r="C44" s="25">
        <v>77</v>
      </c>
      <c r="D44" s="64" t="s">
        <v>135</v>
      </c>
      <c r="E44" s="64" t="s">
        <v>121</v>
      </c>
      <c r="F44" s="66">
        <v>44862</v>
      </c>
      <c r="G44" s="25">
        <v>5300</v>
      </c>
      <c r="H44" s="25">
        <f t="shared" si="3"/>
        <v>68.83</v>
      </c>
    </row>
    <row r="45" spans="1:13">
      <c r="A45" s="25">
        <v>44</v>
      </c>
      <c r="B45" s="25" t="s">
        <v>96</v>
      </c>
      <c r="C45" s="25">
        <v>74.77</v>
      </c>
      <c r="D45" s="64" t="s">
        <v>138</v>
      </c>
      <c r="E45" s="64" t="s">
        <v>137</v>
      </c>
      <c r="F45" s="66">
        <v>44828</v>
      </c>
      <c r="G45" s="25">
        <v>4900</v>
      </c>
      <c r="H45" s="25">
        <f t="shared" si="3"/>
        <v>65.53</v>
      </c>
    </row>
    <row r="46" spans="1:13">
      <c r="D46" s="64"/>
      <c r="E46" s="64"/>
      <c r="F46" s="66"/>
    </row>
    <row r="48" spans="1:13">
      <c r="B48" s="64" t="s">
        <v>123</v>
      </c>
      <c r="H48" s="27" t="s">
        <v>126</v>
      </c>
      <c r="M48" s="25">
        <v>0.5</v>
      </c>
    </row>
    <row r="49" spans="1:13">
      <c r="B49" s="64" t="s">
        <v>123</v>
      </c>
      <c r="C49" s="25">
        <v>102.84</v>
      </c>
      <c r="D49" s="64" t="s">
        <v>115</v>
      </c>
      <c r="E49" s="64" t="s">
        <v>125</v>
      </c>
      <c r="F49" s="66">
        <v>44981</v>
      </c>
      <c r="G49" s="25">
        <v>6600</v>
      </c>
      <c r="H49" s="25">
        <f t="shared" ref="H49:H60" si="4">ROUND(G49/C49,2)</f>
        <v>64.180000000000007</v>
      </c>
    </row>
    <row r="50" spans="1:13">
      <c r="B50" s="64" t="s">
        <v>123</v>
      </c>
      <c r="C50" s="25">
        <v>81.650000000000006</v>
      </c>
      <c r="D50" s="64" t="s">
        <v>115</v>
      </c>
      <c r="E50" s="64" t="s">
        <v>121</v>
      </c>
      <c r="F50" s="66">
        <v>44843</v>
      </c>
      <c r="G50" s="25">
        <v>5900</v>
      </c>
      <c r="H50" s="25">
        <f t="shared" si="4"/>
        <v>72.260000000000005</v>
      </c>
    </row>
    <row r="51" spans="1:13">
      <c r="B51" s="64" t="s">
        <v>123</v>
      </c>
      <c r="C51" s="25">
        <v>103.62</v>
      </c>
      <c r="D51" s="64" t="s">
        <v>115</v>
      </c>
      <c r="E51" s="64" t="s">
        <v>117</v>
      </c>
      <c r="F51" s="66">
        <v>44777</v>
      </c>
      <c r="G51" s="25">
        <v>6100</v>
      </c>
      <c r="H51" s="25">
        <f t="shared" si="4"/>
        <v>58.87</v>
      </c>
    </row>
    <row r="52" spans="1:13">
      <c r="B52" s="64" t="s">
        <v>123</v>
      </c>
      <c r="C52" s="25">
        <v>101.45</v>
      </c>
      <c r="D52" s="64" t="s">
        <v>115</v>
      </c>
      <c r="E52" s="64" t="s">
        <v>121</v>
      </c>
      <c r="F52" s="66">
        <v>44745</v>
      </c>
      <c r="G52" s="25">
        <v>5200</v>
      </c>
      <c r="H52" s="25">
        <f t="shared" si="4"/>
        <v>51.26</v>
      </c>
    </row>
    <row r="53" spans="1:13">
      <c r="A53" s="26"/>
      <c r="B53" s="28" t="s">
        <v>130</v>
      </c>
      <c r="C53" s="26">
        <v>52.05</v>
      </c>
      <c r="D53" s="28" t="s">
        <v>129</v>
      </c>
      <c r="E53" s="28" t="s">
        <v>121</v>
      </c>
      <c r="F53" s="65">
        <v>45052</v>
      </c>
      <c r="G53" s="26">
        <v>4000</v>
      </c>
      <c r="H53" s="26">
        <f t="shared" si="4"/>
        <v>76.849999999999994</v>
      </c>
      <c r="I53" s="165" t="s">
        <v>255</v>
      </c>
      <c r="M53" s="25">
        <v>1.85</v>
      </c>
    </row>
    <row r="54" spans="1:13">
      <c r="A54" s="26"/>
      <c r="B54" s="28" t="s">
        <v>130</v>
      </c>
      <c r="C54" s="26">
        <v>60.47</v>
      </c>
      <c r="D54" s="28" t="s">
        <v>129</v>
      </c>
      <c r="E54" s="28" t="s">
        <v>125</v>
      </c>
      <c r="F54" s="65">
        <v>45019</v>
      </c>
      <c r="G54" s="26">
        <v>4200</v>
      </c>
      <c r="H54" s="26">
        <f t="shared" si="4"/>
        <v>69.459999999999994</v>
      </c>
      <c r="I54" s="166"/>
    </row>
    <row r="55" spans="1:13">
      <c r="A55" s="26"/>
      <c r="B55" s="28" t="s">
        <v>130</v>
      </c>
      <c r="C55" s="26">
        <v>64.349999999999994</v>
      </c>
      <c r="D55" s="28" t="s">
        <v>115</v>
      </c>
      <c r="E55" s="28" t="s">
        <v>121</v>
      </c>
      <c r="F55" s="65">
        <v>45017</v>
      </c>
      <c r="G55" s="26">
        <v>4380</v>
      </c>
      <c r="H55" s="26">
        <f t="shared" si="4"/>
        <v>68.069999999999993</v>
      </c>
      <c r="I55" s="166"/>
    </row>
    <row r="56" spans="1:13">
      <c r="A56" s="26"/>
      <c r="B56" s="28" t="s">
        <v>130</v>
      </c>
      <c r="C56" s="26">
        <v>68.02</v>
      </c>
      <c r="D56" s="28" t="s">
        <v>131</v>
      </c>
      <c r="E56" s="28" t="s">
        <v>125</v>
      </c>
      <c r="F56" s="65">
        <v>44982</v>
      </c>
      <c r="G56" s="26">
        <v>4700</v>
      </c>
      <c r="H56" s="26">
        <f t="shared" si="4"/>
        <v>69.099999999999994</v>
      </c>
      <c r="I56" s="166"/>
    </row>
    <row r="57" spans="1:13">
      <c r="A57" s="26"/>
      <c r="B57" s="28" t="s">
        <v>130</v>
      </c>
      <c r="C57" s="26">
        <v>51</v>
      </c>
      <c r="D57" s="28" t="s">
        <v>120</v>
      </c>
      <c r="E57" s="28" t="s">
        <v>125</v>
      </c>
      <c r="F57" s="65">
        <v>44977</v>
      </c>
      <c r="G57" s="26">
        <v>4500</v>
      </c>
      <c r="H57" s="26">
        <f t="shared" si="4"/>
        <v>88.24</v>
      </c>
      <c r="I57" s="166"/>
    </row>
    <row r="58" spans="1:13">
      <c r="A58" s="26"/>
      <c r="B58" s="28" t="s">
        <v>130</v>
      </c>
      <c r="C58" s="26">
        <v>52.05</v>
      </c>
      <c r="D58" s="28" t="s">
        <v>132</v>
      </c>
      <c r="E58" s="28" t="s">
        <v>117</v>
      </c>
      <c r="F58" s="65">
        <v>44955</v>
      </c>
      <c r="G58" s="26">
        <v>4400</v>
      </c>
      <c r="H58" s="26">
        <f t="shared" si="4"/>
        <v>84.53</v>
      </c>
      <c r="I58" s="166"/>
    </row>
    <row r="59" spans="1:13">
      <c r="A59" s="26"/>
      <c r="B59" s="28" t="s">
        <v>130</v>
      </c>
      <c r="C59" s="26">
        <v>51</v>
      </c>
      <c r="D59" s="28" t="s">
        <v>120</v>
      </c>
      <c r="E59" s="28" t="s">
        <v>125</v>
      </c>
      <c r="F59" s="65">
        <v>44932</v>
      </c>
      <c r="G59" s="26">
        <v>4350</v>
      </c>
      <c r="H59" s="26">
        <f t="shared" si="4"/>
        <v>85.29</v>
      </c>
      <c r="I59" s="166"/>
    </row>
    <row r="60" spans="1:13">
      <c r="A60" s="26"/>
      <c r="B60" s="28" t="s">
        <v>130</v>
      </c>
      <c r="C60" s="26">
        <v>51</v>
      </c>
      <c r="D60" s="28" t="s">
        <v>132</v>
      </c>
      <c r="E60" s="28" t="s">
        <v>117</v>
      </c>
      <c r="F60" s="65">
        <v>44905</v>
      </c>
      <c r="G60" s="26">
        <v>4100</v>
      </c>
      <c r="H60" s="26">
        <f t="shared" si="4"/>
        <v>80.39</v>
      </c>
      <c r="I60" s="166"/>
    </row>
  </sheetData>
  <mergeCells count="4">
    <mergeCell ref="I14:I20"/>
    <mergeCell ref="I2:I10"/>
    <mergeCell ref="I21:I31"/>
    <mergeCell ref="I53:I60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N20" sqref="N20"/>
    </sheetView>
  </sheetViews>
  <sheetFormatPr defaultRowHeight="14.25"/>
  <cols>
    <col min="2" max="2" width="20" customWidth="1"/>
    <col min="3" max="3" width="13.375" customWidth="1"/>
    <col min="4" max="13" width="10.75" customWidth="1"/>
  </cols>
  <sheetData>
    <row r="1" spans="1:21">
      <c r="A1" s="29" t="s">
        <v>110</v>
      </c>
      <c r="B1" s="29" t="s">
        <v>103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  <c r="H1" s="30" t="s">
        <v>145</v>
      </c>
      <c r="I1" s="30" t="s">
        <v>146</v>
      </c>
      <c r="J1" s="30" t="s">
        <v>147</v>
      </c>
      <c r="K1" s="30" t="s">
        <v>148</v>
      </c>
      <c r="L1" s="30" t="s">
        <v>149</v>
      </c>
      <c r="M1" s="30" t="s">
        <v>150</v>
      </c>
      <c r="N1" s="30" t="s">
        <v>253</v>
      </c>
      <c r="O1" s="30"/>
      <c r="P1" s="30"/>
      <c r="Q1" s="30"/>
      <c r="R1" s="30"/>
      <c r="S1" s="30"/>
      <c r="T1" s="30"/>
      <c r="U1" s="30"/>
    </row>
    <row r="2" spans="1:21" s="33" customFormat="1">
      <c r="A2" s="32">
        <v>1</v>
      </c>
      <c r="B2" s="33" t="s">
        <v>98</v>
      </c>
      <c r="C2" s="33">
        <v>72.05</v>
      </c>
      <c r="D2" s="33">
        <v>73.06</v>
      </c>
      <c r="E2" s="33">
        <v>72.02</v>
      </c>
      <c r="F2" s="33">
        <v>69.739999999999995</v>
      </c>
      <c r="G2" s="33">
        <v>67.91</v>
      </c>
      <c r="H2" s="33">
        <v>66.900000000000006</v>
      </c>
      <c r="I2" s="33">
        <v>66.97</v>
      </c>
    </row>
    <row r="3" spans="1:21">
      <c r="A3" s="31">
        <v>2</v>
      </c>
      <c r="B3" s="29" t="s">
        <v>99</v>
      </c>
      <c r="C3">
        <v>71.989999999999995</v>
      </c>
      <c r="D3">
        <v>71.47</v>
      </c>
    </row>
    <row r="4" spans="1:21" s="33" customFormat="1">
      <c r="A4" s="32">
        <v>3</v>
      </c>
      <c r="B4" s="33" t="s">
        <v>251</v>
      </c>
      <c r="C4" s="33">
        <v>68.78</v>
      </c>
      <c r="D4" s="33">
        <v>68.23</v>
      </c>
      <c r="E4" s="33">
        <v>65.22</v>
      </c>
      <c r="F4" s="33">
        <v>62.46</v>
      </c>
      <c r="I4" s="33">
        <v>111.83</v>
      </c>
      <c r="J4" s="33">
        <v>101.8</v>
      </c>
      <c r="K4" s="33">
        <v>77.37</v>
      </c>
    </row>
    <row r="5" spans="1:21" s="33" customFormat="1">
      <c r="A5" s="32">
        <v>4</v>
      </c>
      <c r="B5" s="33" t="s">
        <v>252</v>
      </c>
      <c r="C5" s="33">
        <v>70.709999999999994</v>
      </c>
      <c r="D5" s="33">
        <v>70.069999999999993</v>
      </c>
      <c r="E5" s="33">
        <v>69.92</v>
      </c>
      <c r="F5" s="33">
        <v>70.37</v>
      </c>
      <c r="G5" s="33">
        <v>69.38</v>
      </c>
      <c r="H5" s="33">
        <v>70.09</v>
      </c>
      <c r="I5" s="33">
        <v>71.349999999999994</v>
      </c>
      <c r="J5" s="33">
        <v>70.59</v>
      </c>
      <c r="K5" s="33">
        <v>70.91</v>
      </c>
      <c r="L5" s="33">
        <v>68.56</v>
      </c>
      <c r="M5" s="33">
        <v>71.05</v>
      </c>
      <c r="N5" s="33">
        <v>69.11</v>
      </c>
    </row>
    <row r="6" spans="1:21">
      <c r="A6" s="31">
        <v>5</v>
      </c>
      <c r="B6" s="29" t="s">
        <v>102</v>
      </c>
    </row>
    <row r="7" spans="1:21">
      <c r="A7" s="31">
        <v>6</v>
      </c>
      <c r="B7" s="29" t="s">
        <v>123</v>
      </c>
    </row>
    <row r="8" spans="1:21" s="33" customFormat="1">
      <c r="A8" s="32">
        <v>7</v>
      </c>
      <c r="B8" s="33" t="s">
        <v>254</v>
      </c>
      <c r="C8" s="33">
        <v>74.7</v>
      </c>
      <c r="D8" s="33">
        <v>74.61</v>
      </c>
      <c r="E8" s="33">
        <v>74.040000000000006</v>
      </c>
      <c r="F8" s="33">
        <v>72.19</v>
      </c>
      <c r="G8" s="33">
        <v>72.92</v>
      </c>
      <c r="H8" s="33">
        <v>72.77</v>
      </c>
      <c r="I8" s="33">
        <v>71.510000000000005</v>
      </c>
      <c r="J8" s="33">
        <v>69.989999999999995</v>
      </c>
      <c r="K8" s="33">
        <v>69.930000000000007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系统读取表</vt:lpstr>
      <vt:lpstr>标准房测算表</vt:lpstr>
      <vt:lpstr>东坝地区平均数</vt:lpstr>
      <vt:lpstr>户型汇总</vt:lpstr>
      <vt:lpstr>小区明细</vt:lpstr>
      <vt:lpstr>案例汇总</vt:lpstr>
      <vt:lpstr>行业主管部门</vt:lpstr>
      <vt:lpstr>市场数据</vt:lpstr>
      <vt:lpstr>中指数据</vt:lpstr>
      <vt:lpstr>勘察</vt:lpstr>
      <vt:lpstr>勘察!Print_Area</vt:lpstr>
      <vt:lpstr>小区明细!Print_Area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test</cp:lastModifiedBy>
  <cp:revision>7</cp:revision>
  <cp:lastPrinted>2023-06-25T07:00:36Z</cp:lastPrinted>
  <dcterms:created xsi:type="dcterms:W3CDTF">2015-06-05T18:19:00Z</dcterms:created>
  <dcterms:modified xsi:type="dcterms:W3CDTF">2023-06-30T05:15:15Z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2052-11.1.0.9740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