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200" windowHeight="11460" tabRatio="747" activeTab="2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3"/>
  <c r="I5" i="6"/>
  <c r="G5"/>
  <c r="E5"/>
  <c r="J53" i="5"/>
  <c r="J52"/>
  <c r="J51"/>
  <c r="K51"/>
  <c r="K52"/>
  <c r="K53"/>
  <c r="K50"/>
  <c r="J50"/>
  <c r="T20" i="10" l="1"/>
  <c r="R20"/>
  <c r="P20"/>
  <c r="N20"/>
  <c r="H20"/>
  <c r="F20"/>
  <c r="F17" i="6"/>
  <c r="I4" i="1" l="1"/>
  <c r="I5"/>
  <c r="I6"/>
  <c r="I7"/>
  <c r="I8"/>
  <c r="I9"/>
  <c r="I10"/>
  <c r="I3"/>
  <c r="T21" i="10" l="1"/>
  <c r="P21"/>
  <c r="N21"/>
  <c r="L21"/>
  <c r="F21"/>
  <c r="J21"/>
  <c r="H21"/>
  <c r="J20" i="6"/>
  <c r="F20"/>
  <c r="F23" i="11" l="1"/>
  <c r="E23"/>
  <c r="F22"/>
  <c r="E22"/>
  <c r="F21"/>
  <c r="E21"/>
  <c r="F20"/>
  <c r="E20"/>
  <c r="F19"/>
  <c r="E19"/>
  <c r="F18"/>
  <c r="E18"/>
  <c r="F17"/>
  <c r="E17"/>
  <c r="F16"/>
  <c r="E16"/>
  <c r="F15"/>
  <c r="E15"/>
  <c r="B14"/>
  <c r="D8"/>
  <c r="C8"/>
  <c r="D7"/>
  <c r="C7"/>
  <c r="D6"/>
  <c r="B2"/>
  <c r="T22" i="10" l="1"/>
  <c r="R22"/>
  <c r="P22"/>
  <c r="N22"/>
  <c r="L22"/>
  <c r="J22"/>
  <c r="J24"/>
  <c r="H22"/>
  <c r="L17"/>
  <c r="T16"/>
  <c r="R16"/>
  <c r="P16"/>
  <c r="N16"/>
  <c r="L16"/>
  <c r="J16"/>
  <c r="H16"/>
  <c r="F16"/>
  <c r="H15"/>
  <c r="T24"/>
  <c r="R24"/>
  <c r="P24"/>
  <c r="L24"/>
  <c r="T23"/>
  <c r="R23"/>
  <c r="P23"/>
  <c r="N23"/>
  <c r="L23"/>
  <c r="J23"/>
  <c r="H23"/>
  <c r="N19"/>
  <c r="P19"/>
  <c r="R19"/>
  <c r="L19"/>
  <c r="T19"/>
  <c r="T15"/>
  <c r="P15"/>
  <c r="R15"/>
  <c r="S34"/>
  <c r="Q34"/>
  <c r="O34"/>
  <c r="M34"/>
  <c r="K34"/>
  <c r="I34"/>
  <c r="G34"/>
  <c r="E34"/>
  <c r="C34"/>
  <c r="N15"/>
  <c r="L15"/>
  <c r="J15"/>
  <c r="F15"/>
  <c r="T14"/>
  <c r="R14"/>
  <c r="P14"/>
  <c r="N14"/>
  <c r="L14"/>
  <c r="J14"/>
  <c r="H14"/>
  <c r="F14"/>
  <c r="H22" i="6" l="1"/>
  <c r="F22"/>
  <c r="F19"/>
  <c r="F23" i="10"/>
  <c r="F24"/>
  <c r="J21" i="6"/>
  <c r="H21"/>
  <c r="F21"/>
  <c r="S4" i="10"/>
  <c r="Q4"/>
  <c r="O4"/>
  <c r="M4"/>
  <c r="K4"/>
  <c r="I4"/>
  <c r="G4"/>
  <c r="E4"/>
  <c r="C4" l="1"/>
  <c r="U4"/>
  <c r="U5"/>
  <c r="U25" s="1"/>
  <c r="Z5"/>
  <c r="P7"/>
  <c r="R7"/>
  <c r="T7"/>
  <c r="V7"/>
  <c r="P8"/>
  <c r="T8"/>
  <c r="P10"/>
  <c r="R10" s="1"/>
  <c r="T10" s="1"/>
  <c r="P17"/>
  <c r="T17" s="1"/>
  <c r="N24"/>
  <c r="U26" l="1"/>
  <c r="H24"/>
  <c r="J22" i="6" l="1"/>
  <c r="F18"/>
  <c r="H18" s="1"/>
  <c r="J18" s="1"/>
  <c r="H19"/>
  <c r="H51" i="5"/>
  <c r="H52"/>
  <c r="H53"/>
  <c r="H50"/>
  <c r="J19" i="6" l="1"/>
  <c r="M33" i="5"/>
  <c r="M43"/>
  <c r="M40"/>
  <c r="M37"/>
  <c r="M45" s="1"/>
  <c r="D53" s="1"/>
  <c r="M34"/>
  <c r="M30"/>
  <c r="M27"/>
  <c r="M24"/>
  <c r="M23"/>
  <c r="M19"/>
  <c r="M17"/>
  <c r="M15"/>
  <c r="M14"/>
  <c r="M10"/>
  <c r="M7"/>
  <c r="M5"/>
  <c r="M12" s="1"/>
  <c r="D50" s="1"/>
  <c r="T43"/>
  <c r="T39"/>
  <c r="F39"/>
  <c r="F36"/>
  <c r="T35"/>
  <c r="F33"/>
  <c r="F30"/>
  <c r="F29"/>
  <c r="F41" s="1"/>
  <c r="C53" s="1"/>
  <c r="T28"/>
  <c r="F26"/>
  <c r="T24"/>
  <c r="T23"/>
  <c r="F23"/>
  <c r="F21"/>
  <c r="F20"/>
  <c r="F19"/>
  <c r="F28" s="1"/>
  <c r="T17"/>
  <c r="F17"/>
  <c r="F18" s="1"/>
  <c r="F16"/>
  <c r="T15"/>
  <c r="F15"/>
  <c r="T14"/>
  <c r="F14"/>
  <c r="T13"/>
  <c r="T20" s="1"/>
  <c r="F13"/>
  <c r="F11"/>
  <c r="T10"/>
  <c r="F9"/>
  <c r="T8"/>
  <c r="T6"/>
  <c r="F6"/>
  <c r="T4"/>
  <c r="F4"/>
  <c r="T3"/>
  <c r="F3"/>
  <c r="H20" i="3"/>
  <c r="H10"/>
  <c r="T45" i="5" l="1"/>
  <c r="M21"/>
  <c r="M32"/>
  <c r="D52" s="1"/>
  <c r="T32"/>
  <c r="T12"/>
  <c r="E50" s="1"/>
  <c r="F12"/>
  <c r="C50" s="1"/>
  <c r="E51"/>
  <c r="H9" i="3"/>
  <c r="H8"/>
  <c r="H7"/>
  <c r="H6"/>
  <c r="H5"/>
  <c r="H4"/>
  <c r="H3"/>
  <c r="H2"/>
  <c r="D51" i="5" l="1"/>
  <c r="E52"/>
  <c r="C52"/>
  <c r="C51"/>
  <c r="F52" l="1"/>
  <c r="I52" s="1"/>
  <c r="F51"/>
  <c r="I51" s="1"/>
  <c r="F50"/>
  <c r="I50" s="1"/>
  <c r="E23" i="6" s="1"/>
  <c r="E24" s="1"/>
  <c r="H7"/>
  <c r="J7"/>
  <c r="F16"/>
  <c r="J16" s="1"/>
  <c r="H17"/>
  <c r="G22"/>
  <c r="I22" s="1"/>
  <c r="G23"/>
  <c r="H16" l="1"/>
  <c r="E31"/>
  <c r="G24"/>
  <c r="G27" s="1"/>
  <c r="G29" s="1"/>
  <c r="E32"/>
  <c r="J17"/>
  <c r="I31" s="1"/>
  <c r="G31"/>
  <c r="G32" s="1"/>
  <c r="E27"/>
  <c r="E29" s="1"/>
  <c r="H45" i="3" l="1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4"/>
  <c r="H23"/>
  <c r="H22"/>
  <c r="H21"/>
  <c r="H60"/>
  <c r="H59"/>
  <c r="H58"/>
  <c r="H57"/>
  <c r="H56"/>
  <c r="H55"/>
  <c r="H54"/>
  <c r="H53"/>
  <c r="H19"/>
  <c r="H52"/>
  <c r="H51"/>
  <c r="H50"/>
  <c r="H49"/>
  <c r="L5" i="2"/>
  <c r="H25" i="3"/>
  <c r="L4" i="2"/>
  <c r="H12" i="3"/>
  <c r="H13"/>
  <c r="H15"/>
  <c r="H16"/>
  <c r="H17"/>
  <c r="H18"/>
  <c r="E53" i="5"/>
  <c r="F53" s="1"/>
  <c r="I53" s="1"/>
  <c r="I23" i="6" s="1"/>
  <c r="I24" l="1"/>
  <c r="I32"/>
  <c r="C27" l="1"/>
  <c r="I27"/>
  <c r="I29" s="1"/>
  <c r="A25"/>
  <c r="C35" i="10" l="1"/>
  <c r="C37" s="1"/>
  <c r="C39" s="1"/>
  <c r="S5"/>
  <c r="S25" s="1"/>
  <c r="S26" s="1"/>
  <c r="K5"/>
  <c r="K25" s="1"/>
  <c r="K26" s="1"/>
  <c r="Q5"/>
  <c r="Q25" s="1"/>
  <c r="Q26" s="1"/>
  <c r="O5"/>
  <c r="O25" s="1"/>
  <c r="O26" s="1"/>
  <c r="G5"/>
  <c r="G25" s="1"/>
  <c r="G26" s="1"/>
  <c r="M5"/>
  <c r="M25" s="1"/>
  <c r="E5"/>
  <c r="E25" s="1"/>
  <c r="E26" s="1"/>
  <c r="I5"/>
  <c r="I25" s="1"/>
  <c r="I26" s="1"/>
  <c r="E35" l="1"/>
  <c r="E37" s="1"/>
  <c r="E39" s="1"/>
  <c r="E30"/>
  <c r="G35"/>
  <c r="G37" s="1"/>
  <c r="G39" s="1"/>
  <c r="G30"/>
  <c r="Q35"/>
  <c r="Q37" s="1"/>
  <c r="Q39" s="1"/>
  <c r="Q30"/>
  <c r="Q32" s="1"/>
  <c r="S35"/>
  <c r="S37" s="1"/>
  <c r="S39" s="1"/>
  <c r="S30"/>
  <c r="S32" s="1"/>
  <c r="I35"/>
  <c r="I37" s="1"/>
  <c r="I39" s="1"/>
  <c r="I30"/>
  <c r="C32"/>
  <c r="M26"/>
  <c r="O35"/>
  <c r="O37" s="1"/>
  <c r="O39" s="1"/>
  <c r="O30"/>
  <c r="O32" s="1"/>
  <c r="K35"/>
  <c r="K37" s="1"/>
  <c r="K39" s="1"/>
  <c r="K30"/>
  <c r="M35" l="1"/>
  <c r="M37" s="1"/>
  <c r="M39" s="1"/>
  <c r="C40" s="1"/>
  <c r="C41" s="1"/>
  <c r="E14" i="11" s="1"/>
  <c r="D14" s="1"/>
  <c r="C30" i="10"/>
  <c r="A27"/>
  <c r="M30"/>
  <c r="M32" s="1"/>
  <c r="F14" i="11" l="1"/>
  <c r="B5"/>
  <c r="B6"/>
  <c r="C6" s="1"/>
  <c r="B10" l="1"/>
  <c r="D5"/>
  <c r="B9"/>
  <c r="C5"/>
  <c r="B8"/>
  <c r="B11"/>
  <c r="B7"/>
</calcChain>
</file>

<file path=xl/sharedStrings.xml><?xml version="1.0" encoding="utf-8"?>
<sst xmlns="http://schemas.openxmlformats.org/spreadsheetml/2006/main" count="1235" uniqueCount="445">
  <si>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</si>
  <si>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</si>
  <si>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</si>
  <si>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</si>
  <si>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</si>
  <si>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</si>
  <si>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</si>
  <si>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</si>
  <si>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</si>
  <si>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</si>
  <si>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</si>
  <si>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</si>
  <si>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</si>
  <si>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</si>
  <si>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</si>
  <si>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</si>
  <si>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</si>
  <si>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</si>
  <si>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</si>
  <si>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</si>
  <si>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</si>
  <si>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</si>
  <si>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</si>
  <si>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</si>
  <si>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</si>
  <si>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</si>
  <si>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</si>
  <si>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</si>
  <si>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</si>
  <si>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</si>
  <si>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</si>
  <si>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</si>
  <si>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</si>
  <si>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</si>
  <si>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</si>
  <si>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</si>
  <si>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</si>
  <si>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</si>
  <si>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</si>
  <si>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</si>
  <si>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</si>
  <si>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</si>
  <si>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</si>
  <si>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</si>
  <si>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</si>
  <si>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</si>
  <si>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</si>
  <si>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</si>
  <si>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</si>
  <si>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</si>
  <si>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</si>
  <si>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</si>
  <si>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</si>
  <si>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</si>
  <si>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</si>
  <si>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</si>
  <si>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</si>
  <si>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</si>
  <si>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</si>
  <si>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</si>
  <si>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</si>
  <si>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</si>
  <si>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</si>
  <si>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</si>
  <si>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</si>
  <si>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</si>
  <si>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</si>
  <si>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</si>
  <si>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</si>
  <si>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</si>
  <si>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</si>
  <si>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</si>
  <si>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</si>
  <si>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</si>
  <si>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</si>
  <si>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</si>
  <si>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</si>
  <si>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</si>
  <si>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</si>
  <si>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</si>
  <si>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</si>
  <si>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</si>
  <si>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</si>
  <si>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</si>
  <si>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</si>
  <si>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</si>
  <si>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</si>
  <si>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</si>
  <si>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</si>
  <si>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</si>
  <si>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</si>
  <si>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</si>
  <si>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</si>
  <si>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</si>
  <si>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</si>
  <si>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</si>
  <si>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</si>
  <si>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</si>
  <si>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</si>
  <si>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</si>
  <si>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</si>
  <si>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</si>
  <si>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</si>
  <si>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</si>
  <si>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</si>
  <si>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</si>
  <si>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</si>
  <si>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</si>
  <si>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</si>
  <si>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</si>
  <si>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</si>
  <si>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</si>
  <si>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</si>
  <si>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</si>
  <si>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</si>
  <si>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</si>
  <si>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</si>
  <si>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</si>
  <si>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</si>
  <si>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</si>
  <si>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</si>
  <si>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</si>
  <si>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</si>
  <si>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</si>
  <si>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</si>
  <si>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</si>
  <si>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</si>
  <si>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</si>
  <si>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</si>
  <si>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</si>
  <si>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</si>
  <si>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</si>
  <si>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</si>
  <si>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</si>
  <si>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</si>
  <si>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</si>
  <si>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</si>
  <si>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</si>
  <si>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</si>
  <si>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</si>
  <si>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</si>
  <si>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</si>
  <si>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</si>
  <si>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</si>
  <si>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</si>
  <si>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</si>
  <si>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</si>
  <si>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</si>
  <si>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</si>
  <si>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</si>
  <si>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</si>
  <si>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</si>
  <si>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</si>
  <si>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</si>
  <si>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</si>
  <si>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</si>
  <si>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</si>
  <si>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</si>
  <si>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</si>
  <si>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</si>
  <si>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</si>
  <si>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</si>
  <si>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</si>
  <si>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</si>
  <si>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</si>
  <si>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</si>
  <si>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</si>
  <si>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</si>
  <si>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</si>
  <si>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</si>
  <si>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</si>
  <si>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</si>
  <si>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</si>
  <si>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</si>
  <si>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</si>
  <si>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</si>
  <si>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</si>
  <si>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</si>
  <si>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</si>
  <si>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</si>
  <si>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</si>
  <si>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</si>
  <si>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</si>
  <si>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</si>
  <si>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</si>
  <si>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</si>
  <si>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</si>
  <si>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</si>
  <si>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</si>
  <si>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</si>
  <si>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</si>
  <si>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</si>
  <si>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</si>
  <si>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</si>
  <si>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</si>
  <si>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</si>
  <si>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</si>
  <si>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</si>
  <si>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</si>
  <si>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</si>
  <si>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</si>
  <si>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</si>
  <si>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</si>
  <si>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</si>
  <si>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</si>
  <si>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</si>
  <si>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</si>
  <si>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</si>
  <si>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</si>
  <si>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</si>
  <si>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</si>
  <si>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</si>
  <si>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</si>
  <si>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</si>
  <si>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</si>
  <si>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</si>
  <si>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</si>
  <si>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</si>
  <si>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</si>
  <si>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</si>
  <si>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</si>
  <si>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</si>
  <si>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</si>
  <si>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</si>
  <si>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</si>
  <si>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</si>
  <si>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</si>
  <si>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</si>
  <si>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</si>
  <si>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</si>
  <si>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</si>
  <si>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</si>
  <si>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</si>
  <si>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</si>
  <si>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</si>
  <si>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</si>
  <si>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</si>
  <si>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</si>
  <si>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</si>
  <si>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</si>
  <si>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</si>
  <si>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</si>
  <si>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</si>
  <si>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</si>
  <si>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</si>
  <si>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</si>
  <si>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</si>
  <si>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</si>
  <si>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</si>
  <si>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</si>
  <si>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</si>
  <si>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</si>
  <si>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</si>
  <si>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</si>
  <si>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</si>
  <si>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</si>
  <si>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</si>
  <si>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</si>
  <si>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</si>
  <si>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</si>
  <si>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</si>
  <si>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</si>
  <si>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</si>
  <si>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</si>
  <si>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</si>
  <si>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</si>
  <si>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</si>
  <si>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</si>
  <si>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</si>
  <si>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</si>
  <si>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</si>
  <si>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</si>
  <si>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</si>
  <si>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</si>
  <si>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</si>
  <si>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</si>
  <si>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</si>
  <si>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</si>
  <si>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</si>
  <si>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</si>
  <si>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</si>
  <si>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</si>
  <si>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</si>
  <si>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</si>
  <si>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</si>
  <si>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</si>
  <si>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</si>
  <si>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</si>
  <si>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</si>
  <si>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</si>
  <si>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</si>
  <si>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</si>
  <si>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</si>
  <si>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</si>
  <si>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</si>
  <si>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</si>
  <si>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</si>
  <si>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</si>
  <si>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</si>
  <si>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</si>
  <si>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</si>
  <si>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</si>
  <si>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</si>
  <si>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</si>
  <si>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</si>
  <si>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</si>
  <si>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</si>
  <si>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</si>
  <si>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</si>
  <si>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</si>
  <si>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</si>
  <si>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</si>
  <si>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</si>
  <si>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</si>
  <si>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</si>
  <si>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</si>
  <si>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</si>
  <si>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</si>
  <si>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</si>
  <si>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</si>
  <si>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</si>
  <si>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</si>
  <si>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</si>
  <si>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</si>
  <si>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</si>
  <si>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</si>
  <si>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</si>
  <si>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</si>
  <si>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</si>
  <si>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</si>
  <si>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</si>
  <si>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</si>
  <si>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</si>
  <si>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</si>
  <si>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</si>
  <si>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</si>
  <si>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</si>
  <si>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</si>
  <si>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</si>
  <si>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</si>
  <si>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</si>
  <si>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</si>
  <si>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</si>
  <si>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</si>
  <si>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</si>
  <si>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</si>
  <si>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</si>
  <si>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</si>
  <si>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</si>
  <si>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</si>
  <si>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</si>
  <si>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</si>
  <si>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</si>
  <si>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</si>
  <si>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</si>
  <si>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</si>
  <si>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</si>
  <si>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朝向较好（南），能保证较长时间的采光，通风较好，较好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</si>
  <si>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</si>
  <si>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</si>
  <si>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</si>
  <si>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</si>
  <si>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</si>
  <si>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</si>
  <si>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</si>
  <si>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</si>
  <si>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</si>
  <si>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</si>
  <si>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</si>
  <si>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</si>
  <si>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</si>
  <si>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</si>
  <si>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</si>
  <si>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</si>
  <si>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</si>
  <si>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</si>
  <si>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</si>
  <si>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</si>
  <si>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</si>
  <si>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</si>
  <si>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</si>
  <si>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</si>
  <si>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</si>
  <si>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</si>
  <si>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</si>
  <si>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</si>
  <si>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</si>
  <si>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</si>
  <si>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</si>
  <si>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</si>
  <si>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</si>
  <si>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</si>
  <si>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</si>
  <si>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</si>
  <si>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</si>
  <si>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</si>
  <si>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</si>
  <si>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</si>
  <si>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</si>
  <si>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</si>
  <si>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</si>
  <si>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</si>
  <si>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</si>
  <si>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</si>
  <si>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</si>
  <si>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</si>
  <si>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</si>
  <si>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</si>
  <si>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</si>
  <si>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</si>
  <si>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</si>
  <si>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</si>
  <si>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</si>
  <si>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</si>
  <si>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</si>
  <si>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</si>
  <si>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</si>
  <si>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</si>
  <si>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</si>
  <si>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</si>
  <si>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</si>
  <si>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</si>
  <si>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</si>
  <si>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</si>
  <si>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</si>
  <si>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</si>
  <si>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</si>
  <si>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</si>
  <si>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</si>
  <si>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</si>
  <si>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</si>
  <si>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</si>
  <si>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</si>
  <si>
    <t>扣除租赁税费</t>
    <phoneticPr fontId="8" type="noConversion"/>
  </si>
  <si>
    <t>租赁税费</t>
    <phoneticPr fontId="8" type="noConversion"/>
  </si>
  <si>
    <t>商业设施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</si>
  <si>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</si>
  <si>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</si>
  <si>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</si>
  <si>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富东嘉园</t>
    <phoneticPr fontId="8" type="noConversion"/>
  </si>
  <si>
    <t>华纺星海家园</t>
    <phoneticPr fontId="8" type="noConversion"/>
  </si>
  <si>
    <t>区域内银行、超市、中小学校、餐饮、医院等公共配套设施较齐全</t>
    <phoneticPr fontId="8" type="noConversion"/>
  </si>
  <si>
    <t>有专业物业公司，物业服务保障好</t>
    <phoneticPr fontId="8" type="noConversion"/>
  </si>
  <si>
    <t>不配备家具家电，差</t>
    <phoneticPr fontId="19" type="noConversion"/>
  </si>
  <si>
    <t>使用品牌家具、家电；虽然使用较长时间，但功能正常，一般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</si>
</sst>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0.00_ "/>
    <numFmt numFmtId="178" formatCode="0.0%"/>
  </numFmts>
  <fonts count="34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  <font>
      <sz val="11"/>
      <color rgb="FFFF0000"/>
      <name val="等线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6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3"/>
  <sheetViews>
    <sheetView zoomScaleSheetLayoutView="100" workbookViewId="0">
      <selection activeCell="E15" sqref="E15"/>
    </sheetView>
  </sheetViews>
  <sheetFormatPr defaultColWidth="14.625" defaultRowHeight="13.5"/>
  <cols>
    <col min="1" max="1" width="24.375" style="34" customWidth="1"/>
    <col min="2" max="16384" width="14.625" style="34"/>
  </cols>
  <sheetData>
    <row r="1" spans="1:9" ht="16.5">
      <c r="A1" s="82" t="s">
        <v>396</v>
      </c>
      <c r="B1" s="83">
        <v>42194.79</v>
      </c>
      <c r="C1" s="84"/>
      <c r="D1" s="84"/>
      <c r="E1" s="84"/>
      <c r="F1" s="84"/>
      <c r="G1" s="85"/>
    </row>
    <row r="2" spans="1:9" ht="16.5">
      <c r="A2" s="82" t="s">
        <v>397</v>
      </c>
      <c r="B2" s="82">
        <f>SUM(C14:C23)</f>
        <v>0</v>
      </c>
      <c r="C2" s="84"/>
      <c r="D2" s="84"/>
      <c r="E2" s="84"/>
      <c r="F2" s="84"/>
      <c r="G2" s="85"/>
    </row>
    <row r="3" spans="1:9" ht="33">
      <c r="A3" s="82" t="s">
        <v>398</v>
      </c>
      <c r="B3" s="86" t="s">
        <v>424</v>
      </c>
      <c r="C3" s="84"/>
      <c r="D3" s="84"/>
      <c r="E3" s="84"/>
      <c r="F3" s="84"/>
      <c r="G3" s="85"/>
    </row>
    <row r="4" spans="1:9" ht="33">
      <c r="A4" s="82" t="s">
        <v>399</v>
      </c>
      <c r="B4" s="82" t="s">
        <v>400</v>
      </c>
      <c r="C4" s="82" t="s">
        <v>401</v>
      </c>
      <c r="D4" s="82" t="s">
        <v>402</v>
      </c>
      <c r="E4" s="84"/>
      <c r="F4" s="85"/>
      <c r="G4" s="85"/>
    </row>
    <row r="5" spans="1:9" ht="16.5">
      <c r="A5" s="82" t="s">
        <v>425</v>
      </c>
      <c r="B5" s="82">
        <f>SUM(D14:D23)</f>
        <v>244.60319763000001</v>
      </c>
      <c r="C5" s="82">
        <f>ROUND(B5*10000/$B$1,0)</f>
        <v>58</v>
      </c>
      <c r="D5" s="82" t="e">
        <f>ROUND(B5*10000/$B$2,0)</f>
        <v>#DIV/0!</v>
      </c>
      <c r="E5" s="84"/>
      <c r="F5" s="85"/>
      <c r="G5" s="85"/>
    </row>
    <row r="6" spans="1:9" ht="16.5">
      <c r="A6" s="82" t="s">
        <v>403</v>
      </c>
      <c r="B6" s="82">
        <f>SUM(D14:D23)</f>
        <v>244.60319763000001</v>
      </c>
      <c r="C6" s="82">
        <f>ROUND(B6*10000/$B$1,0)</f>
        <v>58</v>
      </c>
      <c r="D6" s="82" t="e">
        <f>#N/A</f>
        <v>#N/A</v>
      </c>
      <c r="E6" s="84"/>
      <c r="F6" s="85"/>
      <c r="G6" s="85"/>
    </row>
    <row r="7" spans="1:9" ht="16.5">
      <c r="A7" s="82" t="s">
        <v>404</v>
      </c>
      <c r="B7" s="82">
        <f>B5</f>
        <v>244.60319763000001</v>
      </c>
      <c r="C7" s="82" t="e">
        <f>#N/A</f>
        <v>#N/A</v>
      </c>
      <c r="D7" s="82" t="e">
        <f>#N/A</f>
        <v>#N/A</v>
      </c>
      <c r="E7" s="84"/>
      <c r="F7" s="85"/>
      <c r="G7" s="85"/>
    </row>
    <row r="8" spans="1:9" ht="16.5">
      <c r="A8" s="82" t="s">
        <v>405</v>
      </c>
      <c r="B8" s="82">
        <f>B5</f>
        <v>244.60319763000001</v>
      </c>
      <c r="C8" s="82" t="e">
        <f>#N/A</f>
        <v>#N/A</v>
      </c>
      <c r="D8" s="82" t="e">
        <f>#N/A</f>
        <v>#N/A</v>
      </c>
      <c r="E8" s="84"/>
      <c r="F8" s="85"/>
      <c r="G8" s="85"/>
    </row>
    <row r="9" spans="1:9" ht="16.5">
      <c r="A9" s="82" t="s">
        <v>406</v>
      </c>
      <c r="B9" s="87">
        <f>B5</f>
        <v>244.60319763000001</v>
      </c>
      <c r="C9" s="84"/>
      <c r="D9" s="84"/>
      <c r="E9" s="84"/>
      <c r="F9" s="85"/>
      <c r="G9" s="85"/>
    </row>
    <row r="10" spans="1:9" ht="16.5">
      <c r="A10" s="82" t="s">
        <v>407</v>
      </c>
      <c r="B10" s="87">
        <f>B5</f>
        <v>244.60319763000001</v>
      </c>
      <c r="C10" s="84"/>
      <c r="D10" s="84"/>
      <c r="E10" s="84"/>
      <c r="F10" s="85"/>
      <c r="G10" s="85"/>
    </row>
    <row r="11" spans="1:9" ht="16.5">
      <c r="A11" s="82" t="s">
        <v>408</v>
      </c>
      <c r="B11" s="87">
        <f>B5</f>
        <v>244.60319763000001</v>
      </c>
      <c r="C11" s="84"/>
      <c r="D11" s="84"/>
      <c r="E11" s="84"/>
      <c r="F11" s="85"/>
      <c r="G11" s="85"/>
    </row>
    <row r="12" spans="1:9" ht="16.5">
      <c r="A12" s="84"/>
      <c r="B12" s="84"/>
      <c r="C12" s="84"/>
      <c r="D12" s="84"/>
      <c r="E12" s="84"/>
      <c r="F12" s="85"/>
      <c r="G12" s="85"/>
    </row>
    <row r="13" spans="1:9" ht="33">
      <c r="A13" s="88" t="s">
        <v>409</v>
      </c>
      <c r="B13" s="89" t="s">
        <v>396</v>
      </c>
      <c r="C13" s="89" t="s">
        <v>397</v>
      </c>
      <c r="D13" s="89" t="s">
        <v>410</v>
      </c>
      <c r="E13" s="82" t="s">
        <v>401</v>
      </c>
      <c r="F13" s="82" t="s">
        <v>402</v>
      </c>
      <c r="G13" s="89" t="s">
        <v>411</v>
      </c>
      <c r="H13" s="89" t="s">
        <v>412</v>
      </c>
      <c r="I13" s="89" t="s">
        <v>413</v>
      </c>
    </row>
    <row r="14" spans="1:9" ht="16.5">
      <c r="A14" s="90" t="s">
        <v>414</v>
      </c>
      <c r="B14" s="89">
        <f>B1</f>
        <v>42194.79</v>
      </c>
      <c r="C14" s="89">
        <v>0</v>
      </c>
      <c r="D14" s="89">
        <f>B14*E14/10000</f>
        <v>244.60319763000001</v>
      </c>
      <c r="E14" s="89">
        <f>东坝地区平均数!C41</f>
        <v>57.97</v>
      </c>
      <c r="F14" s="89" t="e">
        <f>ROUND(D14*10000/C14,0)</f>
        <v>#DIV/0!</v>
      </c>
      <c r="G14" s="89">
        <v>0</v>
      </c>
      <c r="H14" s="89">
        <v>0</v>
      </c>
      <c r="I14" s="89">
        <v>0</v>
      </c>
    </row>
    <row r="15" spans="1:9" ht="16.5">
      <c r="A15" s="91" t="s">
        <v>415</v>
      </c>
      <c r="B15" s="92"/>
      <c r="C15" s="92"/>
      <c r="D15" s="92"/>
      <c r="E15" s="89" t="e">
        <f t="shared" ref="E15:E23" si="0">ROUND(D15*10000/B15,0)</f>
        <v>#DIV/0!</v>
      </c>
      <c r="F15" s="89" t="e">
        <f t="shared" ref="F15:F23" si="1">ROUND(D15*10000/C15,0)</f>
        <v>#DIV/0!</v>
      </c>
      <c r="G15" s="93"/>
      <c r="H15" s="93"/>
      <c r="I15" s="92"/>
    </row>
    <row r="16" spans="1:9" ht="16.5">
      <c r="A16" s="91" t="s">
        <v>416</v>
      </c>
      <c r="B16" s="92"/>
      <c r="C16" s="92"/>
      <c r="D16" s="92"/>
      <c r="E16" s="89" t="e">
        <f t="shared" si="0"/>
        <v>#DIV/0!</v>
      </c>
      <c r="F16" s="89" t="e">
        <f t="shared" si="1"/>
        <v>#DIV/0!</v>
      </c>
      <c r="G16" s="93"/>
      <c r="H16" s="93"/>
      <c r="I16" s="92"/>
    </row>
    <row r="17" spans="1:9" ht="16.5">
      <c r="A17" s="91" t="s">
        <v>417</v>
      </c>
      <c r="B17" s="92"/>
      <c r="C17" s="92"/>
      <c r="D17" s="92"/>
      <c r="E17" s="89" t="e">
        <f t="shared" si="0"/>
        <v>#DIV/0!</v>
      </c>
      <c r="F17" s="89" t="e">
        <f t="shared" si="1"/>
        <v>#DIV/0!</v>
      </c>
      <c r="G17" s="93"/>
      <c r="H17" s="93"/>
      <c r="I17" s="92"/>
    </row>
    <row r="18" spans="1:9" ht="16.5">
      <c r="A18" s="91" t="s">
        <v>418</v>
      </c>
      <c r="B18" s="92"/>
      <c r="C18" s="92"/>
      <c r="D18" s="92"/>
      <c r="E18" s="89" t="e">
        <f t="shared" si="0"/>
        <v>#DIV/0!</v>
      </c>
      <c r="F18" s="89" t="e">
        <f t="shared" si="1"/>
        <v>#DIV/0!</v>
      </c>
      <c r="G18" s="92"/>
      <c r="H18" s="92"/>
      <c r="I18" s="92"/>
    </row>
    <row r="19" spans="1:9" ht="16.5">
      <c r="A19" s="91" t="s">
        <v>419</v>
      </c>
      <c r="B19" s="92"/>
      <c r="C19" s="92"/>
      <c r="D19" s="92"/>
      <c r="E19" s="89" t="e">
        <f t="shared" si="0"/>
        <v>#DIV/0!</v>
      </c>
      <c r="F19" s="89" t="e">
        <f t="shared" si="1"/>
        <v>#DIV/0!</v>
      </c>
      <c r="G19" s="92"/>
      <c r="H19" s="92"/>
      <c r="I19" s="92"/>
    </row>
    <row r="20" spans="1:9" ht="16.5">
      <c r="A20" s="91" t="s">
        <v>420</v>
      </c>
      <c r="B20" s="92"/>
      <c r="C20" s="92"/>
      <c r="D20" s="92"/>
      <c r="E20" s="89" t="e">
        <f t="shared" si="0"/>
        <v>#DIV/0!</v>
      </c>
      <c r="F20" s="89" t="e">
        <f t="shared" si="1"/>
        <v>#DIV/0!</v>
      </c>
      <c r="G20" s="92"/>
      <c r="H20" s="92"/>
      <c r="I20" s="92"/>
    </row>
    <row r="21" spans="1:9" ht="16.5">
      <c r="A21" s="91" t="s">
        <v>421</v>
      </c>
      <c r="B21" s="92"/>
      <c r="C21" s="92"/>
      <c r="D21" s="92"/>
      <c r="E21" s="89" t="e">
        <f t="shared" si="0"/>
        <v>#DIV/0!</v>
      </c>
      <c r="F21" s="89" t="e">
        <f t="shared" si="1"/>
        <v>#DIV/0!</v>
      </c>
      <c r="G21" s="92"/>
      <c r="H21" s="92"/>
      <c r="I21" s="92"/>
    </row>
    <row r="22" spans="1:9" ht="16.5">
      <c r="A22" s="91" t="s">
        <v>422</v>
      </c>
      <c r="B22" s="92"/>
      <c r="C22" s="92"/>
      <c r="D22" s="92"/>
      <c r="E22" s="89" t="e">
        <f t="shared" si="0"/>
        <v>#DIV/0!</v>
      </c>
      <c r="F22" s="89" t="e">
        <f t="shared" si="1"/>
        <v>#DIV/0!</v>
      </c>
      <c r="G22" s="92"/>
      <c r="H22" s="92"/>
      <c r="I22" s="92"/>
    </row>
    <row r="23" spans="1:9" ht="16.5">
      <c r="A23" s="91" t="s">
        <v>423</v>
      </c>
      <c r="B23" s="92"/>
      <c r="C23" s="92"/>
      <c r="D23" s="92"/>
      <c r="E23" s="82" t="e">
        <f t="shared" si="0"/>
        <v>#DIV/0!</v>
      </c>
      <c r="F23" s="82" t="e">
        <f t="shared" si="1"/>
        <v>#DIV/0!</v>
      </c>
      <c r="G23" s="92"/>
      <c r="H23" s="92"/>
      <c r="I23" s="92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selection activeCell="A34" sqref="A34:A37"/>
    </sheetView>
  </sheetViews>
  <sheetFormatPr defaultRowHeight="12"/>
  <cols>
    <col min="1" max="1" width="9.25" style="70" customWidth="1"/>
    <col min="2" max="2" width="14.875" style="70" customWidth="1"/>
    <col min="3" max="3" width="18.75" style="70" customWidth="1"/>
    <col min="4" max="4" width="8.75" style="70" customWidth="1"/>
    <col min="5" max="5" width="35.25" style="70" customWidth="1"/>
    <col min="6" max="6" width="5.125" style="70" customWidth="1"/>
    <col min="7" max="7" width="12.25" style="70" customWidth="1"/>
    <col min="8" max="8" width="11.25" style="70" customWidth="1"/>
    <col min="9" max="9" width="13.625" style="70" customWidth="1"/>
    <col min="10" max="16384" width="9" style="70"/>
  </cols>
  <sheetData>
    <row r="1" spans="1:9">
      <c r="A1" s="68" t="s">
        <v>63</v>
      </c>
      <c r="B1" s="68" t="s">
        <v>4</v>
      </c>
      <c r="C1" s="69" t="s">
        <v>258</v>
      </c>
      <c r="D1" s="69" t="s">
        <v>259</v>
      </c>
      <c r="E1" s="69" t="s">
        <v>260</v>
      </c>
      <c r="F1" s="68" t="s">
        <v>58</v>
      </c>
      <c r="G1" s="69" t="s">
        <v>255</v>
      </c>
      <c r="H1" s="69" t="s">
        <v>256</v>
      </c>
      <c r="I1" s="69" t="s">
        <v>257</v>
      </c>
    </row>
    <row r="2" spans="1:9" ht="28.5" customHeight="1">
      <c r="A2" s="175" t="s">
        <v>266</v>
      </c>
      <c r="B2" s="174" t="s">
        <v>59</v>
      </c>
      <c r="C2" s="174"/>
      <c r="D2" s="174"/>
      <c r="E2" s="173" t="s">
        <v>261</v>
      </c>
      <c r="F2" s="172">
        <v>228</v>
      </c>
      <c r="G2" s="71"/>
      <c r="H2" s="71"/>
      <c r="I2" s="71"/>
    </row>
    <row r="3" spans="1:9" ht="15.75" customHeight="1">
      <c r="A3" s="175"/>
      <c r="B3" s="174"/>
      <c r="C3" s="174"/>
      <c r="D3" s="174"/>
      <c r="E3" s="173"/>
      <c r="F3" s="172"/>
      <c r="G3" s="71"/>
      <c r="H3" s="71"/>
      <c r="I3" s="71"/>
    </row>
    <row r="4" spans="1:9" ht="15.75" customHeight="1">
      <c r="A4" s="175"/>
      <c r="B4" s="174"/>
      <c r="C4" s="174"/>
      <c r="D4" s="174"/>
      <c r="E4" s="173"/>
      <c r="F4" s="172"/>
      <c r="G4" s="71"/>
      <c r="H4" s="71"/>
      <c r="I4" s="71"/>
    </row>
    <row r="5" spans="1:9" ht="15.75" customHeight="1">
      <c r="A5" s="175"/>
      <c r="B5" s="174"/>
      <c r="C5" s="174"/>
      <c r="D5" s="174"/>
      <c r="E5" s="173"/>
      <c r="F5" s="172"/>
      <c r="G5" s="71"/>
      <c r="H5" s="71"/>
      <c r="I5" s="71"/>
    </row>
    <row r="6" spans="1:9" ht="15.75" customHeight="1">
      <c r="A6" s="175" t="s">
        <v>267</v>
      </c>
      <c r="B6" s="174" t="s">
        <v>60</v>
      </c>
      <c r="C6" s="174"/>
      <c r="D6" s="174"/>
      <c r="E6" s="173" t="s">
        <v>261</v>
      </c>
      <c r="F6" s="172">
        <v>59</v>
      </c>
      <c r="G6" s="71"/>
      <c r="H6" s="71"/>
      <c r="I6" s="71"/>
    </row>
    <row r="7" spans="1:9">
      <c r="A7" s="175"/>
      <c r="B7" s="174"/>
      <c r="C7" s="174"/>
      <c r="D7" s="174"/>
      <c r="E7" s="173"/>
      <c r="F7" s="172"/>
      <c r="G7" s="71"/>
      <c r="H7" s="71"/>
      <c r="I7" s="71"/>
    </row>
    <row r="8" spans="1:9">
      <c r="A8" s="175"/>
      <c r="B8" s="174"/>
      <c r="C8" s="174"/>
      <c r="D8" s="174"/>
      <c r="E8" s="173"/>
      <c r="F8" s="172"/>
      <c r="G8" s="71"/>
      <c r="H8" s="71"/>
      <c r="I8" s="71"/>
    </row>
    <row r="9" spans="1:9">
      <c r="A9" s="175"/>
      <c r="B9" s="174"/>
      <c r="C9" s="174"/>
      <c r="D9" s="174"/>
      <c r="E9" s="173"/>
      <c r="F9" s="172"/>
      <c r="G9" s="71"/>
      <c r="H9" s="71"/>
      <c r="I9" s="71"/>
    </row>
    <row r="10" spans="1:9">
      <c r="A10" s="175" t="s">
        <v>268</v>
      </c>
      <c r="B10" s="174" t="s">
        <v>61</v>
      </c>
      <c r="C10" s="174"/>
      <c r="D10" s="174"/>
      <c r="E10" s="173" t="s">
        <v>261</v>
      </c>
      <c r="F10" s="172">
        <v>54</v>
      </c>
      <c r="G10" s="71"/>
      <c r="H10" s="71"/>
      <c r="I10" s="71"/>
    </row>
    <row r="11" spans="1:9">
      <c r="A11" s="175"/>
      <c r="B11" s="174"/>
      <c r="C11" s="174"/>
      <c r="D11" s="174"/>
      <c r="E11" s="173"/>
      <c r="F11" s="172"/>
      <c r="G11" s="71"/>
      <c r="H11" s="71"/>
      <c r="I11" s="71"/>
    </row>
    <row r="12" spans="1:9">
      <c r="A12" s="175"/>
      <c r="B12" s="174"/>
      <c r="C12" s="174"/>
      <c r="D12" s="174"/>
      <c r="E12" s="173"/>
      <c r="F12" s="172"/>
      <c r="G12" s="71"/>
      <c r="H12" s="71"/>
      <c r="I12" s="71"/>
    </row>
    <row r="13" spans="1:9">
      <c r="A13" s="175"/>
      <c r="B13" s="174"/>
      <c r="C13" s="174"/>
      <c r="D13" s="174"/>
      <c r="E13" s="173"/>
      <c r="F13" s="172"/>
      <c r="G13" s="71"/>
      <c r="H13" s="71"/>
      <c r="I13" s="71"/>
    </row>
    <row r="14" spans="1:9">
      <c r="A14" s="175" t="s">
        <v>269</v>
      </c>
      <c r="B14" s="174" t="s">
        <v>262</v>
      </c>
      <c r="C14" s="174"/>
      <c r="D14" s="174"/>
      <c r="E14" s="173" t="s">
        <v>261</v>
      </c>
      <c r="F14" s="172">
        <v>1</v>
      </c>
      <c r="G14" s="172"/>
      <c r="H14" s="172"/>
      <c r="I14" s="172"/>
    </row>
    <row r="15" spans="1:9">
      <c r="A15" s="175"/>
      <c r="B15" s="174"/>
      <c r="C15" s="174"/>
      <c r="D15" s="174"/>
      <c r="E15" s="173"/>
      <c r="F15" s="172"/>
      <c r="G15" s="172"/>
      <c r="H15" s="172"/>
      <c r="I15" s="172"/>
    </row>
    <row r="16" spans="1:9">
      <c r="A16" s="175"/>
      <c r="B16" s="174"/>
      <c r="C16" s="174"/>
      <c r="D16" s="174"/>
      <c r="E16" s="173"/>
      <c r="F16" s="172"/>
      <c r="G16" s="172"/>
      <c r="H16" s="172"/>
      <c r="I16" s="172"/>
    </row>
    <row r="17" spans="1:9">
      <c r="A17" s="175"/>
      <c r="B17" s="174"/>
      <c r="C17" s="174"/>
      <c r="D17" s="174"/>
      <c r="E17" s="173"/>
      <c r="F17" s="172"/>
      <c r="G17" s="172"/>
      <c r="H17" s="172"/>
      <c r="I17" s="172"/>
    </row>
    <row r="18" spans="1:9">
      <c r="A18" s="175" t="s">
        <v>270</v>
      </c>
      <c r="B18" s="174" t="s">
        <v>263</v>
      </c>
      <c r="C18" s="174"/>
      <c r="D18" s="174"/>
      <c r="E18" s="173" t="s">
        <v>261</v>
      </c>
      <c r="F18" s="172">
        <v>1</v>
      </c>
      <c r="G18" s="172"/>
      <c r="H18" s="172"/>
      <c r="I18" s="172"/>
    </row>
    <row r="19" spans="1:9">
      <c r="A19" s="175"/>
      <c r="B19" s="174"/>
      <c r="C19" s="174"/>
      <c r="D19" s="174"/>
      <c r="E19" s="173"/>
      <c r="F19" s="172"/>
      <c r="G19" s="172"/>
      <c r="H19" s="172"/>
      <c r="I19" s="172"/>
    </row>
    <row r="20" spans="1:9">
      <c r="A20" s="175"/>
      <c r="B20" s="174"/>
      <c r="C20" s="174"/>
      <c r="D20" s="174"/>
      <c r="E20" s="173"/>
      <c r="F20" s="172"/>
      <c r="G20" s="172"/>
      <c r="H20" s="172"/>
      <c r="I20" s="172"/>
    </row>
    <row r="21" spans="1:9">
      <c r="A21" s="175"/>
      <c r="B21" s="174"/>
      <c r="C21" s="174"/>
      <c r="D21" s="174"/>
      <c r="E21" s="173"/>
      <c r="F21" s="172"/>
      <c r="G21" s="172"/>
      <c r="H21" s="172"/>
      <c r="I21" s="172"/>
    </row>
    <row r="22" spans="1:9">
      <c r="A22" s="175" t="s">
        <v>271</v>
      </c>
      <c r="B22" s="174" t="s">
        <v>62</v>
      </c>
      <c r="C22" s="174"/>
      <c r="D22" s="174"/>
      <c r="E22" s="173" t="s">
        <v>261</v>
      </c>
      <c r="F22" s="172">
        <v>1</v>
      </c>
      <c r="G22" s="172"/>
      <c r="H22" s="172"/>
      <c r="I22" s="172"/>
    </row>
    <row r="23" spans="1:9">
      <c r="A23" s="175"/>
      <c r="B23" s="174"/>
      <c r="C23" s="174"/>
      <c r="D23" s="174"/>
      <c r="E23" s="173"/>
      <c r="F23" s="172"/>
      <c r="G23" s="172"/>
      <c r="H23" s="172"/>
      <c r="I23" s="172"/>
    </row>
    <row r="24" spans="1:9">
      <c r="A24" s="175"/>
      <c r="B24" s="174"/>
      <c r="C24" s="174"/>
      <c r="D24" s="174"/>
      <c r="E24" s="173"/>
      <c r="F24" s="172"/>
      <c r="G24" s="172"/>
      <c r="H24" s="172"/>
      <c r="I24" s="172"/>
    </row>
    <row r="25" spans="1:9">
      <c r="A25" s="175"/>
      <c r="B25" s="174"/>
      <c r="C25" s="174"/>
      <c r="D25" s="174"/>
      <c r="E25" s="173"/>
      <c r="F25" s="172"/>
      <c r="G25" s="172"/>
      <c r="H25" s="172"/>
      <c r="I25" s="172"/>
    </row>
    <row r="26" spans="1:9">
      <c r="A26" s="175" t="s">
        <v>272</v>
      </c>
      <c r="B26" s="174" t="s">
        <v>52</v>
      </c>
      <c r="C26" s="174"/>
      <c r="D26" s="174"/>
      <c r="E26" s="173" t="s">
        <v>261</v>
      </c>
      <c r="F26" s="172">
        <v>2</v>
      </c>
      <c r="G26" s="71"/>
      <c r="H26" s="71"/>
      <c r="I26" s="71"/>
    </row>
    <row r="27" spans="1:9">
      <c r="A27" s="175"/>
      <c r="B27" s="174"/>
      <c r="C27" s="174"/>
      <c r="D27" s="174"/>
      <c r="E27" s="173"/>
      <c r="F27" s="172"/>
      <c r="G27" s="71"/>
      <c r="H27" s="71"/>
      <c r="I27" s="71"/>
    </row>
    <row r="28" spans="1:9">
      <c r="A28" s="175"/>
      <c r="B28" s="174"/>
      <c r="C28" s="174"/>
      <c r="D28" s="174"/>
      <c r="E28" s="173"/>
      <c r="F28" s="172"/>
      <c r="G28" s="71"/>
      <c r="H28" s="71"/>
      <c r="I28" s="71"/>
    </row>
    <row r="29" spans="1:9">
      <c r="A29" s="175"/>
      <c r="B29" s="174"/>
      <c r="C29" s="174"/>
      <c r="D29" s="174"/>
      <c r="E29" s="173"/>
      <c r="F29" s="172"/>
      <c r="G29" s="71"/>
      <c r="H29" s="71"/>
      <c r="I29" s="71"/>
    </row>
    <row r="30" spans="1:9">
      <c r="A30" s="175" t="s">
        <v>273</v>
      </c>
      <c r="B30" s="174" t="s">
        <v>264</v>
      </c>
      <c r="C30" s="174"/>
      <c r="D30" s="174"/>
      <c r="E30" s="173" t="s">
        <v>261</v>
      </c>
      <c r="F30" s="172">
        <v>3</v>
      </c>
      <c r="G30" s="71"/>
      <c r="H30" s="71"/>
      <c r="I30" s="71"/>
    </row>
    <row r="31" spans="1:9">
      <c r="A31" s="175"/>
      <c r="B31" s="174"/>
      <c r="C31" s="174"/>
      <c r="D31" s="174"/>
      <c r="E31" s="173"/>
      <c r="F31" s="172"/>
      <c r="G31" s="71"/>
      <c r="H31" s="71"/>
      <c r="I31" s="71"/>
    </row>
    <row r="32" spans="1:9">
      <c r="A32" s="175"/>
      <c r="B32" s="174"/>
      <c r="C32" s="174"/>
      <c r="D32" s="174"/>
      <c r="E32" s="173"/>
      <c r="F32" s="172"/>
      <c r="G32" s="71"/>
      <c r="H32" s="71"/>
      <c r="I32" s="71"/>
    </row>
    <row r="33" spans="1:9">
      <c r="A33" s="175"/>
      <c r="B33" s="174"/>
      <c r="C33" s="174"/>
      <c r="D33" s="174"/>
      <c r="E33" s="173"/>
      <c r="F33" s="172"/>
      <c r="G33" s="71"/>
      <c r="H33" s="71"/>
      <c r="I33" s="71"/>
    </row>
    <row r="34" spans="1:9">
      <c r="A34" s="175" t="s">
        <v>274</v>
      </c>
      <c r="B34" s="174" t="s">
        <v>265</v>
      </c>
      <c r="C34" s="174"/>
      <c r="D34" s="174"/>
      <c r="E34" s="173" t="s">
        <v>261</v>
      </c>
      <c r="F34" s="172">
        <v>580</v>
      </c>
      <c r="G34" s="71"/>
      <c r="H34" s="71"/>
      <c r="I34" s="71"/>
    </row>
    <row r="35" spans="1:9">
      <c r="A35" s="175"/>
      <c r="B35" s="174"/>
      <c r="C35" s="174"/>
      <c r="D35" s="174"/>
      <c r="E35" s="173"/>
      <c r="F35" s="172"/>
      <c r="G35" s="71"/>
      <c r="H35" s="71"/>
      <c r="I35" s="71"/>
    </row>
    <row r="36" spans="1:9">
      <c r="A36" s="175"/>
      <c r="B36" s="174"/>
      <c r="C36" s="174"/>
      <c r="D36" s="174"/>
      <c r="E36" s="173"/>
      <c r="F36" s="172"/>
      <c r="G36" s="71"/>
      <c r="H36" s="71"/>
      <c r="I36" s="71"/>
    </row>
    <row r="37" spans="1:9">
      <c r="A37" s="175"/>
      <c r="B37" s="174"/>
      <c r="C37" s="174"/>
      <c r="D37" s="174"/>
      <c r="E37" s="173"/>
      <c r="F37" s="172"/>
      <c r="G37" s="71"/>
      <c r="H37" s="71"/>
      <c r="I37" s="71"/>
    </row>
  </sheetData>
  <mergeCells count="63"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32"/>
  <sheetViews>
    <sheetView zoomScaleSheetLayoutView="100" workbookViewId="0">
      <selection activeCell="E27" sqref="E27"/>
    </sheetView>
  </sheetViews>
  <sheetFormatPr defaultColWidth="9" defaultRowHeight="13.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31" t="s">
        <v>192</v>
      </c>
      <c r="B1" s="131"/>
      <c r="C1" s="131"/>
      <c r="D1" s="131"/>
      <c r="E1" s="131"/>
      <c r="F1" s="131"/>
      <c r="G1" s="131"/>
      <c r="H1" s="131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27" t="s">
        <v>191</v>
      </c>
      <c r="B3" s="126"/>
      <c r="C3" s="123" t="s">
        <v>190</v>
      </c>
      <c r="D3" s="123"/>
      <c r="E3" s="123" t="s">
        <v>189</v>
      </c>
      <c r="F3" s="123"/>
      <c r="G3" s="123" t="s">
        <v>188</v>
      </c>
      <c r="H3" s="123"/>
      <c r="I3" s="123" t="s">
        <v>187</v>
      </c>
      <c r="J3" s="123"/>
    </row>
    <row r="4" spans="1:11">
      <c r="A4" s="123" t="s">
        <v>186</v>
      </c>
      <c r="B4" s="123"/>
      <c r="C4" s="130" t="s">
        <v>274</v>
      </c>
      <c r="D4" s="126"/>
      <c r="E4" s="125" t="s">
        <v>50</v>
      </c>
      <c r="F4" s="126"/>
      <c r="G4" s="125" t="s">
        <v>46</v>
      </c>
      <c r="H4" s="126"/>
      <c r="I4" s="125" t="s">
        <v>48</v>
      </c>
      <c r="J4" s="126"/>
    </row>
    <row r="5" spans="1:11" ht="30" customHeight="1">
      <c r="A5" s="123" t="s">
        <v>185</v>
      </c>
      <c r="B5" s="123"/>
      <c r="C5" s="127" t="s">
        <v>184</v>
      </c>
      <c r="D5" s="126"/>
      <c r="E5" s="128">
        <f>案例汇总!K50</f>
        <v>63.4</v>
      </c>
      <c r="F5" s="129"/>
      <c r="G5" s="128">
        <f>案例汇总!K51</f>
        <v>60.55</v>
      </c>
      <c r="H5" s="129"/>
      <c r="I5" s="128">
        <f>案例汇总!K53</f>
        <v>63.05</v>
      </c>
      <c r="J5" s="129"/>
    </row>
    <row r="6" spans="1:11">
      <c r="A6" s="123" t="s">
        <v>183</v>
      </c>
      <c r="B6" s="123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</row>
    <row r="7" spans="1:11">
      <c r="A7" s="123" t="s">
        <v>181</v>
      </c>
      <c r="B7" s="123"/>
      <c r="C7" s="42" t="s">
        <v>180</v>
      </c>
      <c r="D7" s="42">
        <v>100</v>
      </c>
      <c r="E7" s="42" t="s">
        <v>180</v>
      </c>
      <c r="F7" s="42">
        <v>100</v>
      </c>
      <c r="G7" s="42" t="s">
        <v>180</v>
      </c>
      <c r="H7" s="42">
        <f>IF(G7=C7,100,"请调整")</f>
        <v>100</v>
      </c>
      <c r="I7" s="42" t="s">
        <v>180</v>
      </c>
      <c r="J7" s="42">
        <f>IF(I7=G7,100,"请调整")</f>
        <v>100</v>
      </c>
    </row>
    <row r="8" spans="1:11" ht="72">
      <c r="A8" s="116" t="s">
        <v>179</v>
      </c>
      <c r="B8" s="41" t="s">
        <v>178</v>
      </c>
      <c r="C8" s="41" t="s">
        <v>369</v>
      </c>
      <c r="D8" s="42">
        <v>100</v>
      </c>
      <c r="E8" s="41" t="s">
        <v>317</v>
      </c>
      <c r="F8" s="42">
        <v>100</v>
      </c>
      <c r="G8" s="41" t="s">
        <v>323</v>
      </c>
      <c r="H8" s="42">
        <v>100</v>
      </c>
      <c r="I8" s="41" t="s">
        <v>322</v>
      </c>
      <c r="J8" s="42">
        <v>100</v>
      </c>
      <c r="K8" s="47">
        <v>3</v>
      </c>
    </row>
    <row r="9" spans="1:11" ht="120">
      <c r="A9" s="117"/>
      <c r="B9" s="41" t="s">
        <v>177</v>
      </c>
      <c r="C9" s="41" t="s">
        <v>327</v>
      </c>
      <c r="D9" s="42">
        <v>100</v>
      </c>
      <c r="E9" s="41" t="s">
        <v>240</v>
      </c>
      <c r="F9" s="42">
        <v>100</v>
      </c>
      <c r="G9" s="41" t="s">
        <v>325</v>
      </c>
      <c r="H9" s="42">
        <v>100</v>
      </c>
      <c r="I9" s="41" t="s">
        <v>324</v>
      </c>
      <c r="J9" s="42">
        <v>100</v>
      </c>
      <c r="K9" s="47">
        <v>3</v>
      </c>
    </row>
    <row r="10" spans="1:11" ht="48">
      <c r="A10" s="117"/>
      <c r="B10" s="41" t="s">
        <v>176</v>
      </c>
      <c r="C10" s="41" t="s">
        <v>241</v>
      </c>
      <c r="D10" s="42">
        <v>100</v>
      </c>
      <c r="E10" s="41" t="s">
        <v>241</v>
      </c>
      <c r="F10" s="42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3">
        <v>5</v>
      </c>
    </row>
    <row r="11" spans="1:11" ht="48">
      <c r="A11" s="117"/>
      <c r="B11" s="41" t="s">
        <v>175</v>
      </c>
      <c r="C11" s="41" t="s">
        <v>318</v>
      </c>
      <c r="D11" s="42">
        <v>100</v>
      </c>
      <c r="E11" s="41" t="s">
        <v>242</v>
      </c>
      <c r="F11" s="42">
        <v>100</v>
      </c>
      <c r="G11" s="41" t="s">
        <v>318</v>
      </c>
      <c r="H11" s="42">
        <v>100</v>
      </c>
      <c r="I11" s="41" t="s">
        <v>318</v>
      </c>
      <c r="J11" s="42">
        <v>100</v>
      </c>
      <c r="K11" s="47">
        <v>3</v>
      </c>
    </row>
    <row r="12" spans="1:11" ht="36">
      <c r="A12" s="118"/>
      <c r="B12" s="41" t="s">
        <v>174</v>
      </c>
      <c r="C12" s="41" t="s">
        <v>441</v>
      </c>
      <c r="D12" s="42">
        <v>100</v>
      </c>
      <c r="E12" s="74" t="s">
        <v>173</v>
      </c>
      <c r="F12" s="42">
        <v>100</v>
      </c>
      <c r="G12" s="42" t="s">
        <v>173</v>
      </c>
      <c r="H12" s="42">
        <v>100</v>
      </c>
      <c r="I12" s="42" t="s">
        <v>173</v>
      </c>
      <c r="J12" s="42">
        <v>100</v>
      </c>
      <c r="K12" s="39">
        <v>5</v>
      </c>
    </row>
    <row r="13" spans="1:11" ht="24">
      <c r="A13" s="119" t="s">
        <v>172</v>
      </c>
      <c r="B13" s="41" t="s">
        <v>171</v>
      </c>
      <c r="C13" s="41" t="s">
        <v>442</v>
      </c>
      <c r="D13" s="42">
        <v>100</v>
      </c>
      <c r="E13" s="74" t="s">
        <v>170</v>
      </c>
      <c r="F13" s="42">
        <v>100</v>
      </c>
      <c r="G13" s="42" t="s">
        <v>170</v>
      </c>
      <c r="H13" s="42">
        <v>100</v>
      </c>
      <c r="I13" s="42" t="s">
        <v>170</v>
      </c>
      <c r="J13" s="42">
        <v>100</v>
      </c>
      <c r="K13" s="39">
        <v>1</v>
      </c>
    </row>
    <row r="14" spans="1:11">
      <c r="A14" s="120"/>
      <c r="B14" s="41" t="s">
        <v>169</v>
      </c>
      <c r="C14" s="74" t="s">
        <v>168</v>
      </c>
      <c r="D14" s="42">
        <v>100</v>
      </c>
      <c r="E14" s="41" t="s">
        <v>316</v>
      </c>
      <c r="F14" s="74">
        <v>100</v>
      </c>
      <c r="G14" s="41" t="s">
        <v>319</v>
      </c>
      <c r="H14" s="46">
        <v>100</v>
      </c>
      <c r="I14" s="41" t="s">
        <v>167</v>
      </c>
      <c r="J14" s="42">
        <v>100</v>
      </c>
      <c r="K14" s="39">
        <v>5</v>
      </c>
    </row>
    <row r="15" spans="1:11">
      <c r="A15" s="120"/>
      <c r="B15" s="42" t="s">
        <v>166</v>
      </c>
      <c r="C15" s="42" t="s">
        <v>165</v>
      </c>
      <c r="D15" s="42">
        <v>100</v>
      </c>
      <c r="E15" s="74" t="s">
        <v>165</v>
      </c>
      <c r="F15" s="42">
        <v>100</v>
      </c>
      <c r="G15" s="42" t="s">
        <v>165</v>
      </c>
      <c r="H15" s="42">
        <v>100</v>
      </c>
      <c r="I15" s="42" t="s">
        <v>165</v>
      </c>
      <c r="J15" s="42">
        <v>100</v>
      </c>
      <c r="K15" s="39">
        <v>1</v>
      </c>
    </row>
    <row r="16" spans="1:11" ht="36">
      <c r="A16" s="120"/>
      <c r="B16" s="41" t="s">
        <v>164</v>
      </c>
      <c r="C16" s="45" t="s">
        <v>163</v>
      </c>
      <c r="D16" s="42">
        <v>100</v>
      </c>
      <c r="E16" s="45" t="s">
        <v>320</v>
      </c>
      <c r="F16" s="40">
        <f>100-K16</f>
        <v>99.5</v>
      </c>
      <c r="G16" s="45" t="s">
        <v>320</v>
      </c>
      <c r="H16" s="40">
        <f>F16</f>
        <v>99.5</v>
      </c>
      <c r="I16" s="45" t="s">
        <v>162</v>
      </c>
      <c r="J16" s="40">
        <f>F16</f>
        <v>99.5</v>
      </c>
      <c r="K16" s="39">
        <v>0.5</v>
      </c>
    </row>
    <row r="17" spans="1:11" s="36" customFormat="1" ht="36">
      <c r="A17" s="120"/>
      <c r="B17" s="101" t="s">
        <v>161</v>
      </c>
      <c r="C17" s="101" t="s">
        <v>431</v>
      </c>
      <c r="D17" s="102">
        <v>100</v>
      </c>
      <c r="E17" s="101" t="s">
        <v>160</v>
      </c>
      <c r="F17" s="103">
        <f>100+K17*3</f>
        <v>103</v>
      </c>
      <c r="G17" s="101" t="s">
        <v>160</v>
      </c>
      <c r="H17" s="103">
        <f>F17</f>
        <v>103</v>
      </c>
      <c r="I17" s="101" t="s">
        <v>160</v>
      </c>
      <c r="J17" s="103">
        <f>H17</f>
        <v>103</v>
      </c>
      <c r="K17" s="107">
        <v>1</v>
      </c>
    </row>
    <row r="18" spans="1:11">
      <c r="A18" s="120"/>
      <c r="B18" s="41" t="s">
        <v>259</v>
      </c>
      <c r="C18" s="41" t="s">
        <v>329</v>
      </c>
      <c r="D18" s="74">
        <v>100</v>
      </c>
      <c r="E18" s="41" t="s">
        <v>330</v>
      </c>
      <c r="F18" s="40">
        <f t="shared" ref="F18" si="0">100+K18</f>
        <v>102</v>
      </c>
      <c r="G18" s="41" t="s">
        <v>330</v>
      </c>
      <c r="H18" s="40">
        <f t="shared" ref="H18:H19" si="1">F18</f>
        <v>102</v>
      </c>
      <c r="I18" s="41" t="s">
        <v>330</v>
      </c>
      <c r="J18" s="40">
        <f t="shared" ref="J18:J19" si="2">H18</f>
        <v>102</v>
      </c>
      <c r="K18" s="44">
        <v>2</v>
      </c>
    </row>
    <row r="19" spans="1:11">
      <c r="A19" s="120"/>
      <c r="B19" s="41" t="s">
        <v>331</v>
      </c>
      <c r="C19" s="41" t="s">
        <v>332</v>
      </c>
      <c r="D19" s="74">
        <v>100</v>
      </c>
      <c r="E19" s="41" t="s">
        <v>333</v>
      </c>
      <c r="F19" s="40">
        <f>100+K19*5</f>
        <v>105</v>
      </c>
      <c r="G19" s="41" t="s">
        <v>334</v>
      </c>
      <c r="H19" s="40">
        <f t="shared" si="1"/>
        <v>105</v>
      </c>
      <c r="I19" s="41" t="s">
        <v>333</v>
      </c>
      <c r="J19" s="40">
        <f t="shared" si="2"/>
        <v>105</v>
      </c>
      <c r="K19" s="44">
        <v>1</v>
      </c>
    </row>
    <row r="20" spans="1:11" s="36" customFormat="1">
      <c r="A20" s="120"/>
      <c r="B20" s="101" t="s">
        <v>159</v>
      </c>
      <c r="C20" s="101" t="s">
        <v>321</v>
      </c>
      <c r="D20" s="102">
        <v>100</v>
      </c>
      <c r="E20" s="101" t="s">
        <v>158</v>
      </c>
      <c r="F20" s="103">
        <f>100+$K$20</f>
        <v>101</v>
      </c>
      <c r="G20" s="101" t="s">
        <v>321</v>
      </c>
      <c r="H20" s="105">
        <v>100</v>
      </c>
      <c r="I20" s="101" t="s">
        <v>158</v>
      </c>
      <c r="J20" s="103">
        <f>100+$K$20</f>
        <v>101</v>
      </c>
      <c r="K20" s="106">
        <v>1</v>
      </c>
    </row>
    <row r="21" spans="1:11" ht="24">
      <c r="A21" s="120"/>
      <c r="B21" s="41" t="s">
        <v>157</v>
      </c>
      <c r="C21" s="41" t="s">
        <v>376</v>
      </c>
      <c r="D21" s="42">
        <v>100</v>
      </c>
      <c r="E21" s="41" t="s">
        <v>377</v>
      </c>
      <c r="F21" s="40">
        <f>100+$K$21*2</f>
        <v>101</v>
      </c>
      <c r="G21" s="41" t="s">
        <v>377</v>
      </c>
      <c r="H21" s="40">
        <f>100+$K$21*2</f>
        <v>101</v>
      </c>
      <c r="I21" s="41" t="s">
        <v>377</v>
      </c>
      <c r="J21" s="40">
        <f>100+$K$21*2</f>
        <v>101</v>
      </c>
      <c r="K21" s="39">
        <v>0.5</v>
      </c>
    </row>
    <row r="22" spans="1:11" ht="36">
      <c r="A22" s="120"/>
      <c r="B22" s="41" t="s">
        <v>156</v>
      </c>
      <c r="C22" s="41" t="s">
        <v>443</v>
      </c>
      <c r="D22" s="42">
        <v>100</v>
      </c>
      <c r="E22" s="41" t="s">
        <v>444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22" t="s">
        <v>153</v>
      </c>
      <c r="B23" s="122"/>
      <c r="C23" s="123" t="s">
        <v>151</v>
      </c>
      <c r="D23" s="123"/>
      <c r="E23" s="121">
        <f>E5</f>
        <v>63.4</v>
      </c>
      <c r="F23" s="121"/>
      <c r="G23" s="121">
        <f>G5</f>
        <v>60.55</v>
      </c>
      <c r="H23" s="121"/>
      <c r="I23" s="121">
        <f>I5</f>
        <v>63.05</v>
      </c>
      <c r="J23" s="121"/>
    </row>
    <row r="24" spans="1:11">
      <c r="A24" s="122" t="s">
        <v>152</v>
      </c>
      <c r="B24" s="122"/>
      <c r="C24" s="123" t="s">
        <v>151</v>
      </c>
      <c r="D24" s="123"/>
      <c r="E24" s="124">
        <f>ROUND(E23*POWER(100,COUNT(F6:F22))/PRODUCT(F6:F22),2)</f>
        <v>53.93</v>
      </c>
      <c r="F24" s="124"/>
      <c r="G24" s="124">
        <f>ROUND(G23*POWER(100,COUNT(H6:H22))/PRODUCT(H6:H22),2)</f>
        <v>52.02</v>
      </c>
      <c r="H24" s="124"/>
      <c r="I24" s="124">
        <f>ROUND(I23*POWER(100,COUNT(J6:J22))/PRODUCT(J6:J22),2)</f>
        <v>53.63</v>
      </c>
      <c r="J24" s="124"/>
    </row>
    <row r="25" spans="1:11" ht="14.25">
      <c r="A25" s="115" t="str">
        <f>CONCATENATE("估价对象比较价值=(",TEXT(E24,"G/通用格式"),"+",TEXT(G24,"G/通用格式"),"+",TEXT(I24,"G/通用格式"),")","/",3,"=",ROUND((E24+G24+I24)/3,2))</f>
        <v>估价对象比较价值=(53.93+52.02+53.63)/3=53.19</v>
      </c>
      <c r="B25" s="115"/>
      <c r="C25" s="115"/>
      <c r="D25" s="115"/>
      <c r="E25" s="115"/>
      <c r="F25" s="115"/>
      <c r="G25" s="115"/>
      <c r="H25" s="115"/>
      <c r="I25" s="38"/>
      <c r="J25" s="38"/>
    </row>
    <row r="27" spans="1:11">
      <c r="C27" s="34">
        <f>ROUND((E24+G24+I24)/3,2)</f>
        <v>53.19</v>
      </c>
      <c r="E27" s="34">
        <f>ROUND(E24/E23,4)</f>
        <v>0.85060000000000002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53.928040000000003</v>
      </c>
      <c r="G29" s="34">
        <f>G23*G27</f>
        <v>52.018504999999998</v>
      </c>
      <c r="I29" s="37">
        <f>I23*I27</f>
        <v>53.630330000000001</v>
      </c>
    </row>
    <row r="30" spans="1:11">
      <c r="C30" s="36"/>
    </row>
    <row r="31" spans="1:11">
      <c r="C31" s="35"/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58.33</v>
      </c>
      <c r="G32" s="34">
        <f>ROUND(G23/G31,2)</f>
        <v>56.27</v>
      </c>
      <c r="I32" s="34">
        <f>ROUND(I23/I31,2)</f>
        <v>58.01</v>
      </c>
    </row>
  </sheetData>
  <mergeCells count="31">
    <mergeCell ref="I3:J3"/>
    <mergeCell ref="A1:H1"/>
    <mergeCell ref="A3:B3"/>
    <mergeCell ref="C3:D3"/>
    <mergeCell ref="E3:F3"/>
    <mergeCell ref="G3:H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3:B23"/>
    <mergeCell ref="C23:D23"/>
    <mergeCell ref="E23:F23"/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Z49"/>
  <sheetViews>
    <sheetView tabSelected="1" topLeftCell="A22" zoomScale="90" zoomScaleNormal="90" zoomScaleSheetLayoutView="100" workbookViewId="0">
      <selection activeCell="C45" sqref="C45"/>
    </sheetView>
  </sheetViews>
  <sheetFormatPr defaultColWidth="9" defaultRowHeight="13.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31" t="s">
        <v>192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2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6">
      <c r="A3" s="127" t="s">
        <v>191</v>
      </c>
      <c r="B3" s="126"/>
      <c r="C3" s="123" t="s">
        <v>190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 t="s">
        <v>350</v>
      </c>
      <c r="V3" s="123"/>
    </row>
    <row r="4" spans="1:26">
      <c r="A4" s="123" t="s">
        <v>186</v>
      </c>
      <c r="B4" s="123"/>
      <c r="C4" s="130" t="str">
        <f>标准房测算表!C4</f>
        <v>朝新嘉园</v>
      </c>
      <c r="D4" s="126"/>
      <c r="E4" s="132" t="str">
        <f>小区明细!B3</f>
        <v>驹子房</v>
      </c>
      <c r="F4" s="126"/>
      <c r="G4" s="132" t="str">
        <f>小区明细!B4</f>
        <v>东湾家园</v>
      </c>
      <c r="H4" s="126"/>
      <c r="I4" s="132" t="str">
        <f>小区明细!B5</f>
        <v>首开畅颐园</v>
      </c>
      <c r="J4" s="126"/>
      <c r="K4" s="132" t="str">
        <f>小区明细!B6</f>
        <v>恒大江湾</v>
      </c>
      <c r="L4" s="126"/>
      <c r="M4" s="132" t="str">
        <f>小区明细!B7</f>
        <v>首城东郡汇</v>
      </c>
      <c r="N4" s="126"/>
      <c r="O4" s="132" t="str">
        <f>小区明细!B8</f>
        <v>福润四季</v>
      </c>
      <c r="P4" s="126"/>
      <c r="Q4" s="132" t="str">
        <f>小区明细!B9</f>
        <v>悦和园</v>
      </c>
      <c r="R4" s="126"/>
      <c r="S4" s="132" t="str">
        <f>小区明细!B10</f>
        <v>景和园</v>
      </c>
      <c r="T4" s="126"/>
      <c r="U4" s="127" t="str">
        <f>[1]清林苑数据!C2</f>
        <v>清林苑</v>
      </c>
      <c r="V4" s="126"/>
    </row>
    <row r="5" spans="1:26" ht="30" customHeight="1">
      <c r="A5" s="123" t="s">
        <v>185</v>
      </c>
      <c r="B5" s="123"/>
      <c r="C5" s="132" t="s">
        <v>349</v>
      </c>
      <c r="D5" s="126"/>
      <c r="E5" s="128">
        <f>标准房测算表!$C$27</f>
        <v>53.19</v>
      </c>
      <c r="F5" s="129"/>
      <c r="G5" s="128">
        <f>标准房测算表!$C$27</f>
        <v>53.19</v>
      </c>
      <c r="H5" s="129"/>
      <c r="I5" s="128">
        <f>标准房测算表!$C$27</f>
        <v>53.19</v>
      </c>
      <c r="J5" s="129"/>
      <c r="K5" s="128">
        <f>标准房测算表!$C$27</f>
        <v>53.19</v>
      </c>
      <c r="L5" s="129"/>
      <c r="M5" s="128">
        <f>标准房测算表!$C$27</f>
        <v>53.19</v>
      </c>
      <c r="N5" s="129"/>
      <c r="O5" s="128">
        <f>标准房测算表!$C$27</f>
        <v>53.19</v>
      </c>
      <c r="P5" s="129"/>
      <c r="Q5" s="128">
        <f>标准房测算表!$C$27</f>
        <v>53.19</v>
      </c>
      <c r="R5" s="129"/>
      <c r="S5" s="128">
        <f>标准房测算表!$C$27</f>
        <v>53.19</v>
      </c>
      <c r="T5" s="129"/>
      <c r="U5" s="127">
        <f>[1]清林苑数据!I6</f>
        <v>86.965939736464648</v>
      </c>
      <c r="V5" s="126"/>
      <c r="Z5" s="34">
        <f>26.66*0.8*1.05*1.015</f>
        <v>22.730316000000002</v>
      </c>
    </row>
    <row r="6" spans="1:26" ht="24.75">
      <c r="A6" s="123" t="s">
        <v>183</v>
      </c>
      <c r="B6" s="123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  <c r="K6" s="49" t="s">
        <v>182</v>
      </c>
      <c r="L6" s="48">
        <v>100</v>
      </c>
      <c r="M6" s="49" t="s">
        <v>182</v>
      </c>
      <c r="N6" s="48">
        <v>100</v>
      </c>
      <c r="O6" s="49" t="s">
        <v>182</v>
      </c>
      <c r="P6" s="48">
        <v>100</v>
      </c>
      <c r="Q6" s="49" t="s">
        <v>182</v>
      </c>
      <c r="R6" s="48">
        <v>100</v>
      </c>
      <c r="S6" s="49" t="s">
        <v>182</v>
      </c>
      <c r="T6" s="48">
        <v>100</v>
      </c>
      <c r="U6" s="49" t="s">
        <v>182</v>
      </c>
      <c r="V6" s="48">
        <v>100</v>
      </c>
    </row>
    <row r="7" spans="1:26">
      <c r="A7" s="123" t="s">
        <v>181</v>
      </c>
      <c r="B7" s="123"/>
      <c r="C7" s="74" t="s">
        <v>180</v>
      </c>
      <c r="D7" s="74">
        <v>100</v>
      </c>
      <c r="E7" s="74" t="s">
        <v>180</v>
      </c>
      <c r="F7" s="74">
        <v>100</v>
      </c>
      <c r="G7" s="74" t="s">
        <v>180</v>
      </c>
      <c r="H7" s="74">
        <v>100</v>
      </c>
      <c r="I7" s="74" t="s">
        <v>180</v>
      </c>
      <c r="J7" s="74">
        <v>100</v>
      </c>
      <c r="K7" s="74" t="s">
        <v>180</v>
      </c>
      <c r="L7" s="74">
        <v>100</v>
      </c>
      <c r="M7" s="74" t="s">
        <v>180</v>
      </c>
      <c r="N7" s="74">
        <v>100</v>
      </c>
      <c r="O7" s="74" t="s">
        <v>180</v>
      </c>
      <c r="P7" s="74">
        <f>IF(O7=C7,100,"请调整")</f>
        <v>100</v>
      </c>
      <c r="Q7" s="74" t="s">
        <v>180</v>
      </c>
      <c r="R7" s="74">
        <f>IF(Q7=C7,100,"请调整")</f>
        <v>100</v>
      </c>
      <c r="S7" s="74" t="s">
        <v>180</v>
      </c>
      <c r="T7" s="74">
        <f>IF(S7=O7,100,"请调整")</f>
        <v>100</v>
      </c>
      <c r="U7" s="74" t="s">
        <v>180</v>
      </c>
      <c r="V7" s="74">
        <f>IF(U7=O7,100,"请调整")</f>
        <v>100</v>
      </c>
    </row>
    <row r="8" spans="1:26" ht="95.25">
      <c r="A8" s="116" t="s">
        <v>179</v>
      </c>
      <c r="B8" s="41" t="s">
        <v>178</v>
      </c>
      <c r="C8" s="41" t="s">
        <v>326</v>
      </c>
      <c r="D8" s="74">
        <v>100</v>
      </c>
      <c r="E8" s="41" t="s">
        <v>351</v>
      </c>
      <c r="F8" s="74">
        <v>100</v>
      </c>
      <c r="G8" s="41" t="s">
        <v>322</v>
      </c>
      <c r="H8" s="74">
        <v>100</v>
      </c>
      <c r="I8" s="41" t="s">
        <v>317</v>
      </c>
      <c r="J8" s="74">
        <v>100</v>
      </c>
      <c r="K8" s="41" t="s">
        <v>317</v>
      </c>
      <c r="L8" s="74">
        <v>100</v>
      </c>
      <c r="M8" s="41" t="s">
        <v>317</v>
      </c>
      <c r="N8" s="74">
        <v>100</v>
      </c>
      <c r="O8" s="41" t="s">
        <v>359</v>
      </c>
      <c r="P8" s="74">
        <f>N8</f>
        <v>100</v>
      </c>
      <c r="Q8" s="41" t="s">
        <v>367</v>
      </c>
      <c r="R8" s="74">
        <v>100</v>
      </c>
      <c r="S8" s="41" t="s">
        <v>369</v>
      </c>
      <c r="T8" s="74">
        <f>N8</f>
        <v>100</v>
      </c>
      <c r="U8" s="74"/>
      <c r="V8" s="74"/>
      <c r="W8" s="43">
        <v>3</v>
      </c>
    </row>
    <row r="9" spans="1:26" ht="156">
      <c r="A9" s="117"/>
      <c r="B9" s="41" t="s">
        <v>177</v>
      </c>
      <c r="C9" s="41" t="s">
        <v>327</v>
      </c>
      <c r="D9" s="74">
        <v>100</v>
      </c>
      <c r="E9" s="41" t="s">
        <v>352</v>
      </c>
      <c r="F9" s="74">
        <v>100</v>
      </c>
      <c r="G9" s="41" t="s">
        <v>324</v>
      </c>
      <c r="H9" s="74">
        <v>100</v>
      </c>
      <c r="I9" s="41" t="s">
        <v>240</v>
      </c>
      <c r="J9" s="74">
        <v>100</v>
      </c>
      <c r="K9" s="41" t="s">
        <v>240</v>
      </c>
      <c r="L9" s="74">
        <v>100</v>
      </c>
      <c r="M9" s="41" t="s">
        <v>240</v>
      </c>
      <c r="N9" s="74">
        <v>100</v>
      </c>
      <c r="O9" s="41" t="s">
        <v>360</v>
      </c>
      <c r="P9" s="74">
        <v>100</v>
      </c>
      <c r="Q9" s="41" t="s">
        <v>368</v>
      </c>
      <c r="R9" s="81">
        <v>100</v>
      </c>
      <c r="S9" s="41" t="s">
        <v>370</v>
      </c>
      <c r="T9" s="81">
        <v>100</v>
      </c>
      <c r="U9" s="41" t="s">
        <v>348</v>
      </c>
      <c r="V9" s="74">
        <v>100</v>
      </c>
      <c r="W9" s="43">
        <v>3</v>
      </c>
    </row>
    <row r="10" spans="1:26" ht="60">
      <c r="A10" s="117"/>
      <c r="B10" s="41" t="s">
        <v>435</v>
      </c>
      <c r="C10" s="41" t="s">
        <v>241</v>
      </c>
      <c r="D10" s="74">
        <v>100</v>
      </c>
      <c r="E10" s="41" t="s">
        <v>241</v>
      </c>
      <c r="F10" s="74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1" t="s">
        <v>241</v>
      </c>
      <c r="L10" s="74">
        <v>100</v>
      </c>
      <c r="M10" s="41" t="s">
        <v>241</v>
      </c>
      <c r="N10" s="74">
        <v>100</v>
      </c>
      <c r="O10" s="41" t="s">
        <v>241</v>
      </c>
      <c r="P10" s="74">
        <f>N10</f>
        <v>100</v>
      </c>
      <c r="Q10" s="41" t="s">
        <v>241</v>
      </c>
      <c r="R10" s="81">
        <f>P10</f>
        <v>100</v>
      </c>
      <c r="S10" s="41" t="s">
        <v>241</v>
      </c>
      <c r="T10" s="81">
        <f>R10</f>
        <v>100</v>
      </c>
      <c r="U10" s="41" t="s">
        <v>347</v>
      </c>
      <c r="V10" s="74">
        <v>100</v>
      </c>
      <c r="W10" s="43">
        <v>5</v>
      </c>
    </row>
    <row r="11" spans="1:26" ht="60">
      <c r="A11" s="117"/>
      <c r="B11" s="41" t="s">
        <v>175</v>
      </c>
      <c r="C11" s="41" t="s">
        <v>318</v>
      </c>
      <c r="D11" s="74">
        <v>100</v>
      </c>
      <c r="E11" s="41" t="s">
        <v>318</v>
      </c>
      <c r="F11" s="74">
        <v>100</v>
      </c>
      <c r="G11" s="41" t="s">
        <v>318</v>
      </c>
      <c r="H11" s="74">
        <v>100</v>
      </c>
      <c r="I11" s="41" t="s">
        <v>242</v>
      </c>
      <c r="J11" s="74">
        <v>100</v>
      </c>
      <c r="K11" s="41" t="s">
        <v>242</v>
      </c>
      <c r="L11" s="74">
        <v>100</v>
      </c>
      <c r="M11" s="41" t="s">
        <v>242</v>
      </c>
      <c r="N11" s="74">
        <v>100</v>
      </c>
      <c r="O11" s="41" t="s">
        <v>318</v>
      </c>
      <c r="P11" s="74">
        <v>100</v>
      </c>
      <c r="Q11" s="41" t="s">
        <v>242</v>
      </c>
      <c r="R11" s="74">
        <v>100</v>
      </c>
      <c r="S11" s="41" t="s">
        <v>318</v>
      </c>
      <c r="T11" s="74">
        <v>100</v>
      </c>
      <c r="U11" s="41" t="s">
        <v>347</v>
      </c>
      <c r="V11" s="74">
        <v>100</v>
      </c>
      <c r="W11" s="47">
        <v>3</v>
      </c>
    </row>
    <row r="12" spans="1:26" ht="60">
      <c r="A12" s="118"/>
      <c r="B12" s="41" t="s">
        <v>174</v>
      </c>
      <c r="C12" s="74" t="s">
        <v>173</v>
      </c>
      <c r="D12" s="74">
        <v>100</v>
      </c>
      <c r="E12" s="74" t="s">
        <v>173</v>
      </c>
      <c r="F12" s="74">
        <v>100</v>
      </c>
      <c r="G12" s="74" t="s">
        <v>173</v>
      </c>
      <c r="H12" s="74">
        <v>100</v>
      </c>
      <c r="I12" s="74" t="s">
        <v>173</v>
      </c>
      <c r="J12" s="74">
        <v>100</v>
      </c>
      <c r="K12" s="74" t="s">
        <v>173</v>
      </c>
      <c r="L12" s="74">
        <v>100</v>
      </c>
      <c r="M12" s="74" t="s">
        <v>173</v>
      </c>
      <c r="N12" s="74">
        <v>100</v>
      </c>
      <c r="O12" s="74" t="s">
        <v>173</v>
      </c>
      <c r="P12" s="74">
        <v>100</v>
      </c>
      <c r="Q12" s="74" t="s">
        <v>173</v>
      </c>
      <c r="R12" s="81">
        <v>100</v>
      </c>
      <c r="S12" s="74" t="s">
        <v>173</v>
      </c>
      <c r="T12" s="81">
        <v>100</v>
      </c>
      <c r="U12" s="41" t="s">
        <v>346</v>
      </c>
      <c r="V12" s="74">
        <v>100</v>
      </c>
      <c r="W12" s="43">
        <v>5</v>
      </c>
    </row>
    <row r="13" spans="1:26" ht="24">
      <c r="A13" s="119" t="s">
        <v>172</v>
      </c>
      <c r="B13" s="41" t="s">
        <v>171</v>
      </c>
      <c r="C13" s="74" t="s">
        <v>170</v>
      </c>
      <c r="D13" s="74">
        <v>100</v>
      </c>
      <c r="E13" s="41" t="s">
        <v>335</v>
      </c>
      <c r="F13" s="74">
        <v>100</v>
      </c>
      <c r="G13" s="41" t="s">
        <v>335</v>
      </c>
      <c r="H13" s="74">
        <v>100</v>
      </c>
      <c r="I13" s="41" t="s">
        <v>335</v>
      </c>
      <c r="J13" s="74">
        <v>100</v>
      </c>
      <c r="K13" s="41" t="s">
        <v>335</v>
      </c>
      <c r="L13" s="74">
        <v>100</v>
      </c>
      <c r="M13" s="41" t="s">
        <v>335</v>
      </c>
      <c r="N13" s="74">
        <v>100</v>
      </c>
      <c r="O13" s="41" t="s">
        <v>335</v>
      </c>
      <c r="P13" s="74">
        <v>100</v>
      </c>
      <c r="Q13" s="41" t="s">
        <v>335</v>
      </c>
      <c r="R13" s="74">
        <v>100</v>
      </c>
      <c r="S13" s="74" t="s">
        <v>170</v>
      </c>
      <c r="T13" s="74">
        <v>100</v>
      </c>
      <c r="U13" s="41" t="s">
        <v>345</v>
      </c>
      <c r="V13" s="74">
        <v>100</v>
      </c>
      <c r="W13" s="39">
        <v>1</v>
      </c>
    </row>
    <row r="14" spans="1:26">
      <c r="A14" s="120"/>
      <c r="B14" s="41" t="s">
        <v>344</v>
      </c>
      <c r="C14" s="41" t="s">
        <v>329</v>
      </c>
      <c r="D14" s="74">
        <v>100</v>
      </c>
      <c r="E14" s="41" t="s">
        <v>353</v>
      </c>
      <c r="F14" s="40">
        <f>100+W14</f>
        <v>102</v>
      </c>
      <c r="G14" s="41" t="s">
        <v>353</v>
      </c>
      <c r="H14" s="40">
        <f>100+W14</f>
        <v>102</v>
      </c>
      <c r="I14" s="41" t="s">
        <v>353</v>
      </c>
      <c r="J14" s="40">
        <f>100+W14</f>
        <v>102</v>
      </c>
      <c r="K14" s="41" t="s">
        <v>353</v>
      </c>
      <c r="L14" s="40">
        <f>100+W14</f>
        <v>102</v>
      </c>
      <c r="M14" s="41" t="s">
        <v>353</v>
      </c>
      <c r="N14" s="40">
        <f>100+W14</f>
        <v>102</v>
      </c>
      <c r="O14" s="41" t="s">
        <v>353</v>
      </c>
      <c r="P14" s="40">
        <f>100+W14</f>
        <v>102</v>
      </c>
      <c r="Q14" s="41" t="s">
        <v>353</v>
      </c>
      <c r="R14" s="40">
        <f>100+W14</f>
        <v>102</v>
      </c>
      <c r="S14" s="41" t="s">
        <v>353</v>
      </c>
      <c r="T14" s="40">
        <f>100+W14</f>
        <v>102</v>
      </c>
      <c r="U14" s="41"/>
      <c r="V14" s="74"/>
      <c r="W14" s="39">
        <v>2</v>
      </c>
    </row>
    <row r="15" spans="1:26">
      <c r="A15" s="120"/>
      <c r="B15" s="41" t="s">
        <v>331</v>
      </c>
      <c r="C15" s="41" t="s">
        <v>332</v>
      </c>
      <c r="D15" s="74">
        <v>100</v>
      </c>
      <c r="E15" s="41" t="s">
        <v>361</v>
      </c>
      <c r="F15" s="40">
        <f>100+W15*3</f>
        <v>103</v>
      </c>
      <c r="G15" s="41" t="s">
        <v>362</v>
      </c>
      <c r="H15" s="40">
        <f>100+W15*4</f>
        <v>104</v>
      </c>
      <c r="I15" s="41" t="s">
        <v>363</v>
      </c>
      <c r="J15" s="40">
        <f>100+W15*4</f>
        <v>104</v>
      </c>
      <c r="K15" s="41" t="s">
        <v>364</v>
      </c>
      <c r="L15" s="40">
        <f>100+W15*4</f>
        <v>104</v>
      </c>
      <c r="M15" s="41" t="s">
        <v>371</v>
      </c>
      <c r="N15" s="40">
        <f>100+W15*4</f>
        <v>104</v>
      </c>
      <c r="O15" s="41" t="s">
        <v>333</v>
      </c>
      <c r="P15" s="40">
        <f>100+W15*5</f>
        <v>105</v>
      </c>
      <c r="Q15" s="41" t="s">
        <v>365</v>
      </c>
      <c r="R15" s="40">
        <f>100+W15*4</f>
        <v>104</v>
      </c>
      <c r="S15" s="41" t="s">
        <v>366</v>
      </c>
      <c r="T15" s="40">
        <f>100+W15*5</f>
        <v>105</v>
      </c>
      <c r="U15" s="41"/>
      <c r="V15" s="74"/>
      <c r="W15" s="43">
        <v>1</v>
      </c>
      <c r="X15" s="34" t="s">
        <v>374</v>
      </c>
    </row>
    <row r="16" spans="1:26">
      <c r="A16" s="120"/>
      <c r="B16" s="41" t="s">
        <v>378</v>
      </c>
      <c r="C16" s="41" t="s">
        <v>379</v>
      </c>
      <c r="D16" s="81">
        <v>100</v>
      </c>
      <c r="E16" s="41" t="s">
        <v>380</v>
      </c>
      <c r="F16" s="40">
        <f>100-W16</f>
        <v>98.5</v>
      </c>
      <c r="G16" s="41" t="s">
        <v>381</v>
      </c>
      <c r="H16" s="40">
        <f>100+W16*2</f>
        <v>103</v>
      </c>
      <c r="I16" s="41" t="s">
        <v>382</v>
      </c>
      <c r="J16" s="40">
        <f>100+W16*2</f>
        <v>103</v>
      </c>
      <c r="K16" s="41" t="s">
        <v>383</v>
      </c>
      <c r="L16" s="40">
        <f>100+W16*2</f>
        <v>103</v>
      </c>
      <c r="M16" s="41" t="s">
        <v>383</v>
      </c>
      <c r="N16" s="40">
        <f>100+W16*2</f>
        <v>103</v>
      </c>
      <c r="O16" s="41" t="s">
        <v>382</v>
      </c>
      <c r="P16" s="40">
        <f>100+W16*2</f>
        <v>103</v>
      </c>
      <c r="Q16" s="41" t="s">
        <v>379</v>
      </c>
      <c r="R16" s="40">
        <f>100+W16</f>
        <v>101.5</v>
      </c>
      <c r="S16" s="41" t="s">
        <v>379</v>
      </c>
      <c r="T16" s="40">
        <f>100+W16</f>
        <v>101.5</v>
      </c>
      <c r="U16" s="41"/>
      <c r="V16" s="81"/>
      <c r="W16" s="43">
        <v>1.5</v>
      </c>
    </row>
    <row r="17" spans="1:23" ht="48">
      <c r="A17" s="120"/>
      <c r="B17" s="41" t="s">
        <v>169</v>
      </c>
      <c r="C17" s="74" t="s">
        <v>168</v>
      </c>
      <c r="D17" s="74">
        <v>100</v>
      </c>
      <c r="E17" s="41" t="s">
        <v>343</v>
      </c>
      <c r="F17" s="81">
        <v>100</v>
      </c>
      <c r="G17" s="41" t="s">
        <v>343</v>
      </c>
      <c r="H17" s="74">
        <v>100</v>
      </c>
      <c r="I17" s="41" t="s">
        <v>343</v>
      </c>
      <c r="J17" s="74">
        <v>100</v>
      </c>
      <c r="K17" s="41" t="s">
        <v>384</v>
      </c>
      <c r="L17" s="40">
        <f>100+W17</f>
        <v>105</v>
      </c>
      <c r="M17" s="41" t="s">
        <v>343</v>
      </c>
      <c r="N17" s="74">
        <v>100</v>
      </c>
      <c r="O17" s="41" t="s">
        <v>343</v>
      </c>
      <c r="P17" s="74">
        <f>[2]远山嘉园!H14</f>
        <v>100</v>
      </c>
      <c r="Q17" s="41" t="s">
        <v>343</v>
      </c>
      <c r="R17" s="74">
        <v>100</v>
      </c>
      <c r="S17" s="74" t="s">
        <v>168</v>
      </c>
      <c r="T17" s="74">
        <f>P17</f>
        <v>100</v>
      </c>
      <c r="U17" s="41" t="s">
        <v>342</v>
      </c>
      <c r="V17" s="74">
        <v>98</v>
      </c>
      <c r="W17" s="39">
        <v>5</v>
      </c>
    </row>
    <row r="18" spans="1:23" ht="48">
      <c r="A18" s="120"/>
      <c r="B18" s="74" t="s">
        <v>166</v>
      </c>
      <c r="C18" s="74" t="s">
        <v>165</v>
      </c>
      <c r="D18" s="74">
        <v>100</v>
      </c>
      <c r="E18" s="41" t="s">
        <v>340</v>
      </c>
      <c r="F18" s="81">
        <v>100</v>
      </c>
      <c r="G18" s="41" t="s">
        <v>340</v>
      </c>
      <c r="H18" s="74">
        <v>100</v>
      </c>
      <c r="I18" s="41" t="s">
        <v>340</v>
      </c>
      <c r="J18" s="74">
        <v>100</v>
      </c>
      <c r="K18" s="41" t="s">
        <v>340</v>
      </c>
      <c r="L18" s="74">
        <v>100</v>
      </c>
      <c r="M18" s="41" t="s">
        <v>340</v>
      </c>
      <c r="N18" s="74">
        <v>100</v>
      </c>
      <c r="O18" s="41" t="s">
        <v>341</v>
      </c>
      <c r="P18" s="74">
        <v>100</v>
      </c>
      <c r="Q18" s="41" t="s">
        <v>340</v>
      </c>
      <c r="R18" s="74">
        <v>100</v>
      </c>
      <c r="S18" s="74" t="s">
        <v>165</v>
      </c>
      <c r="T18" s="74">
        <v>100</v>
      </c>
      <c r="U18" s="41" t="s">
        <v>160</v>
      </c>
      <c r="V18" s="74">
        <v>100</v>
      </c>
      <c r="W18" s="39">
        <v>1</v>
      </c>
    </row>
    <row r="19" spans="1:23" ht="60">
      <c r="A19" s="120"/>
      <c r="B19" s="41" t="s">
        <v>164</v>
      </c>
      <c r="C19" s="45" t="s">
        <v>163</v>
      </c>
      <c r="D19" s="74">
        <v>100</v>
      </c>
      <c r="E19" s="45" t="s">
        <v>163</v>
      </c>
      <c r="F19" s="74">
        <v>100</v>
      </c>
      <c r="G19" s="41" t="s">
        <v>163</v>
      </c>
      <c r="H19" s="74">
        <v>100</v>
      </c>
      <c r="I19" s="41" t="s">
        <v>163</v>
      </c>
      <c r="J19" s="74">
        <v>100</v>
      </c>
      <c r="K19" s="45" t="s">
        <v>320</v>
      </c>
      <c r="L19" s="40">
        <f>100-W19</f>
        <v>99.5</v>
      </c>
      <c r="M19" s="45" t="s">
        <v>320</v>
      </c>
      <c r="N19" s="40">
        <f>100-W19</f>
        <v>99.5</v>
      </c>
      <c r="O19" s="45" t="s">
        <v>320</v>
      </c>
      <c r="P19" s="40">
        <f>100-W19</f>
        <v>99.5</v>
      </c>
      <c r="Q19" s="45" t="s">
        <v>320</v>
      </c>
      <c r="R19" s="40">
        <f>100-W19</f>
        <v>99.5</v>
      </c>
      <c r="S19" s="45" t="s">
        <v>320</v>
      </c>
      <c r="T19" s="40">
        <f>100-W19</f>
        <v>99.5</v>
      </c>
      <c r="U19" s="41" t="s">
        <v>154</v>
      </c>
      <c r="V19" s="74">
        <v>99</v>
      </c>
      <c r="W19" s="43">
        <v>0.5</v>
      </c>
    </row>
    <row r="20" spans="1:23" s="36" customFormat="1" ht="36">
      <c r="A20" s="120"/>
      <c r="B20" s="101" t="s">
        <v>339</v>
      </c>
      <c r="C20" s="101" t="s">
        <v>432</v>
      </c>
      <c r="D20" s="102">
        <v>100</v>
      </c>
      <c r="E20" s="101" t="s">
        <v>354</v>
      </c>
      <c r="F20" s="103">
        <f>100+W20*3</f>
        <v>103</v>
      </c>
      <c r="G20" s="101" t="s">
        <v>357</v>
      </c>
      <c r="H20" s="103">
        <f>F20</f>
        <v>103</v>
      </c>
      <c r="I20" s="101" t="s">
        <v>429</v>
      </c>
      <c r="J20" s="102">
        <v>100</v>
      </c>
      <c r="K20" s="101" t="s">
        <v>429</v>
      </c>
      <c r="L20" s="102">
        <v>100</v>
      </c>
      <c r="M20" s="101" t="s">
        <v>358</v>
      </c>
      <c r="N20" s="103">
        <f>100+$W$20*4</f>
        <v>104</v>
      </c>
      <c r="O20" s="101" t="s">
        <v>354</v>
      </c>
      <c r="P20" s="103">
        <f>F20</f>
        <v>103</v>
      </c>
      <c r="Q20" s="101" t="s">
        <v>354</v>
      </c>
      <c r="R20" s="103">
        <f>F20</f>
        <v>103</v>
      </c>
      <c r="S20" s="101" t="s">
        <v>358</v>
      </c>
      <c r="T20" s="103">
        <f>N20</f>
        <v>104</v>
      </c>
      <c r="U20" s="101"/>
      <c r="V20" s="102"/>
      <c r="W20" s="107">
        <v>1</v>
      </c>
    </row>
    <row r="21" spans="1:23" s="36" customFormat="1">
      <c r="A21" s="120"/>
      <c r="B21" s="101" t="s">
        <v>159</v>
      </c>
      <c r="C21" s="101" t="s">
        <v>321</v>
      </c>
      <c r="D21" s="102">
        <v>100</v>
      </c>
      <c r="E21" s="101" t="s">
        <v>328</v>
      </c>
      <c r="F21" s="103">
        <f>100-W21</f>
        <v>99</v>
      </c>
      <c r="G21" s="101" t="s">
        <v>321</v>
      </c>
      <c r="H21" s="102">
        <f>100</f>
        <v>100</v>
      </c>
      <c r="I21" s="101" t="s">
        <v>321</v>
      </c>
      <c r="J21" s="102">
        <f>100</f>
        <v>100</v>
      </c>
      <c r="K21" s="101" t="s">
        <v>328</v>
      </c>
      <c r="L21" s="103">
        <f>100-W21</f>
        <v>99</v>
      </c>
      <c r="M21" s="101" t="s">
        <v>338</v>
      </c>
      <c r="N21" s="103">
        <f>100+W21</f>
        <v>101</v>
      </c>
      <c r="O21" s="101" t="s">
        <v>158</v>
      </c>
      <c r="P21" s="103">
        <f>100+W21</f>
        <v>101</v>
      </c>
      <c r="Q21" s="101" t="s">
        <v>337</v>
      </c>
      <c r="R21" s="102">
        <v>100</v>
      </c>
      <c r="S21" s="101" t="s">
        <v>158</v>
      </c>
      <c r="T21" s="103">
        <f>100+W21</f>
        <v>101</v>
      </c>
      <c r="U21" s="101"/>
      <c r="V21" s="102"/>
      <c r="W21" s="104">
        <v>1</v>
      </c>
    </row>
    <row r="22" spans="1:23">
      <c r="A22" s="120"/>
      <c r="B22" s="41" t="s">
        <v>385</v>
      </c>
      <c r="C22" s="41" t="s">
        <v>386</v>
      </c>
      <c r="D22" s="81">
        <v>100</v>
      </c>
      <c r="E22" s="41" t="s">
        <v>386</v>
      </c>
      <c r="F22" s="81">
        <v>100</v>
      </c>
      <c r="G22" s="41" t="s">
        <v>387</v>
      </c>
      <c r="H22" s="40">
        <f>100-W22*2</f>
        <v>98</v>
      </c>
      <c r="I22" s="41" t="s">
        <v>387</v>
      </c>
      <c r="J22" s="40">
        <f>100-W22*2</f>
        <v>98</v>
      </c>
      <c r="K22" s="41" t="s">
        <v>388</v>
      </c>
      <c r="L22" s="40">
        <f>100-W22</f>
        <v>99</v>
      </c>
      <c r="M22" s="41" t="s">
        <v>387</v>
      </c>
      <c r="N22" s="40">
        <f>100-W22*2</f>
        <v>98</v>
      </c>
      <c r="O22" s="41" t="s">
        <v>387</v>
      </c>
      <c r="P22" s="40">
        <f>100-W22*2</f>
        <v>98</v>
      </c>
      <c r="Q22" s="41" t="s">
        <v>387</v>
      </c>
      <c r="R22" s="40">
        <f>100-W22*2</f>
        <v>98</v>
      </c>
      <c r="S22" s="41" t="s">
        <v>387</v>
      </c>
      <c r="T22" s="40">
        <f>100-W22*2</f>
        <v>98</v>
      </c>
      <c r="U22" s="41"/>
      <c r="V22" s="81"/>
      <c r="W22" s="79">
        <v>1</v>
      </c>
    </row>
    <row r="23" spans="1:23" ht="60">
      <c r="A23" s="120"/>
      <c r="B23" s="41" t="s">
        <v>157</v>
      </c>
      <c r="C23" s="41" t="s">
        <v>375</v>
      </c>
      <c r="D23" s="74">
        <v>100</v>
      </c>
      <c r="E23" s="41" t="s">
        <v>355</v>
      </c>
      <c r="F23" s="40">
        <f t="shared" ref="F23:F24" si="0">100+W23</f>
        <v>100.5</v>
      </c>
      <c r="G23" s="41" t="s">
        <v>355</v>
      </c>
      <c r="H23" s="40">
        <f>100+W23</f>
        <v>100.5</v>
      </c>
      <c r="I23" s="41" t="s">
        <v>355</v>
      </c>
      <c r="J23" s="40">
        <f>100+W23</f>
        <v>100.5</v>
      </c>
      <c r="K23" s="41" t="s">
        <v>355</v>
      </c>
      <c r="L23" s="40">
        <f>100+W23</f>
        <v>100.5</v>
      </c>
      <c r="M23" s="41" t="s">
        <v>355</v>
      </c>
      <c r="N23" s="40">
        <f>100+W23</f>
        <v>100.5</v>
      </c>
      <c r="O23" s="41" t="s">
        <v>355</v>
      </c>
      <c r="P23" s="40">
        <f>100+W23</f>
        <v>100.5</v>
      </c>
      <c r="Q23" s="41" t="s">
        <v>355</v>
      </c>
      <c r="R23" s="40">
        <f>100+W23</f>
        <v>100.5</v>
      </c>
      <c r="S23" s="41" t="s">
        <v>355</v>
      </c>
      <c r="T23" s="40">
        <f>100+W23</f>
        <v>100.5</v>
      </c>
      <c r="U23" s="41" t="s">
        <v>336</v>
      </c>
      <c r="V23" s="74">
        <v>100</v>
      </c>
      <c r="W23" s="79">
        <v>0.5</v>
      </c>
    </row>
    <row r="24" spans="1:23" ht="36">
      <c r="A24" s="120"/>
      <c r="B24" s="41" t="s">
        <v>156</v>
      </c>
      <c r="C24" s="41" t="s">
        <v>155</v>
      </c>
      <c r="D24" s="74">
        <v>100</v>
      </c>
      <c r="E24" s="41" t="s">
        <v>356</v>
      </c>
      <c r="F24" s="40">
        <f t="shared" si="0"/>
        <v>102.5</v>
      </c>
      <c r="G24" s="41" t="s">
        <v>356</v>
      </c>
      <c r="H24" s="40">
        <f>100+$W$24</f>
        <v>102.5</v>
      </c>
      <c r="I24" s="41" t="s">
        <v>356</v>
      </c>
      <c r="J24" s="40">
        <f>100+$W$24</f>
        <v>102.5</v>
      </c>
      <c r="K24" s="41" t="s">
        <v>356</v>
      </c>
      <c r="L24" s="40">
        <f>100+W24</f>
        <v>102.5</v>
      </c>
      <c r="M24" s="41" t="s">
        <v>356</v>
      </c>
      <c r="N24" s="40">
        <f>100+W24</f>
        <v>102.5</v>
      </c>
      <c r="O24" s="41" t="s">
        <v>356</v>
      </c>
      <c r="P24" s="40">
        <f>100+W24</f>
        <v>102.5</v>
      </c>
      <c r="Q24" s="41" t="s">
        <v>356</v>
      </c>
      <c r="R24" s="40">
        <f>100+W24</f>
        <v>102.5</v>
      </c>
      <c r="S24" s="41" t="s">
        <v>356</v>
      </c>
      <c r="T24" s="40">
        <f>100+W24</f>
        <v>102.5</v>
      </c>
      <c r="U24" s="41" t="s">
        <v>335</v>
      </c>
      <c r="V24" s="74">
        <v>100</v>
      </c>
      <c r="W24" s="79">
        <v>2.5</v>
      </c>
    </row>
    <row r="25" spans="1:23">
      <c r="A25" s="122" t="s">
        <v>153</v>
      </c>
      <c r="B25" s="122"/>
      <c r="C25" s="123" t="s">
        <v>151</v>
      </c>
      <c r="D25" s="123"/>
      <c r="E25" s="121">
        <f>E5</f>
        <v>53.19</v>
      </c>
      <c r="F25" s="121"/>
      <c r="G25" s="121">
        <f>G5</f>
        <v>53.19</v>
      </c>
      <c r="H25" s="121"/>
      <c r="I25" s="121">
        <f>I5</f>
        <v>53.19</v>
      </c>
      <c r="J25" s="121"/>
      <c r="K25" s="121">
        <f>K5</f>
        <v>53.19</v>
      </c>
      <c r="L25" s="121"/>
      <c r="M25" s="121">
        <f>M5</f>
        <v>53.19</v>
      </c>
      <c r="N25" s="121"/>
      <c r="O25" s="121">
        <f>O5</f>
        <v>53.19</v>
      </c>
      <c r="P25" s="121"/>
      <c r="Q25" s="121">
        <f>Q5</f>
        <v>53.19</v>
      </c>
      <c r="R25" s="121"/>
      <c r="S25" s="121">
        <f>S5</f>
        <v>53.19</v>
      </c>
      <c r="T25" s="121"/>
      <c r="U25" s="123">
        <f>U5</f>
        <v>86.965939736464648</v>
      </c>
      <c r="V25" s="123"/>
    </row>
    <row r="26" spans="1:23">
      <c r="A26" s="122" t="s">
        <v>152</v>
      </c>
      <c r="B26" s="122"/>
      <c r="C26" s="123" t="s">
        <v>151</v>
      </c>
      <c r="D26" s="123"/>
      <c r="E26" s="124">
        <f>ROUND(E25/POWER(100,COUNT(F6:F24))*PRODUCT(F6:F24),2)</f>
        <v>57.82</v>
      </c>
      <c r="F26" s="124"/>
      <c r="G26" s="124">
        <f>ROUND(G25/POWER(100,COUNT(H6:H24))*PRODUCT(H6:H24),2)</f>
        <v>60.43</v>
      </c>
      <c r="H26" s="124"/>
      <c r="I26" s="124">
        <f>ROUND(I25/POWER(100,COUNT(J6:J24))*PRODUCT(J6:J24),2)</f>
        <v>58.67</v>
      </c>
      <c r="J26" s="124"/>
      <c r="K26" s="124">
        <f>ROUND(K25/POWER(100,COUNT(L6:L24))*PRODUCT(L6:L24),2)</f>
        <v>61.3</v>
      </c>
      <c r="L26" s="124"/>
      <c r="M26" s="124">
        <f>ROUND(M25/POWER(100,COUNT(N6:N24))*PRODUCT(N6:N24),2)</f>
        <v>61.32</v>
      </c>
      <c r="N26" s="124"/>
      <c r="O26" s="124">
        <f>ROUND(O25/POWER(100,COUNT(P6:P24))*PRODUCT(P6:P24),2)</f>
        <v>61.31</v>
      </c>
      <c r="P26" s="124"/>
      <c r="Q26" s="124">
        <f>ROUND(Q25/POWER(100,COUNT(R6:R24))*PRODUCT(R6:R24),2)</f>
        <v>59.25</v>
      </c>
      <c r="R26" s="124"/>
      <c r="S26" s="124">
        <f>ROUND(S25/POWER(100,COUNT(T6:T24))*PRODUCT(T6:T24),2)</f>
        <v>61.01</v>
      </c>
      <c r="T26" s="124"/>
      <c r="U26" s="124">
        <f>ROUND(U25*POWER(100,COUNT(V6:V24))/PRODUCT(V6:V24),2)</f>
        <v>89.64</v>
      </c>
      <c r="V26" s="124"/>
    </row>
    <row r="27" spans="1:23" ht="14.25" hidden="1">
      <c r="A27" s="115" t="str">
        <f>CONCATENATE("估价对象比较价值=(",TEXT(M26,"G/通用格式"),"+",TEXT(O26,"G/通用格式"),"+",TEXT(S26,"G/通用格式"),")","/",3,"=",ROUND((M26+O26+S26)/3,2))</f>
        <v>估价对象比较价值=(61.32+61.31+61.01)/3=61.21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38"/>
      <c r="T27" s="38"/>
    </row>
    <row r="30" spans="1:23">
      <c r="C30" s="34">
        <f>ROUND((M26+O26+S26)/3,2)</f>
        <v>61.21</v>
      </c>
      <c r="E30" s="34">
        <f>ROUND(E26/E25,4)</f>
        <v>1.087</v>
      </c>
      <c r="G30" s="34">
        <f>ROUND(G26/G25,4)</f>
        <v>1.1361000000000001</v>
      </c>
      <c r="I30" s="34">
        <f>ROUND(I26/I25,4)</f>
        <v>1.103</v>
      </c>
      <c r="K30" s="34">
        <f>ROUND(K26/K25,4)</f>
        <v>1.1525000000000001</v>
      </c>
      <c r="M30" s="34">
        <f>ROUND(M26/M25,4)</f>
        <v>1.1528</v>
      </c>
      <c r="O30" s="34">
        <f>ROUND(O26/O25,4)</f>
        <v>1.1527000000000001</v>
      </c>
      <c r="Q30" s="34">
        <f>ROUND(Q26/Q25,4)</f>
        <v>1.1138999999999999</v>
      </c>
      <c r="S30" s="34">
        <f>ROUND(S26/S25,4)</f>
        <v>1.147</v>
      </c>
    </row>
    <row r="32" spans="1:23">
      <c r="C32" s="78">
        <f>M25</f>
        <v>53.19</v>
      </c>
      <c r="M32" s="34">
        <f>ROUND(M25*M30,2)</f>
        <v>61.32</v>
      </c>
      <c r="O32" s="34">
        <f>ROUND(O25*O30,2)</f>
        <v>61.31</v>
      </c>
      <c r="Q32" s="34">
        <f>ROUND(Q25*Q30,2)</f>
        <v>59.25</v>
      </c>
      <c r="S32" s="34">
        <f>ROUND(S25*S30,2)</f>
        <v>61.01</v>
      </c>
    </row>
    <row r="34" spans="1:20" ht="14.25" customHeight="1">
      <c r="A34" s="123" t="s">
        <v>186</v>
      </c>
      <c r="B34" s="123"/>
      <c r="C34" s="130" t="str">
        <f>标准房测算表!C4</f>
        <v>朝新嘉园</v>
      </c>
      <c r="D34" s="126"/>
      <c r="E34" s="132" t="str">
        <f>小区明细!B3</f>
        <v>驹子房</v>
      </c>
      <c r="F34" s="126"/>
      <c r="G34" s="132" t="str">
        <f>小区明细!B4</f>
        <v>东湾家园</v>
      </c>
      <c r="H34" s="126"/>
      <c r="I34" s="132" t="str">
        <f>小区明细!B5</f>
        <v>首开畅颐园</v>
      </c>
      <c r="J34" s="126"/>
      <c r="K34" s="132" t="str">
        <f>小区明细!B6</f>
        <v>恒大江湾</v>
      </c>
      <c r="L34" s="126"/>
      <c r="M34" s="132" t="str">
        <f>小区明细!B7</f>
        <v>首城东郡汇</v>
      </c>
      <c r="N34" s="126"/>
      <c r="O34" s="132" t="str">
        <f>小区明细!B8</f>
        <v>福润四季</v>
      </c>
      <c r="P34" s="126"/>
      <c r="Q34" s="132" t="str">
        <f>小区明细!B9</f>
        <v>悦和园</v>
      </c>
      <c r="R34" s="126"/>
      <c r="S34" s="132" t="str">
        <f>小区明细!B10</f>
        <v>景和园</v>
      </c>
      <c r="T34" s="126"/>
    </row>
    <row r="35" spans="1:20" ht="32.25" customHeight="1">
      <c r="A35" s="134" t="s">
        <v>391</v>
      </c>
      <c r="B35" s="123"/>
      <c r="C35" s="130">
        <f>标准房测算表!C27</f>
        <v>53.19</v>
      </c>
      <c r="D35" s="126"/>
      <c r="E35" s="133">
        <f>E26</f>
        <v>57.82</v>
      </c>
      <c r="F35" s="126"/>
      <c r="G35" s="133">
        <f>G26</f>
        <v>60.43</v>
      </c>
      <c r="H35" s="126"/>
      <c r="I35" s="133">
        <f>I26</f>
        <v>58.67</v>
      </c>
      <c r="J35" s="126"/>
      <c r="K35" s="133">
        <f t="shared" ref="K35" si="1">K26</f>
        <v>61.3</v>
      </c>
      <c r="L35" s="126"/>
      <c r="M35" s="133">
        <f t="shared" ref="M35" si="2">M26</f>
        <v>61.32</v>
      </c>
      <c r="N35" s="126"/>
      <c r="O35" s="133">
        <f t="shared" ref="O35" si="3">O26</f>
        <v>61.31</v>
      </c>
      <c r="P35" s="126"/>
      <c r="Q35" s="133">
        <f t="shared" ref="Q35" si="4">Q26</f>
        <v>59.25</v>
      </c>
      <c r="R35" s="126"/>
      <c r="S35" s="133">
        <f t="shared" ref="S35" si="5">S26</f>
        <v>61.01</v>
      </c>
      <c r="T35" s="126"/>
    </row>
    <row r="36" spans="1:20" ht="14.25" customHeight="1">
      <c r="A36" s="134" t="s">
        <v>392</v>
      </c>
      <c r="B36" s="123"/>
      <c r="C36" s="130">
        <v>1.55</v>
      </c>
      <c r="D36" s="126"/>
      <c r="E36" s="132">
        <v>4</v>
      </c>
      <c r="F36" s="126"/>
      <c r="G36" s="132">
        <v>3.2</v>
      </c>
      <c r="H36" s="126"/>
      <c r="I36" s="132">
        <v>3.7</v>
      </c>
      <c r="J36" s="126"/>
      <c r="K36" s="132">
        <v>3</v>
      </c>
      <c r="L36" s="126"/>
      <c r="M36" s="132">
        <v>2.9</v>
      </c>
      <c r="N36" s="126"/>
      <c r="O36" s="132">
        <v>1.98</v>
      </c>
      <c r="P36" s="126"/>
      <c r="Q36" s="132">
        <v>1.98</v>
      </c>
      <c r="R36" s="126"/>
      <c r="S36" s="132">
        <v>1.95</v>
      </c>
      <c r="T36" s="126"/>
    </row>
    <row r="37" spans="1:20" ht="29.25" customHeight="1">
      <c r="A37" s="134" t="s">
        <v>393</v>
      </c>
      <c r="B37" s="123"/>
      <c r="C37" s="130">
        <f>ROUND(SUM(C35:D36),2)</f>
        <v>54.74</v>
      </c>
      <c r="D37" s="126"/>
      <c r="E37" s="130">
        <f t="shared" ref="E37" si="6">ROUND(SUM(E35:F36),2)</f>
        <v>61.82</v>
      </c>
      <c r="F37" s="126"/>
      <c r="G37" s="130">
        <f t="shared" ref="G37" si="7">ROUND(SUM(G35:H36),2)</f>
        <v>63.63</v>
      </c>
      <c r="H37" s="126"/>
      <c r="I37" s="130">
        <f t="shared" ref="I37" si="8">ROUND(SUM(I35:J36),2)</f>
        <v>62.37</v>
      </c>
      <c r="J37" s="126"/>
      <c r="K37" s="130">
        <f t="shared" ref="K37" si="9">ROUND(SUM(K35:L36),2)</f>
        <v>64.3</v>
      </c>
      <c r="L37" s="126"/>
      <c r="M37" s="130">
        <f t="shared" ref="M37" si="10">ROUND(SUM(M35:N36),2)</f>
        <v>64.22</v>
      </c>
      <c r="N37" s="126"/>
      <c r="O37" s="130">
        <f t="shared" ref="O37" si="11">ROUND(SUM(O35:P36),2)</f>
        <v>63.29</v>
      </c>
      <c r="P37" s="126"/>
      <c r="Q37" s="130">
        <f t="shared" ref="Q37" si="12">ROUND(SUM(Q35:R36),2)</f>
        <v>61.23</v>
      </c>
      <c r="R37" s="126"/>
      <c r="S37" s="130">
        <f t="shared" ref="S37" si="13">ROUND(SUM(S35:T36),2)</f>
        <v>62.96</v>
      </c>
      <c r="T37" s="126"/>
    </row>
    <row r="38" spans="1:20" ht="14.25" customHeight="1">
      <c r="A38" s="134" t="s">
        <v>389</v>
      </c>
      <c r="B38" s="123"/>
      <c r="C38" s="130">
        <v>24347.09</v>
      </c>
      <c r="D38" s="126"/>
      <c r="E38" s="130">
        <v>10004.040000000001</v>
      </c>
      <c r="F38" s="126"/>
      <c r="G38" s="130">
        <v>4075.23</v>
      </c>
      <c r="H38" s="126"/>
      <c r="I38" s="130">
        <v>3175.94</v>
      </c>
      <c r="J38" s="126"/>
      <c r="K38" s="130">
        <v>54.95</v>
      </c>
      <c r="L38" s="126"/>
      <c r="M38" s="130">
        <v>76.349999999999994</v>
      </c>
      <c r="N38" s="126"/>
      <c r="O38" s="130">
        <v>74.17</v>
      </c>
      <c r="P38" s="126"/>
      <c r="Q38" s="130">
        <v>144.97999999999999</v>
      </c>
      <c r="R38" s="126"/>
      <c r="S38" s="130">
        <v>242.04</v>
      </c>
      <c r="T38" s="126"/>
    </row>
    <row r="39" spans="1:20" ht="14.25" customHeight="1">
      <c r="A39" s="134" t="s">
        <v>390</v>
      </c>
      <c r="B39" s="123"/>
      <c r="C39" s="130">
        <f>ROUND(C37*C38,2)</f>
        <v>1332759.71</v>
      </c>
      <c r="D39" s="126"/>
      <c r="E39" s="130">
        <f t="shared" ref="E39" si="14">ROUND(E37*E38,2)</f>
        <v>618449.75</v>
      </c>
      <c r="F39" s="126"/>
      <c r="G39" s="130">
        <f t="shared" ref="G39" si="15">ROUND(G37*G38,2)</f>
        <v>259306.88</v>
      </c>
      <c r="H39" s="126"/>
      <c r="I39" s="130">
        <f t="shared" ref="I39" si="16">ROUND(I37*I38,2)</f>
        <v>198083.38</v>
      </c>
      <c r="J39" s="126"/>
      <c r="K39" s="130">
        <f t="shared" ref="K39" si="17">ROUND(K37*K38,2)</f>
        <v>3533.29</v>
      </c>
      <c r="L39" s="126"/>
      <c r="M39" s="130">
        <f t="shared" ref="M39" si="18">ROUND(M37*M38,2)</f>
        <v>4903.2</v>
      </c>
      <c r="N39" s="126"/>
      <c r="O39" s="130">
        <f t="shared" ref="O39" si="19">ROUND(O37*O38,2)</f>
        <v>4694.22</v>
      </c>
      <c r="P39" s="126"/>
      <c r="Q39" s="130">
        <f t="shared" ref="Q39" si="20">ROUND(Q37*Q38,2)</f>
        <v>8877.1299999999992</v>
      </c>
      <c r="R39" s="126"/>
      <c r="S39" s="130">
        <f t="shared" ref="S39" si="21">ROUND(S37*S38,2)</f>
        <v>15238.84</v>
      </c>
      <c r="T39" s="126"/>
    </row>
    <row r="40" spans="1:20" ht="14.25" customHeight="1">
      <c r="A40" s="134" t="s">
        <v>394</v>
      </c>
      <c r="B40" s="123"/>
      <c r="C40" s="130">
        <f>ROUND(SUM(C39:T39),2)</f>
        <v>2445846.4</v>
      </c>
      <c r="D40" s="126"/>
      <c r="E40" s="130"/>
      <c r="F40" s="126"/>
      <c r="G40" s="130"/>
      <c r="H40" s="126"/>
      <c r="I40" s="130"/>
      <c r="J40" s="126"/>
      <c r="K40" s="130"/>
      <c r="L40" s="126"/>
      <c r="M40" s="130"/>
      <c r="N40" s="126"/>
      <c r="O40" s="130"/>
      <c r="P40" s="126"/>
      <c r="Q40" s="130"/>
      <c r="R40" s="126"/>
      <c r="S40" s="130"/>
      <c r="T40" s="126"/>
    </row>
    <row r="41" spans="1:20" ht="33.75" customHeight="1">
      <c r="A41" s="134" t="s">
        <v>395</v>
      </c>
      <c r="B41" s="123"/>
      <c r="C41" s="130">
        <f>ROUND(C40/SUM(C38:T38),2)</f>
        <v>57.97</v>
      </c>
      <c r="D41" s="126"/>
      <c r="E41" s="130"/>
      <c r="F41" s="126"/>
      <c r="G41" s="130"/>
      <c r="H41" s="126"/>
      <c r="I41" s="130"/>
      <c r="J41" s="126"/>
      <c r="K41" s="130"/>
      <c r="L41" s="126"/>
      <c r="M41" s="130"/>
      <c r="N41" s="126"/>
      <c r="O41" s="130"/>
      <c r="P41" s="126"/>
      <c r="Q41" s="130"/>
      <c r="R41" s="126"/>
      <c r="S41" s="130"/>
      <c r="T41" s="126"/>
    </row>
    <row r="49" ht="15" customHeight="1"/>
  </sheetData>
  <mergeCells count="141"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H34" sqref="H34"/>
    </sheetView>
  </sheetViews>
  <sheetFormatPr defaultRowHeight="13.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7" t="s">
        <v>310</v>
      </c>
      <c r="B1" s="77" t="s">
        <v>309</v>
      </c>
      <c r="C1" s="77" t="s">
        <v>308</v>
      </c>
      <c r="D1" s="77" t="s">
        <v>307</v>
      </c>
      <c r="E1" s="77" t="s">
        <v>306</v>
      </c>
      <c r="F1" s="77" t="s">
        <v>305</v>
      </c>
      <c r="G1" s="77" t="s">
        <v>304</v>
      </c>
    </row>
    <row r="2" spans="1:7">
      <c r="A2" s="142">
        <v>1</v>
      </c>
      <c r="B2" s="141" t="s">
        <v>303</v>
      </c>
      <c r="C2" s="141" t="s">
        <v>302</v>
      </c>
      <c r="D2" s="142">
        <v>133</v>
      </c>
      <c r="E2" s="77" t="s">
        <v>295</v>
      </c>
      <c r="F2" s="76">
        <v>27</v>
      </c>
      <c r="G2" s="141" t="s">
        <v>301</v>
      </c>
    </row>
    <row r="3" spans="1:7">
      <c r="A3" s="142"/>
      <c r="B3" s="141"/>
      <c r="C3" s="141"/>
      <c r="D3" s="142"/>
      <c r="E3" s="77" t="s">
        <v>311</v>
      </c>
      <c r="F3" s="76">
        <v>36</v>
      </c>
      <c r="G3" s="142"/>
    </row>
    <row r="4" spans="1:7">
      <c r="A4" s="142"/>
      <c r="B4" s="141"/>
      <c r="C4" s="141"/>
      <c r="D4" s="142"/>
      <c r="E4" s="77" t="s">
        <v>298</v>
      </c>
      <c r="F4" s="76">
        <v>30</v>
      </c>
      <c r="G4" s="142"/>
    </row>
    <row r="5" spans="1:7">
      <c r="A5" s="142"/>
      <c r="B5" s="141"/>
      <c r="C5" s="141"/>
      <c r="D5" s="142"/>
      <c r="E5" s="77" t="s">
        <v>312</v>
      </c>
      <c r="F5" s="76">
        <v>40</v>
      </c>
      <c r="G5" s="142"/>
    </row>
    <row r="6" spans="1:7">
      <c r="A6" s="142"/>
      <c r="B6" s="141"/>
      <c r="C6" s="141" t="s">
        <v>300</v>
      </c>
      <c r="D6" s="142">
        <v>95</v>
      </c>
      <c r="E6" s="77" t="s">
        <v>295</v>
      </c>
      <c r="F6" s="76">
        <v>45</v>
      </c>
      <c r="G6" s="142"/>
    </row>
    <row r="7" spans="1:7">
      <c r="A7" s="142"/>
      <c r="B7" s="141"/>
      <c r="C7" s="141"/>
      <c r="D7" s="142"/>
      <c r="E7" s="95" t="s">
        <v>282</v>
      </c>
      <c r="F7" s="95">
        <v>50</v>
      </c>
      <c r="G7" s="142"/>
    </row>
    <row r="8" spans="1:7">
      <c r="A8" s="76">
        <v>2</v>
      </c>
      <c r="B8" s="77" t="s">
        <v>299</v>
      </c>
      <c r="C8" s="77" t="s">
        <v>283</v>
      </c>
      <c r="D8" s="76">
        <v>59</v>
      </c>
      <c r="E8" s="95" t="s">
        <v>298</v>
      </c>
      <c r="F8" s="95">
        <v>59</v>
      </c>
      <c r="G8" s="77" t="s">
        <v>297</v>
      </c>
    </row>
    <row r="9" spans="1:7">
      <c r="A9" s="141">
        <v>3</v>
      </c>
      <c r="B9" s="141" t="s">
        <v>296</v>
      </c>
      <c r="C9" s="141" t="s">
        <v>280</v>
      </c>
      <c r="D9" s="141">
        <v>54</v>
      </c>
      <c r="E9" s="77" t="s">
        <v>295</v>
      </c>
      <c r="F9" s="76">
        <v>1</v>
      </c>
      <c r="G9" s="141" t="s">
        <v>294</v>
      </c>
    </row>
    <row r="10" spans="1:7">
      <c r="A10" s="141"/>
      <c r="B10" s="141"/>
      <c r="C10" s="141"/>
      <c r="D10" s="141"/>
      <c r="E10" s="95" t="s">
        <v>290</v>
      </c>
      <c r="F10" s="95">
        <v>31</v>
      </c>
      <c r="G10" s="141"/>
    </row>
    <row r="11" spans="1:7">
      <c r="A11" s="141"/>
      <c r="B11" s="141"/>
      <c r="C11" s="141"/>
      <c r="D11" s="141"/>
      <c r="E11" s="77" t="s">
        <v>282</v>
      </c>
      <c r="F11" s="76">
        <v>14</v>
      </c>
      <c r="G11" s="141"/>
    </row>
    <row r="12" spans="1:7">
      <c r="A12" s="141"/>
      <c r="B12" s="141"/>
      <c r="C12" s="141"/>
      <c r="D12" s="141"/>
      <c r="E12" s="77" t="s">
        <v>293</v>
      </c>
      <c r="F12" s="76">
        <v>8</v>
      </c>
      <c r="G12" s="141"/>
    </row>
    <row r="13" spans="1:7">
      <c r="A13" s="76">
        <v>4</v>
      </c>
      <c r="B13" s="77" t="s">
        <v>292</v>
      </c>
      <c r="C13" s="77" t="s">
        <v>291</v>
      </c>
      <c r="D13" s="76">
        <v>1</v>
      </c>
      <c r="E13" s="95" t="s">
        <v>290</v>
      </c>
      <c r="F13" s="95">
        <v>1</v>
      </c>
      <c r="G13" s="77" t="s">
        <v>289</v>
      </c>
    </row>
    <row r="14" spans="1:7">
      <c r="A14" s="76">
        <v>5</v>
      </c>
      <c r="B14" s="77" t="s">
        <v>288</v>
      </c>
      <c r="C14" s="77" t="s">
        <v>283</v>
      </c>
      <c r="D14" s="76">
        <v>1</v>
      </c>
      <c r="E14" s="95" t="s">
        <v>287</v>
      </c>
      <c r="F14" s="95">
        <v>1</v>
      </c>
      <c r="G14" s="77" t="s">
        <v>286</v>
      </c>
    </row>
    <row r="15" spans="1:7">
      <c r="A15" s="76">
        <v>6</v>
      </c>
      <c r="B15" s="77" t="s">
        <v>285</v>
      </c>
      <c r="C15" s="77" t="s">
        <v>280</v>
      </c>
      <c r="D15" s="76">
        <v>1</v>
      </c>
      <c r="E15" s="95" t="s">
        <v>372</v>
      </c>
      <c r="F15" s="95">
        <v>1</v>
      </c>
      <c r="G15" s="80" t="s">
        <v>297</v>
      </c>
    </row>
    <row r="16" spans="1:7">
      <c r="A16" s="76">
        <v>7</v>
      </c>
      <c r="B16" s="76" t="s">
        <v>284</v>
      </c>
      <c r="C16" s="76" t="s">
        <v>283</v>
      </c>
      <c r="D16" s="76">
        <v>2</v>
      </c>
      <c r="E16" s="95" t="s">
        <v>282</v>
      </c>
      <c r="F16" s="95">
        <v>2</v>
      </c>
      <c r="G16" s="77" t="s">
        <v>297</v>
      </c>
    </row>
    <row r="17" spans="1:8">
      <c r="A17" s="142">
        <v>8</v>
      </c>
      <c r="B17" s="142" t="s">
        <v>281</v>
      </c>
      <c r="C17" s="142" t="s">
        <v>280</v>
      </c>
      <c r="D17" s="142">
        <v>3</v>
      </c>
      <c r="E17" s="95" t="s">
        <v>287</v>
      </c>
      <c r="F17" s="95">
        <v>2</v>
      </c>
      <c r="G17" s="142" t="s">
        <v>373</v>
      </c>
    </row>
    <row r="18" spans="1:8">
      <c r="A18" s="142"/>
      <c r="B18" s="142"/>
      <c r="C18" s="142"/>
      <c r="D18" s="142"/>
      <c r="E18" s="80" t="s">
        <v>282</v>
      </c>
      <c r="F18" s="76">
        <v>1</v>
      </c>
      <c r="G18" s="142"/>
    </row>
    <row r="19" spans="1:8">
      <c r="A19" s="135">
        <v>9</v>
      </c>
      <c r="B19" s="138" t="s">
        <v>279</v>
      </c>
      <c r="C19" s="138" t="s">
        <v>278</v>
      </c>
      <c r="D19" s="135">
        <v>580</v>
      </c>
      <c r="E19" s="108" t="s">
        <v>277</v>
      </c>
      <c r="F19" s="108">
        <v>267</v>
      </c>
      <c r="G19" s="138" t="s">
        <v>430</v>
      </c>
    </row>
    <row r="20" spans="1:8">
      <c r="A20" s="136"/>
      <c r="B20" s="139"/>
      <c r="C20" s="139"/>
      <c r="D20" s="136"/>
      <c r="E20" s="94" t="s">
        <v>277</v>
      </c>
      <c r="F20" s="94">
        <v>23</v>
      </c>
      <c r="G20" s="139"/>
      <c r="H20" s="43" t="s">
        <v>427</v>
      </c>
    </row>
    <row r="21" spans="1:8">
      <c r="A21" s="136"/>
      <c r="B21" s="139"/>
      <c r="C21" s="139"/>
      <c r="D21" s="136"/>
      <c r="E21" s="95" t="s">
        <v>276</v>
      </c>
      <c r="F21" s="95">
        <v>267</v>
      </c>
      <c r="G21" s="139"/>
    </row>
    <row r="22" spans="1:8">
      <c r="A22" s="137"/>
      <c r="B22" s="140"/>
      <c r="C22" s="140"/>
      <c r="D22" s="137"/>
      <c r="E22" s="77" t="s">
        <v>276</v>
      </c>
      <c r="F22" s="76">
        <v>23</v>
      </c>
      <c r="G22" s="140"/>
    </row>
  </sheetData>
  <mergeCells count="22">
    <mergeCell ref="G17:G18"/>
    <mergeCell ref="C17:C18"/>
    <mergeCell ref="A17:A18"/>
    <mergeCell ref="B17:B18"/>
    <mergeCell ref="D17:D18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A19:A22"/>
    <mergeCell ref="B19:B22"/>
    <mergeCell ref="C19:C22"/>
    <mergeCell ref="D19:D22"/>
    <mergeCell ref="G19:G2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Q13"/>
  <sheetViews>
    <sheetView zoomScaleNormal="100" workbookViewId="0">
      <selection activeCell="E9" sqref="E9"/>
    </sheetView>
  </sheetViews>
  <sheetFormatPr defaultRowHeight="13.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428</v>
      </c>
      <c r="C3" s="144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0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45" t="s">
        <v>16</v>
      </c>
      <c r="P3" s="145" t="s">
        <v>17</v>
      </c>
    </row>
    <row r="4" spans="1:16" ht="29.1" customHeight="1">
      <c r="A4" s="4" t="s">
        <v>18</v>
      </c>
      <c r="B4" s="5" t="s">
        <v>19</v>
      </c>
      <c r="C4" s="145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0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45"/>
      <c r="P4" s="145"/>
    </row>
    <row r="5" spans="1:16" ht="29.25" customHeight="1">
      <c r="A5" s="4" t="s">
        <v>20</v>
      </c>
      <c r="B5" s="6" t="s">
        <v>21</v>
      </c>
      <c r="C5" s="146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0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45"/>
      <c r="P5" s="145"/>
    </row>
    <row r="6" spans="1:16" ht="29.25" customHeight="1">
      <c r="A6" s="4" t="s">
        <v>22</v>
      </c>
      <c r="B6" s="6" t="s">
        <v>23</v>
      </c>
      <c r="C6" s="146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0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45"/>
      <c r="P6" s="145"/>
    </row>
    <row r="7" spans="1:16" ht="29.25" customHeight="1">
      <c r="A7" s="4" t="s">
        <v>26</v>
      </c>
      <c r="B7" s="6" t="s">
        <v>27</v>
      </c>
      <c r="C7" s="146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0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45"/>
      <c r="P7" s="145"/>
    </row>
    <row r="8" spans="1:16" ht="29.25" customHeight="1">
      <c r="A8" s="4" t="s">
        <v>30</v>
      </c>
      <c r="B8" s="6" t="s">
        <v>31</v>
      </c>
      <c r="C8" s="146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0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45"/>
      <c r="P8" s="145"/>
    </row>
    <row r="9" spans="1:16" ht="29.25" customHeight="1">
      <c r="A9" s="4" t="s">
        <v>33</v>
      </c>
      <c r="B9" s="6" t="s">
        <v>34</v>
      </c>
      <c r="C9" s="146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0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45"/>
      <c r="P9" s="145"/>
    </row>
    <row r="10" spans="1:16" ht="29.25" customHeight="1">
      <c r="A10" s="4" t="s">
        <v>36</v>
      </c>
      <c r="B10" s="6" t="s">
        <v>37</v>
      </c>
      <c r="C10" s="146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0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45"/>
      <c r="P10" s="145"/>
    </row>
    <row r="11" spans="1:16" ht="29.25" customHeight="1">
      <c r="A11" s="4" t="s">
        <v>39</v>
      </c>
      <c r="B11" s="6" t="s">
        <v>40</v>
      </c>
      <c r="C11" s="147"/>
      <c r="D11" s="19" t="s">
        <v>40</v>
      </c>
      <c r="E11" s="18" t="s">
        <v>204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45"/>
      <c r="P11" s="145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45"/>
      <c r="P12" s="145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45"/>
      <c r="P13" s="145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8"/>
  <sheetViews>
    <sheetView topLeftCell="G1" workbookViewId="0">
      <selection activeCell="A53" activeCellId="2" sqref="A50:XFD50 A51:XFD51 A53:XFD53"/>
    </sheetView>
  </sheetViews>
  <sheetFormatPr defaultRowHeight="13.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48" t="s">
        <v>221</v>
      </c>
      <c r="B1" s="148"/>
      <c r="C1" s="148"/>
      <c r="D1" s="148"/>
      <c r="E1" s="148"/>
      <c r="F1" s="148"/>
      <c r="H1" s="148" t="s">
        <v>222</v>
      </c>
      <c r="I1" s="148"/>
      <c r="J1" s="148"/>
      <c r="K1" s="148"/>
      <c r="L1" s="148"/>
      <c r="M1" s="148"/>
      <c r="O1" s="148" t="s">
        <v>232</v>
      </c>
      <c r="P1" s="148"/>
      <c r="Q1" s="148"/>
      <c r="R1" s="148"/>
      <c r="S1" s="148"/>
      <c r="T1" s="148"/>
    </row>
    <row r="2" spans="1:20">
      <c r="A2" s="57" t="s">
        <v>110</v>
      </c>
      <c r="B2" s="57" t="s">
        <v>193</v>
      </c>
      <c r="C2" s="57" t="s">
        <v>196</v>
      </c>
      <c r="D2" s="59" t="s">
        <v>195</v>
      </c>
      <c r="E2" s="57" t="s">
        <v>194</v>
      </c>
      <c r="F2" s="57" t="s">
        <v>205</v>
      </c>
      <c r="H2" s="57" t="s">
        <v>110</v>
      </c>
      <c r="I2" s="57" t="s">
        <v>193</v>
      </c>
      <c r="J2" s="57" t="s">
        <v>196</v>
      </c>
      <c r="K2" s="59" t="s">
        <v>195</v>
      </c>
      <c r="L2" s="57" t="s">
        <v>194</v>
      </c>
      <c r="M2" s="57" t="s">
        <v>205</v>
      </c>
      <c r="O2" s="57" t="s">
        <v>110</v>
      </c>
      <c r="P2" s="57" t="s">
        <v>193</v>
      </c>
      <c r="Q2" s="57" t="s">
        <v>196</v>
      </c>
      <c r="R2" s="59" t="s">
        <v>195</v>
      </c>
      <c r="S2" s="57" t="s">
        <v>194</v>
      </c>
      <c r="T2" s="57" t="s">
        <v>205</v>
      </c>
    </row>
    <row r="3" spans="1:20" ht="14.25" customHeight="1">
      <c r="A3" s="150">
        <v>1</v>
      </c>
      <c r="B3" s="153" t="s">
        <v>50</v>
      </c>
      <c r="C3" s="57" t="s">
        <v>243</v>
      </c>
      <c r="D3" s="59" t="s">
        <v>244</v>
      </c>
      <c r="E3" s="57">
        <v>65.5</v>
      </c>
      <c r="F3" s="57">
        <f>E3</f>
        <v>65.5</v>
      </c>
      <c r="H3" s="150">
        <v>1</v>
      </c>
      <c r="I3" s="153" t="s">
        <v>247</v>
      </c>
      <c r="J3" s="96" t="s">
        <v>243</v>
      </c>
      <c r="K3" s="96" t="s">
        <v>210</v>
      </c>
      <c r="L3" s="96" t="s">
        <v>210</v>
      </c>
      <c r="M3" s="96" t="s">
        <v>210</v>
      </c>
      <c r="O3" s="150">
        <v>1</v>
      </c>
      <c r="P3" s="153" t="s">
        <v>98</v>
      </c>
      <c r="Q3" s="57" t="s">
        <v>243</v>
      </c>
      <c r="R3" s="59" t="s">
        <v>244</v>
      </c>
      <c r="S3" s="57">
        <v>66.73</v>
      </c>
      <c r="T3" s="57">
        <f>S3</f>
        <v>66.73</v>
      </c>
    </row>
    <row r="4" spans="1:20" ht="14.25" customHeight="1">
      <c r="A4" s="151"/>
      <c r="B4" s="154"/>
      <c r="C4" s="148" t="s">
        <v>199</v>
      </c>
      <c r="D4" s="60">
        <v>2022.7</v>
      </c>
      <c r="E4" s="58">
        <v>70.78</v>
      </c>
      <c r="F4" s="149">
        <f>ROUND(AVERAGE(E4:E5),2)</f>
        <v>71.92</v>
      </c>
      <c r="H4" s="151"/>
      <c r="I4" s="165"/>
      <c r="J4" s="96" t="s">
        <v>224</v>
      </c>
      <c r="K4" s="96" t="s">
        <v>210</v>
      </c>
      <c r="L4" s="96" t="s">
        <v>210</v>
      </c>
      <c r="M4" s="96" t="s">
        <v>210</v>
      </c>
      <c r="O4" s="151"/>
      <c r="P4" s="154"/>
      <c r="Q4" s="148" t="s">
        <v>224</v>
      </c>
      <c r="R4" s="58">
        <v>2022.7</v>
      </c>
      <c r="S4" s="58">
        <v>65.17</v>
      </c>
      <c r="T4" s="149">
        <f>ROUND(AVERAGE(S4:S5),2)</f>
        <v>68.14</v>
      </c>
    </row>
    <row r="5" spans="1:20">
      <c r="A5" s="151"/>
      <c r="B5" s="154"/>
      <c r="C5" s="148"/>
      <c r="D5" s="60">
        <v>2022.8</v>
      </c>
      <c r="E5" s="58">
        <v>73.05</v>
      </c>
      <c r="F5" s="149"/>
      <c r="H5" s="151"/>
      <c r="I5" s="165"/>
      <c r="J5" s="148" t="s">
        <v>229</v>
      </c>
      <c r="K5" s="58">
        <v>2022.11</v>
      </c>
      <c r="L5" s="58">
        <v>66.97</v>
      </c>
      <c r="M5" s="149">
        <f>ROUND(AVERAGE(L5:L6),2)</f>
        <v>66.94</v>
      </c>
      <c r="O5" s="151"/>
      <c r="P5" s="154"/>
      <c r="Q5" s="148"/>
      <c r="R5" s="58">
        <v>2022.9</v>
      </c>
      <c r="S5" s="58">
        <v>71.11</v>
      </c>
      <c r="T5" s="149"/>
    </row>
    <row r="6" spans="1:20">
      <c r="A6" s="151"/>
      <c r="B6" s="154"/>
      <c r="C6" s="148" t="s">
        <v>223</v>
      </c>
      <c r="D6" s="59" t="s">
        <v>198</v>
      </c>
      <c r="E6" s="58">
        <v>75.430000000000007</v>
      </c>
      <c r="F6" s="149">
        <f>ROUND(AVERAGE(E6:E8),2)</f>
        <v>73.349999999999994</v>
      </c>
      <c r="H6" s="151"/>
      <c r="I6" s="165"/>
      <c r="J6" s="149"/>
      <c r="K6" s="58">
        <v>2022.12</v>
      </c>
      <c r="L6" s="58">
        <v>66.900000000000006</v>
      </c>
      <c r="M6" s="149"/>
      <c r="O6" s="151"/>
      <c r="P6" s="154"/>
      <c r="Q6" s="148" t="s">
        <v>229</v>
      </c>
      <c r="R6" s="58">
        <v>2022.11</v>
      </c>
      <c r="S6" s="58">
        <v>68.89</v>
      </c>
      <c r="T6" s="149">
        <f>ROUND(AVERAGE(S6:S7),2)</f>
        <v>72.239999999999995</v>
      </c>
    </row>
    <row r="7" spans="1:20">
      <c r="A7" s="151"/>
      <c r="B7" s="154"/>
      <c r="C7" s="148"/>
      <c r="D7" s="60">
        <v>2022.11</v>
      </c>
      <c r="E7" s="58">
        <v>69.040000000000006</v>
      </c>
      <c r="F7" s="149"/>
      <c r="H7" s="151"/>
      <c r="I7" s="165"/>
      <c r="J7" s="148" t="s">
        <v>231</v>
      </c>
      <c r="K7" s="58">
        <v>2023.1</v>
      </c>
      <c r="L7" s="58">
        <v>67.91</v>
      </c>
      <c r="M7" s="149">
        <f>ROUND(AVERAGE(L7:L9),2)</f>
        <v>69.89</v>
      </c>
      <c r="O7" s="151"/>
      <c r="P7" s="154"/>
      <c r="Q7" s="149"/>
      <c r="R7" s="58">
        <v>2022.11</v>
      </c>
      <c r="S7" s="58">
        <v>75.58</v>
      </c>
      <c r="T7" s="149"/>
    </row>
    <row r="8" spans="1:20">
      <c r="A8" s="151"/>
      <c r="B8" s="154"/>
      <c r="C8" s="148"/>
      <c r="D8" s="60">
        <v>2022.12</v>
      </c>
      <c r="E8" s="58">
        <v>75.58</v>
      </c>
      <c r="F8" s="149"/>
      <c r="H8" s="151"/>
      <c r="I8" s="165"/>
      <c r="J8" s="149"/>
      <c r="K8" s="60">
        <v>2023.2</v>
      </c>
      <c r="L8" s="58">
        <v>69.739999999999995</v>
      </c>
      <c r="M8" s="149"/>
      <c r="O8" s="151"/>
      <c r="P8" s="154"/>
      <c r="Q8" s="148" t="s">
        <v>231</v>
      </c>
      <c r="R8" s="58">
        <v>2023.1</v>
      </c>
      <c r="S8" s="58">
        <v>70.25</v>
      </c>
      <c r="T8" s="149">
        <f>ROUND(AVERAGE(S8:S9),2)</f>
        <v>72.88</v>
      </c>
    </row>
    <row r="9" spans="1:20">
      <c r="A9" s="151"/>
      <c r="B9" s="154"/>
      <c r="C9" s="148" t="s">
        <v>203</v>
      </c>
      <c r="D9" s="60">
        <v>2023.2</v>
      </c>
      <c r="E9" s="58">
        <v>78.599999999999994</v>
      </c>
      <c r="F9" s="149">
        <f>ROUND(AVERAGE(E9:E10),2)</f>
        <v>75.900000000000006</v>
      </c>
      <c r="H9" s="151"/>
      <c r="I9" s="165"/>
      <c r="J9" s="149"/>
      <c r="K9" s="60">
        <v>2023.3</v>
      </c>
      <c r="L9" s="58">
        <v>72.02</v>
      </c>
      <c r="M9" s="149"/>
      <c r="O9" s="151"/>
      <c r="P9" s="154"/>
      <c r="Q9" s="148"/>
      <c r="R9" s="58">
        <v>2023.2</v>
      </c>
      <c r="S9" s="58">
        <v>75.510000000000005</v>
      </c>
      <c r="T9" s="149"/>
    </row>
    <row r="10" spans="1:20">
      <c r="A10" s="151"/>
      <c r="B10" s="154"/>
      <c r="C10" s="148"/>
      <c r="D10" s="60">
        <v>2023.3</v>
      </c>
      <c r="E10" s="58">
        <v>73.2</v>
      </c>
      <c r="F10" s="149"/>
      <c r="H10" s="151"/>
      <c r="I10" s="165"/>
      <c r="J10" s="148" t="s">
        <v>201</v>
      </c>
      <c r="K10" s="60">
        <v>2023.4</v>
      </c>
      <c r="L10" s="58">
        <v>73.06</v>
      </c>
      <c r="M10" s="149">
        <f>ROUND(AVERAGE(L10:L11),2)</f>
        <v>72.56</v>
      </c>
      <c r="O10" s="151"/>
      <c r="P10" s="154"/>
      <c r="Q10" s="148" t="s">
        <v>234</v>
      </c>
      <c r="R10" s="58">
        <v>2023.5</v>
      </c>
      <c r="S10" s="58">
        <v>73.58</v>
      </c>
      <c r="T10" s="149">
        <f>ROUND(AVERAGE(S10:S11),2)</f>
        <v>67.83</v>
      </c>
    </row>
    <row r="11" spans="1:20">
      <c r="A11" s="152"/>
      <c r="B11" s="155"/>
      <c r="C11" s="57" t="s">
        <v>201</v>
      </c>
      <c r="D11" s="60">
        <v>2023.4</v>
      </c>
      <c r="E11" s="58">
        <v>71.88</v>
      </c>
      <c r="F11" s="58">
        <f>ROUND(AVERAGE(E11),2)</f>
        <v>71.88</v>
      </c>
      <c r="H11" s="152"/>
      <c r="I11" s="166"/>
      <c r="J11" s="148"/>
      <c r="K11" s="58">
        <v>2023.5</v>
      </c>
      <c r="L11" s="58">
        <v>72.05</v>
      </c>
      <c r="M11" s="149"/>
      <c r="O11" s="152"/>
      <c r="P11" s="155"/>
      <c r="Q11" s="148"/>
      <c r="R11" s="58">
        <v>2023.5</v>
      </c>
      <c r="S11" s="58">
        <v>62.07</v>
      </c>
      <c r="T11" s="149"/>
    </row>
    <row r="12" spans="1:20">
      <c r="A12" s="148" t="s">
        <v>205</v>
      </c>
      <c r="B12" s="149"/>
      <c r="C12" s="149"/>
      <c r="D12" s="149"/>
      <c r="E12" s="149"/>
      <c r="F12" s="58">
        <f>ROUND(AVERAGE(F3:F11),2)</f>
        <v>71.709999999999994</v>
      </c>
      <c r="H12" s="148" t="s">
        <v>205</v>
      </c>
      <c r="I12" s="149"/>
      <c r="J12" s="149"/>
      <c r="K12" s="149"/>
      <c r="L12" s="149"/>
      <c r="M12" s="58">
        <f>ROUND(AVERAGE(M3:M11),2)</f>
        <v>69.8</v>
      </c>
      <c r="O12" s="148" t="s">
        <v>205</v>
      </c>
      <c r="P12" s="149"/>
      <c r="Q12" s="149"/>
      <c r="R12" s="149"/>
      <c r="S12" s="149"/>
      <c r="T12" s="58">
        <f>ROUND(AVERAGE(T3:T11),2)</f>
        <v>69.56</v>
      </c>
    </row>
    <row r="13" spans="1:20">
      <c r="A13" s="150">
        <v>2</v>
      </c>
      <c r="B13" s="156" t="s">
        <v>226</v>
      </c>
      <c r="C13" s="57" t="s">
        <v>243</v>
      </c>
      <c r="D13" s="59" t="s">
        <v>244</v>
      </c>
      <c r="E13" s="58">
        <v>64.02</v>
      </c>
      <c r="F13" s="58">
        <f>E13</f>
        <v>64.02</v>
      </c>
      <c r="H13" s="159" t="s">
        <v>225</v>
      </c>
      <c r="I13" s="167" t="s">
        <v>92</v>
      </c>
      <c r="J13" s="96" t="s">
        <v>243</v>
      </c>
      <c r="K13" s="96" t="s">
        <v>210</v>
      </c>
      <c r="L13" s="96" t="s">
        <v>210</v>
      </c>
      <c r="M13" s="96" t="s">
        <v>210</v>
      </c>
      <c r="O13" s="150">
        <v>2</v>
      </c>
      <c r="P13" s="159" t="s">
        <v>46</v>
      </c>
      <c r="Q13" s="57" t="s">
        <v>243</v>
      </c>
      <c r="R13" s="59" t="s">
        <v>244</v>
      </c>
      <c r="S13" s="58">
        <v>65.709999999999994</v>
      </c>
      <c r="T13" s="58">
        <f>S13</f>
        <v>65.709999999999994</v>
      </c>
    </row>
    <row r="14" spans="1:20">
      <c r="A14" s="151"/>
      <c r="B14" s="157"/>
      <c r="C14" s="57" t="s">
        <v>199</v>
      </c>
      <c r="D14" s="59" t="s">
        <v>208</v>
      </c>
      <c r="E14" s="58">
        <v>57.6</v>
      </c>
      <c r="F14" s="58">
        <f>E14</f>
        <v>57.6</v>
      </c>
      <c r="H14" s="160"/>
      <c r="I14" s="168"/>
      <c r="J14" s="57" t="s">
        <v>224</v>
      </c>
      <c r="K14" s="59" t="s">
        <v>208</v>
      </c>
      <c r="L14" s="58">
        <v>77.37</v>
      </c>
      <c r="M14" s="62">
        <f>L14</f>
        <v>77.37</v>
      </c>
      <c r="O14" s="151"/>
      <c r="P14" s="160"/>
      <c r="Q14" s="57" t="s">
        <v>224</v>
      </c>
      <c r="R14" s="58">
        <v>2022.9</v>
      </c>
      <c r="S14" s="58">
        <v>57.6</v>
      </c>
      <c r="T14" s="58">
        <f>S14</f>
        <v>57.6</v>
      </c>
    </row>
    <row r="15" spans="1:20">
      <c r="A15" s="151"/>
      <c r="B15" s="157"/>
      <c r="C15" s="57" t="s">
        <v>197</v>
      </c>
      <c r="D15" s="59" t="s">
        <v>207</v>
      </c>
      <c r="E15" s="58">
        <v>57.58</v>
      </c>
      <c r="F15" s="58">
        <f t="shared" ref="F15:F17" si="0">E15</f>
        <v>57.58</v>
      </c>
      <c r="H15" s="160"/>
      <c r="I15" s="168"/>
      <c r="J15" s="162" t="s">
        <v>220</v>
      </c>
      <c r="K15" s="59" t="s">
        <v>207</v>
      </c>
      <c r="L15" s="61">
        <v>101.8</v>
      </c>
      <c r="M15" s="163">
        <f>ROUND(AVERAGE(L15:L16),2)</f>
        <v>106.82</v>
      </c>
      <c r="O15" s="151"/>
      <c r="P15" s="160"/>
      <c r="Q15" s="148" t="s">
        <v>229</v>
      </c>
      <c r="R15" s="59" t="s">
        <v>207</v>
      </c>
      <c r="S15" s="58">
        <v>62.59</v>
      </c>
      <c r="T15" s="149">
        <f>ROUND(AVERAGE(S15:S16),2)</f>
        <v>60.78</v>
      </c>
    </row>
    <row r="16" spans="1:20">
      <c r="A16" s="151"/>
      <c r="B16" s="157"/>
      <c r="C16" s="57" t="s">
        <v>203</v>
      </c>
      <c r="D16" s="59" t="s">
        <v>209</v>
      </c>
      <c r="E16" s="58">
        <v>59.07</v>
      </c>
      <c r="F16" s="58">
        <f t="shared" si="0"/>
        <v>59.07</v>
      </c>
      <c r="H16" s="160"/>
      <c r="I16" s="168"/>
      <c r="J16" s="162"/>
      <c r="K16" s="59" t="s">
        <v>227</v>
      </c>
      <c r="L16" s="61">
        <v>111.83</v>
      </c>
      <c r="M16" s="163"/>
      <c r="O16" s="151"/>
      <c r="P16" s="160"/>
      <c r="Q16" s="149"/>
      <c r="R16" s="59" t="s">
        <v>207</v>
      </c>
      <c r="S16" s="58">
        <v>58.97</v>
      </c>
      <c r="T16" s="149"/>
    </row>
    <row r="17" spans="1:20">
      <c r="A17" s="152"/>
      <c r="B17" s="158"/>
      <c r="C17" s="96" t="s">
        <v>201</v>
      </c>
      <c r="D17" s="98" t="s">
        <v>210</v>
      </c>
      <c r="E17" s="98" t="s">
        <v>210</v>
      </c>
      <c r="F17" s="99" t="str">
        <f t="shared" si="0"/>
        <v>-</v>
      </c>
      <c r="H17" s="160"/>
      <c r="I17" s="168"/>
      <c r="J17" s="162" t="s">
        <v>202</v>
      </c>
      <c r="K17" s="59" t="s">
        <v>209</v>
      </c>
      <c r="L17" s="61">
        <v>62.46</v>
      </c>
      <c r="M17" s="164">
        <f>ROUND(AVERAGE(L17:L18),2)</f>
        <v>63.84</v>
      </c>
      <c r="O17" s="151"/>
      <c r="P17" s="160"/>
      <c r="Q17" s="148" t="s">
        <v>233</v>
      </c>
      <c r="R17" s="58">
        <v>2023.2</v>
      </c>
      <c r="S17" s="58">
        <v>58.23</v>
      </c>
      <c r="T17" s="149">
        <f>ROUND(AVERAGE(S17:S18),2)</f>
        <v>61.84</v>
      </c>
    </row>
    <row r="18" spans="1:20">
      <c r="A18" s="148" t="s">
        <v>205</v>
      </c>
      <c r="B18" s="149"/>
      <c r="C18" s="149"/>
      <c r="D18" s="149"/>
      <c r="E18" s="149"/>
      <c r="F18" s="58">
        <f>ROUND(AVERAGE(F13:F17),2)</f>
        <v>59.57</v>
      </c>
      <c r="H18" s="160"/>
      <c r="I18" s="168"/>
      <c r="J18" s="162"/>
      <c r="K18" s="59" t="s">
        <v>228</v>
      </c>
      <c r="L18" s="58">
        <v>65.22</v>
      </c>
      <c r="M18" s="164"/>
      <c r="O18" s="151"/>
      <c r="P18" s="160"/>
      <c r="Q18" s="148"/>
      <c r="R18" s="58">
        <v>2023.3</v>
      </c>
      <c r="S18" s="58">
        <v>65.44</v>
      </c>
      <c r="T18" s="149"/>
    </row>
    <row r="19" spans="1:20" ht="14.25" customHeight="1">
      <c r="A19" s="150">
        <v>3</v>
      </c>
      <c r="B19" s="153" t="s">
        <v>275</v>
      </c>
      <c r="C19" s="57" t="s">
        <v>243</v>
      </c>
      <c r="D19" s="59" t="s">
        <v>244</v>
      </c>
      <c r="E19" s="57" t="s">
        <v>245</v>
      </c>
      <c r="F19" s="58" t="str">
        <f>E19</f>
        <v>-</v>
      </c>
      <c r="H19" s="160"/>
      <c r="I19" s="168"/>
      <c r="J19" s="149" t="s">
        <v>200</v>
      </c>
      <c r="K19" s="60">
        <v>2023.4</v>
      </c>
      <c r="L19" s="58">
        <v>68.23</v>
      </c>
      <c r="M19" s="164">
        <f>ROUND(AVERAGE(L19:L20),2)</f>
        <v>68.510000000000005</v>
      </c>
      <c r="O19" s="152"/>
      <c r="P19" s="161"/>
      <c r="Q19" s="97" t="s">
        <v>200</v>
      </c>
      <c r="R19" s="97">
        <v>2023.5</v>
      </c>
      <c r="S19" s="97"/>
      <c r="T19" s="97"/>
    </row>
    <row r="20" spans="1:20">
      <c r="A20" s="151"/>
      <c r="B20" s="154"/>
      <c r="C20" s="57" t="s">
        <v>199</v>
      </c>
      <c r="D20" s="59" t="s">
        <v>213</v>
      </c>
      <c r="E20" s="58">
        <v>69.930000000000007</v>
      </c>
      <c r="F20" s="58">
        <f>E20</f>
        <v>69.930000000000007</v>
      </c>
      <c r="H20" s="161"/>
      <c r="I20" s="169"/>
      <c r="J20" s="149"/>
      <c r="K20" s="58">
        <v>2023.5</v>
      </c>
      <c r="L20" s="58">
        <v>68.78</v>
      </c>
      <c r="M20" s="164"/>
      <c r="O20" s="148" t="s">
        <v>205</v>
      </c>
      <c r="P20" s="149"/>
      <c r="Q20" s="149"/>
      <c r="R20" s="149"/>
      <c r="S20" s="149"/>
      <c r="T20" s="58">
        <f>ROUND(AVERAGE(T13:T19),2)</f>
        <v>61.48</v>
      </c>
    </row>
    <row r="21" spans="1:20">
      <c r="A21" s="151"/>
      <c r="B21" s="154"/>
      <c r="C21" s="148" t="s">
        <v>197</v>
      </c>
      <c r="D21" s="59" t="s">
        <v>207</v>
      </c>
      <c r="E21" s="58">
        <v>65.27</v>
      </c>
      <c r="F21" s="149">
        <f>ROUND(AVERAGE(E21:E22),2)</f>
        <v>72.760000000000005</v>
      </c>
      <c r="H21" s="148" t="s">
        <v>205</v>
      </c>
      <c r="I21" s="149"/>
      <c r="J21" s="149"/>
      <c r="K21" s="149"/>
      <c r="L21" s="149"/>
      <c r="M21" s="58">
        <f>ROUND(AVERAGE(M13:M20),2)</f>
        <v>79.14</v>
      </c>
      <c r="O21" s="149">
        <v>3</v>
      </c>
      <c r="P21" s="148" t="s">
        <v>54</v>
      </c>
      <c r="Q21" s="57" t="s">
        <v>243</v>
      </c>
      <c r="R21" s="57" t="s">
        <v>210</v>
      </c>
      <c r="S21" s="57" t="s">
        <v>210</v>
      </c>
      <c r="T21" s="57" t="s">
        <v>210</v>
      </c>
    </row>
    <row r="22" spans="1:20" ht="14.25" customHeight="1">
      <c r="A22" s="151"/>
      <c r="B22" s="154"/>
      <c r="C22" s="148"/>
      <c r="D22" s="59" t="s">
        <v>212</v>
      </c>
      <c r="E22" s="58">
        <v>80.25</v>
      </c>
      <c r="F22" s="149"/>
      <c r="H22" s="150">
        <v>3</v>
      </c>
      <c r="I22" s="153" t="s">
        <v>54</v>
      </c>
      <c r="J22" s="57" t="s">
        <v>243</v>
      </c>
      <c r="K22" s="57" t="s">
        <v>210</v>
      </c>
      <c r="L22" s="57" t="s">
        <v>210</v>
      </c>
      <c r="M22" s="57" t="s">
        <v>210</v>
      </c>
      <c r="O22" s="149"/>
      <c r="P22" s="148"/>
      <c r="Q22" s="57" t="s">
        <v>224</v>
      </c>
      <c r="R22" s="57" t="s">
        <v>210</v>
      </c>
      <c r="S22" s="57" t="s">
        <v>210</v>
      </c>
      <c r="T22" s="57" t="s">
        <v>210</v>
      </c>
    </row>
    <row r="23" spans="1:20" ht="14.25" customHeight="1">
      <c r="A23" s="151"/>
      <c r="B23" s="154"/>
      <c r="C23" s="148" t="s">
        <v>203</v>
      </c>
      <c r="D23" s="59" t="s">
        <v>217</v>
      </c>
      <c r="E23" s="58">
        <v>84.35</v>
      </c>
      <c r="F23" s="149">
        <f>ROUND(AVERAGE(E23:E25),2)</f>
        <v>79.11</v>
      </c>
      <c r="H23" s="151"/>
      <c r="I23" s="154"/>
      <c r="J23" s="57" t="s">
        <v>224</v>
      </c>
      <c r="K23" s="59" t="s">
        <v>208</v>
      </c>
      <c r="L23" s="58">
        <v>69.930000000000007</v>
      </c>
      <c r="M23" s="58">
        <f>L23</f>
        <v>69.930000000000007</v>
      </c>
      <c r="O23" s="149"/>
      <c r="P23" s="149"/>
      <c r="Q23" s="57" t="s">
        <v>229</v>
      </c>
      <c r="R23" s="58">
        <v>2022.12</v>
      </c>
      <c r="S23" s="58">
        <v>80.39</v>
      </c>
      <c r="T23" s="58">
        <f>S23</f>
        <v>80.39</v>
      </c>
    </row>
    <row r="24" spans="1:20">
      <c r="A24" s="151"/>
      <c r="B24" s="154"/>
      <c r="C24" s="148"/>
      <c r="D24" s="59" t="s">
        <v>209</v>
      </c>
      <c r="E24" s="58">
        <v>75.260000000000005</v>
      </c>
      <c r="F24" s="149"/>
      <c r="H24" s="151"/>
      <c r="I24" s="154"/>
      <c r="J24" s="149" t="s">
        <v>220</v>
      </c>
      <c r="K24" s="59" t="s">
        <v>207</v>
      </c>
      <c r="L24" s="58">
        <v>69.989999999999995</v>
      </c>
      <c r="M24" s="149">
        <f>ROUND(AVERAGE(L24:L26),2)</f>
        <v>71.42</v>
      </c>
      <c r="O24" s="149"/>
      <c r="P24" s="149"/>
      <c r="Q24" s="148" t="s">
        <v>230</v>
      </c>
      <c r="R24" s="58">
        <v>2023.1</v>
      </c>
      <c r="S24" s="58">
        <v>85.29</v>
      </c>
      <c r="T24" s="149">
        <f>ROUND(AVERAGE(S24:S27),2)</f>
        <v>81.790000000000006</v>
      </c>
    </row>
    <row r="25" spans="1:20">
      <c r="A25" s="151"/>
      <c r="B25" s="154"/>
      <c r="C25" s="148"/>
      <c r="D25" s="59" t="s">
        <v>216</v>
      </c>
      <c r="E25" s="58">
        <v>77.709999999999994</v>
      </c>
      <c r="F25" s="149"/>
      <c r="H25" s="151"/>
      <c r="I25" s="154"/>
      <c r="J25" s="149"/>
      <c r="K25" s="59" t="s">
        <v>227</v>
      </c>
      <c r="L25" s="58">
        <v>71.510000000000005</v>
      </c>
      <c r="M25" s="149"/>
      <c r="O25" s="149"/>
      <c r="P25" s="149"/>
      <c r="Q25" s="149"/>
      <c r="R25" s="58">
        <v>2023.1</v>
      </c>
      <c r="S25" s="58">
        <v>84.53</v>
      </c>
      <c r="T25" s="149"/>
    </row>
    <row r="26" spans="1:20">
      <c r="A26" s="151"/>
      <c r="B26" s="154"/>
      <c r="C26" s="148" t="s">
        <v>201</v>
      </c>
      <c r="D26" s="59" t="s">
        <v>215</v>
      </c>
      <c r="E26" s="58">
        <v>68.739999999999995</v>
      </c>
      <c r="F26" s="149">
        <f>ROUND(AVERAGE(E26:E27),2)</f>
        <v>72.8</v>
      </c>
      <c r="H26" s="151"/>
      <c r="I26" s="154"/>
      <c r="J26" s="149"/>
      <c r="K26" s="58">
        <v>2022.12</v>
      </c>
      <c r="L26" s="58">
        <v>72.77</v>
      </c>
      <c r="M26" s="149"/>
      <c r="O26" s="149"/>
      <c r="P26" s="149"/>
      <c r="Q26" s="149"/>
      <c r="R26" s="58">
        <v>2023.2</v>
      </c>
      <c r="S26" s="58">
        <v>88.24</v>
      </c>
      <c r="T26" s="149"/>
    </row>
    <row r="27" spans="1:20">
      <c r="A27" s="152"/>
      <c r="B27" s="155"/>
      <c r="C27" s="148"/>
      <c r="D27" s="59" t="s">
        <v>214</v>
      </c>
      <c r="E27" s="58">
        <v>76.849999999999994</v>
      </c>
      <c r="F27" s="149"/>
      <c r="H27" s="151"/>
      <c r="I27" s="154"/>
      <c r="J27" s="149" t="s">
        <v>202</v>
      </c>
      <c r="K27" s="58">
        <v>2023.1</v>
      </c>
      <c r="L27" s="58">
        <v>72.92</v>
      </c>
      <c r="M27" s="149">
        <f>ROUND(AVERAGE(L27:L29),2)</f>
        <v>73.05</v>
      </c>
      <c r="O27" s="149"/>
      <c r="P27" s="149"/>
      <c r="Q27" s="149"/>
      <c r="R27" s="58">
        <v>2023.2</v>
      </c>
      <c r="S27" s="58">
        <v>69.099999999999994</v>
      </c>
      <c r="T27" s="149"/>
    </row>
    <row r="28" spans="1:20">
      <c r="A28" s="148" t="s">
        <v>205</v>
      </c>
      <c r="B28" s="149"/>
      <c r="C28" s="149"/>
      <c r="D28" s="149"/>
      <c r="E28" s="149"/>
      <c r="F28" s="58">
        <f>ROUND(AVERAGE(F19:F27),2)</f>
        <v>73.650000000000006</v>
      </c>
      <c r="H28" s="151"/>
      <c r="I28" s="154"/>
      <c r="J28" s="149"/>
      <c r="K28" s="60">
        <v>2023.2</v>
      </c>
      <c r="L28" s="58">
        <v>72.19</v>
      </c>
      <c r="M28" s="149"/>
      <c r="O28" s="149"/>
      <c r="P28" s="149"/>
      <c r="Q28" s="148" t="s">
        <v>201</v>
      </c>
      <c r="R28" s="58">
        <v>2023.4</v>
      </c>
      <c r="S28" s="58">
        <v>68.069999999999993</v>
      </c>
      <c r="T28" s="149">
        <f>ROUND(AVERAGE(S28:S31),2)</f>
        <v>71.459999999999994</v>
      </c>
    </row>
    <row r="29" spans="1:20">
      <c r="A29" s="150">
        <v>4</v>
      </c>
      <c r="B29" s="156" t="s">
        <v>48</v>
      </c>
      <c r="C29" s="57" t="s">
        <v>243</v>
      </c>
      <c r="D29" s="59" t="s">
        <v>244</v>
      </c>
      <c r="E29" s="58">
        <v>69.989999999999995</v>
      </c>
      <c r="F29" s="58">
        <f>E29</f>
        <v>69.989999999999995</v>
      </c>
      <c r="H29" s="151"/>
      <c r="I29" s="154"/>
      <c r="J29" s="149"/>
      <c r="K29" s="60">
        <v>2023.3</v>
      </c>
      <c r="L29" s="58">
        <v>74.040000000000006</v>
      </c>
      <c r="M29" s="149"/>
      <c r="O29" s="149"/>
      <c r="P29" s="149"/>
      <c r="Q29" s="148"/>
      <c r="R29" s="58"/>
      <c r="S29" s="58"/>
      <c r="T29" s="149"/>
    </row>
    <row r="30" spans="1:20">
      <c r="A30" s="151"/>
      <c r="B30" s="157"/>
      <c r="C30" s="148" t="s">
        <v>199</v>
      </c>
      <c r="D30" s="58">
        <v>2022.7</v>
      </c>
      <c r="E30" s="58">
        <v>73.010000000000005</v>
      </c>
      <c r="F30" s="149">
        <f>ROUND(AVERAGE(E30:E32),2)</f>
        <v>71.900000000000006</v>
      </c>
      <c r="H30" s="151"/>
      <c r="I30" s="154"/>
      <c r="J30" s="149" t="s">
        <v>200</v>
      </c>
      <c r="K30" s="60">
        <v>2023.4</v>
      </c>
      <c r="L30" s="58">
        <v>74.61</v>
      </c>
      <c r="M30" s="149">
        <f>ROUND(AVERAGE(L30:L31),2)</f>
        <v>74.66</v>
      </c>
      <c r="O30" s="149"/>
      <c r="P30" s="149"/>
      <c r="Q30" s="149"/>
      <c r="R30" s="58">
        <v>2023.4</v>
      </c>
      <c r="S30" s="58">
        <v>69.459999999999994</v>
      </c>
      <c r="T30" s="149"/>
    </row>
    <row r="31" spans="1:20">
      <c r="A31" s="151"/>
      <c r="B31" s="157"/>
      <c r="C31" s="148"/>
      <c r="D31" s="58">
        <v>2022.8</v>
      </c>
      <c r="E31" s="58">
        <v>73</v>
      </c>
      <c r="F31" s="149"/>
      <c r="H31" s="152"/>
      <c r="I31" s="155"/>
      <c r="J31" s="149"/>
      <c r="K31" s="58">
        <v>2023.5</v>
      </c>
      <c r="L31" s="58">
        <v>74.7</v>
      </c>
      <c r="M31" s="149"/>
      <c r="O31" s="149"/>
      <c r="P31" s="149"/>
      <c r="Q31" s="149"/>
      <c r="R31" s="58">
        <v>2023.5</v>
      </c>
      <c r="S31" s="58">
        <v>76.849999999999994</v>
      </c>
      <c r="T31" s="149"/>
    </row>
    <row r="32" spans="1:20">
      <c r="A32" s="151"/>
      <c r="B32" s="157"/>
      <c r="C32" s="148"/>
      <c r="D32" s="58">
        <v>2022.9</v>
      </c>
      <c r="E32" s="58">
        <v>69.7</v>
      </c>
      <c r="F32" s="149"/>
      <c r="H32" s="148" t="s">
        <v>205</v>
      </c>
      <c r="I32" s="149"/>
      <c r="J32" s="149"/>
      <c r="K32" s="149"/>
      <c r="L32" s="149"/>
      <c r="M32" s="58">
        <f>ROUND(AVERAGE(M22:M31),2)</f>
        <v>72.27</v>
      </c>
      <c r="O32" s="148" t="s">
        <v>205</v>
      </c>
      <c r="P32" s="149"/>
      <c r="Q32" s="149"/>
      <c r="R32" s="149"/>
      <c r="S32" s="149"/>
      <c r="T32" s="58">
        <f>ROUND(AVERAGE(T21:T31),2)</f>
        <v>77.88</v>
      </c>
    </row>
    <row r="33" spans="1:20">
      <c r="A33" s="151"/>
      <c r="B33" s="157"/>
      <c r="C33" s="149" t="s">
        <v>220</v>
      </c>
      <c r="D33" s="59" t="s">
        <v>219</v>
      </c>
      <c r="E33" s="58">
        <v>71.55</v>
      </c>
      <c r="F33" s="149">
        <f>ROUND(AVERAGE(E33:E35),2)</f>
        <v>67.2</v>
      </c>
      <c r="H33" s="150">
        <v>4</v>
      </c>
      <c r="I33" s="156" t="s">
        <v>48</v>
      </c>
      <c r="J33" s="57" t="s">
        <v>243</v>
      </c>
      <c r="K33" s="57">
        <v>2022.6</v>
      </c>
      <c r="L33" s="57">
        <v>69.11</v>
      </c>
      <c r="M33" s="57">
        <f>L33</f>
        <v>69.11</v>
      </c>
      <c r="O33" s="150">
        <v>4</v>
      </c>
      <c r="P33" s="150" t="s">
        <v>95</v>
      </c>
      <c r="Q33" s="96" t="s">
        <v>246</v>
      </c>
      <c r="R33" s="96" t="s">
        <v>210</v>
      </c>
      <c r="S33" s="96" t="s">
        <v>210</v>
      </c>
      <c r="T33" s="96" t="s">
        <v>210</v>
      </c>
    </row>
    <row r="34" spans="1:20">
      <c r="A34" s="151"/>
      <c r="B34" s="157"/>
      <c r="C34" s="149"/>
      <c r="D34" s="58">
        <v>2022.11</v>
      </c>
      <c r="E34" s="58">
        <v>62.68</v>
      </c>
      <c r="F34" s="149"/>
      <c r="H34" s="151"/>
      <c r="I34" s="157"/>
      <c r="J34" s="148" t="s">
        <v>224</v>
      </c>
      <c r="K34" s="58">
        <v>2022.7</v>
      </c>
      <c r="L34" s="58">
        <v>71.05</v>
      </c>
      <c r="M34" s="149">
        <f>ROUND(AVERAGE(L34:L36),2)</f>
        <v>70.17</v>
      </c>
      <c r="O34" s="151"/>
      <c r="P34" s="151"/>
      <c r="Q34" s="96" t="s">
        <v>224</v>
      </c>
      <c r="R34" s="96" t="s">
        <v>210</v>
      </c>
      <c r="S34" s="96" t="s">
        <v>210</v>
      </c>
      <c r="T34" s="96" t="s">
        <v>210</v>
      </c>
    </row>
    <row r="35" spans="1:20">
      <c r="A35" s="151"/>
      <c r="B35" s="157"/>
      <c r="C35" s="149"/>
      <c r="D35" s="59" t="s">
        <v>212</v>
      </c>
      <c r="E35" s="58">
        <v>67.36</v>
      </c>
      <c r="F35" s="149"/>
      <c r="H35" s="151"/>
      <c r="I35" s="157"/>
      <c r="J35" s="148"/>
      <c r="K35" s="58">
        <v>2022.8</v>
      </c>
      <c r="L35" s="58">
        <v>68.56</v>
      </c>
      <c r="M35" s="149"/>
      <c r="O35" s="151"/>
      <c r="P35" s="151"/>
      <c r="Q35" s="149" t="s">
        <v>220</v>
      </c>
      <c r="R35" s="58">
        <v>2022.11</v>
      </c>
      <c r="S35" s="58">
        <v>70</v>
      </c>
      <c r="T35" s="149">
        <f>ROUND(AVERAGE(S35:S38),2)</f>
        <v>66.39</v>
      </c>
    </row>
    <row r="36" spans="1:20">
      <c r="A36" s="151"/>
      <c r="B36" s="157"/>
      <c r="C36" s="149" t="s">
        <v>202</v>
      </c>
      <c r="D36" s="58">
        <v>2023.1</v>
      </c>
      <c r="E36" s="58">
        <v>64.05</v>
      </c>
      <c r="F36" s="149">
        <f>ROUND(AVERAGE(E36:E38),2)</f>
        <v>67.16</v>
      </c>
      <c r="H36" s="151"/>
      <c r="I36" s="157"/>
      <c r="J36" s="148"/>
      <c r="K36" s="59" t="s">
        <v>208</v>
      </c>
      <c r="L36" s="58">
        <v>70.91</v>
      </c>
      <c r="M36" s="149"/>
      <c r="O36" s="151"/>
      <c r="P36" s="151"/>
      <c r="Q36" s="149"/>
      <c r="R36" s="58">
        <v>2022.12</v>
      </c>
      <c r="S36" s="58">
        <v>66.22</v>
      </c>
      <c r="T36" s="149"/>
    </row>
    <row r="37" spans="1:20">
      <c r="A37" s="151"/>
      <c r="B37" s="157"/>
      <c r="C37" s="149"/>
      <c r="D37" s="58">
        <v>2023.2</v>
      </c>
      <c r="E37" s="58">
        <v>67.62</v>
      </c>
      <c r="F37" s="149"/>
      <c r="H37" s="151"/>
      <c r="I37" s="157"/>
      <c r="J37" s="149" t="s">
        <v>220</v>
      </c>
      <c r="K37" s="59" t="s">
        <v>207</v>
      </c>
      <c r="L37" s="58">
        <v>70.59</v>
      </c>
      <c r="M37" s="149">
        <f>ROUND(AVERAGE(L37:L39),2)</f>
        <v>70.680000000000007</v>
      </c>
      <c r="O37" s="151"/>
      <c r="P37" s="151"/>
      <c r="Q37" s="149"/>
      <c r="R37" s="58">
        <v>2022.12</v>
      </c>
      <c r="S37" s="58">
        <v>64.47</v>
      </c>
      <c r="T37" s="149"/>
    </row>
    <row r="38" spans="1:20">
      <c r="A38" s="151"/>
      <c r="B38" s="157"/>
      <c r="C38" s="149"/>
      <c r="D38" s="58">
        <v>2023.3</v>
      </c>
      <c r="E38" s="58">
        <v>69.819999999999993</v>
      </c>
      <c r="F38" s="149"/>
      <c r="H38" s="151"/>
      <c r="I38" s="157"/>
      <c r="J38" s="149"/>
      <c r="K38" s="59" t="s">
        <v>227</v>
      </c>
      <c r="L38" s="58">
        <v>71.349999999999994</v>
      </c>
      <c r="M38" s="149"/>
      <c r="O38" s="151"/>
      <c r="P38" s="151"/>
      <c r="Q38" s="149"/>
      <c r="R38" s="58">
        <v>2022.12</v>
      </c>
      <c r="S38" s="58">
        <v>64.86</v>
      </c>
      <c r="T38" s="149"/>
    </row>
    <row r="39" spans="1:20">
      <c r="A39" s="151"/>
      <c r="B39" s="157"/>
      <c r="C39" s="149" t="s">
        <v>200</v>
      </c>
      <c r="D39" s="58">
        <v>2023.4</v>
      </c>
      <c r="E39" s="58">
        <v>67.09</v>
      </c>
      <c r="F39" s="149">
        <f>ROUND(AVERAGE(E39:E40),2)</f>
        <v>67.790000000000006</v>
      </c>
      <c r="H39" s="151"/>
      <c r="I39" s="157"/>
      <c r="J39" s="149"/>
      <c r="K39" s="58">
        <v>2022.12</v>
      </c>
      <c r="L39" s="58">
        <v>70.09</v>
      </c>
      <c r="M39" s="149"/>
      <c r="O39" s="151"/>
      <c r="P39" s="151"/>
      <c r="Q39" s="149" t="s">
        <v>202</v>
      </c>
      <c r="R39" s="58">
        <v>2023.2</v>
      </c>
      <c r="S39" s="58">
        <v>66.67</v>
      </c>
      <c r="T39" s="149">
        <f>ROUND(AVERAGE(S39:S42),2)</f>
        <v>70.3</v>
      </c>
    </row>
    <row r="40" spans="1:20">
      <c r="A40" s="152"/>
      <c r="B40" s="158"/>
      <c r="C40" s="149"/>
      <c r="D40" s="58">
        <v>2023.5</v>
      </c>
      <c r="E40" s="58">
        <v>68.489999999999995</v>
      </c>
      <c r="F40" s="149"/>
      <c r="H40" s="151"/>
      <c r="I40" s="157"/>
      <c r="J40" s="149" t="s">
        <v>202</v>
      </c>
      <c r="K40" s="58">
        <v>2023.1</v>
      </c>
      <c r="L40" s="58">
        <v>69.38</v>
      </c>
      <c r="M40" s="149">
        <f>ROUND(AVERAGE(L40:L42),2)</f>
        <v>69.89</v>
      </c>
      <c r="O40" s="151"/>
      <c r="P40" s="151"/>
      <c r="Q40" s="149"/>
      <c r="R40" s="58">
        <v>2023.3</v>
      </c>
      <c r="S40" s="58">
        <v>69.319999999999993</v>
      </c>
      <c r="T40" s="149"/>
    </row>
    <row r="41" spans="1:20">
      <c r="A41" s="148" t="s">
        <v>205</v>
      </c>
      <c r="B41" s="149"/>
      <c r="C41" s="149"/>
      <c r="D41" s="149"/>
      <c r="E41" s="149"/>
      <c r="F41" s="58">
        <f>ROUND(AVERAGE(F29:F40),2)</f>
        <v>68.81</v>
      </c>
      <c r="H41" s="151"/>
      <c r="I41" s="157"/>
      <c r="J41" s="149"/>
      <c r="K41" s="60">
        <v>2023.2</v>
      </c>
      <c r="L41" s="58">
        <v>70.37</v>
      </c>
      <c r="M41" s="149"/>
      <c r="O41" s="151"/>
      <c r="P41" s="151"/>
      <c r="Q41" s="149"/>
      <c r="R41" s="58">
        <v>2023.3</v>
      </c>
      <c r="S41" s="58">
        <v>74.14</v>
      </c>
      <c r="T41" s="149"/>
    </row>
    <row r="42" spans="1:20">
      <c r="H42" s="151"/>
      <c r="I42" s="157"/>
      <c r="J42" s="149"/>
      <c r="K42" s="60">
        <v>2023.3</v>
      </c>
      <c r="L42" s="58">
        <v>69.92</v>
      </c>
      <c r="M42" s="149"/>
      <c r="O42" s="151"/>
      <c r="P42" s="151"/>
      <c r="Q42" s="149"/>
      <c r="R42" s="58">
        <v>2023.3</v>
      </c>
      <c r="S42" s="58">
        <v>71.06</v>
      </c>
      <c r="T42" s="149"/>
    </row>
    <row r="43" spans="1:20">
      <c r="H43" s="151"/>
      <c r="I43" s="157"/>
      <c r="J43" s="149" t="s">
        <v>200</v>
      </c>
      <c r="K43" s="60">
        <v>2023.4</v>
      </c>
      <c r="L43" s="58">
        <v>70.069999999999993</v>
      </c>
      <c r="M43" s="149">
        <f>ROUND(AVERAGE(L43:L44),2)</f>
        <v>70.39</v>
      </c>
      <c r="O43" s="151"/>
      <c r="P43" s="151"/>
      <c r="Q43" s="150" t="s">
        <v>200</v>
      </c>
      <c r="R43" s="58">
        <v>2023.4</v>
      </c>
      <c r="S43" s="58">
        <v>68.38</v>
      </c>
      <c r="T43" s="150">
        <f>ROUND(AVERAGE(S43:S44),2)</f>
        <v>68.36</v>
      </c>
    </row>
    <row r="44" spans="1:20">
      <c r="H44" s="152"/>
      <c r="I44" s="158"/>
      <c r="J44" s="149"/>
      <c r="K44" s="58">
        <v>2023.5</v>
      </c>
      <c r="L44" s="58">
        <v>70.709999999999994</v>
      </c>
      <c r="M44" s="149"/>
      <c r="O44" s="152"/>
      <c r="P44" s="152"/>
      <c r="Q44" s="152"/>
      <c r="R44" s="58">
        <v>2023.5</v>
      </c>
      <c r="S44" s="58">
        <v>68.33</v>
      </c>
      <c r="T44" s="151"/>
    </row>
    <row r="45" spans="1:20">
      <c r="H45" s="148" t="s">
        <v>205</v>
      </c>
      <c r="I45" s="149"/>
      <c r="J45" s="149"/>
      <c r="K45" s="149"/>
      <c r="L45" s="149"/>
      <c r="M45" s="58">
        <f>ROUND(AVERAGE(M33:M44),2)</f>
        <v>70.05</v>
      </c>
      <c r="O45" s="148" t="s">
        <v>205</v>
      </c>
      <c r="P45" s="149"/>
      <c r="Q45" s="149"/>
      <c r="R45" s="149"/>
      <c r="S45" s="149"/>
      <c r="T45" s="58">
        <f>ROUND(AVERAGE(T33:T44),2)</f>
        <v>68.349999999999994</v>
      </c>
    </row>
    <row r="48" spans="1:20">
      <c r="A48" s="148" t="s">
        <v>235</v>
      </c>
      <c r="B48" s="148"/>
      <c r="C48" s="148"/>
      <c r="D48" s="148"/>
      <c r="E48" s="148"/>
      <c r="F48" s="148"/>
    </row>
    <row r="49" spans="1:11">
      <c r="A49" s="52" t="s">
        <v>110</v>
      </c>
      <c r="B49" s="52" t="s">
        <v>193</v>
      </c>
      <c r="C49" s="52" t="s">
        <v>236</v>
      </c>
      <c r="D49" s="53" t="s">
        <v>237</v>
      </c>
      <c r="E49" s="52" t="s">
        <v>238</v>
      </c>
      <c r="F49" s="52" t="s">
        <v>239</v>
      </c>
      <c r="G49" s="72" t="s">
        <v>313</v>
      </c>
      <c r="H49" s="72" t="s">
        <v>314</v>
      </c>
      <c r="I49" s="72" t="s">
        <v>315</v>
      </c>
      <c r="J49" s="110" t="s">
        <v>434</v>
      </c>
      <c r="K49" s="110" t="s">
        <v>433</v>
      </c>
    </row>
    <row r="50" spans="1:11" s="114" customFormat="1" ht="27">
      <c r="A50" s="111">
        <v>1</v>
      </c>
      <c r="B50" s="112" t="s">
        <v>50</v>
      </c>
      <c r="C50" s="111">
        <f>F12</f>
        <v>71.709999999999994</v>
      </c>
      <c r="D50" s="113">
        <f>M12</f>
        <v>69.8</v>
      </c>
      <c r="E50" s="111">
        <f>T12</f>
        <v>69.56</v>
      </c>
      <c r="F50" s="111">
        <f>ROUND(AVERAGE(C50:E50),2)</f>
        <v>70.36</v>
      </c>
      <c r="G50" s="114">
        <v>2.91</v>
      </c>
      <c r="H50" s="114">
        <f>30/12</f>
        <v>2.5</v>
      </c>
      <c r="I50" s="114">
        <f>ROUND(F50-G50-H50,2)</f>
        <v>64.95</v>
      </c>
      <c r="J50" s="114">
        <f>ROUND(I50*(2.5%)/(1+5%),2)</f>
        <v>1.55</v>
      </c>
      <c r="K50" s="114">
        <f>ROUND(I50-J50,2)</f>
        <v>63.4</v>
      </c>
    </row>
    <row r="51" spans="1:11" s="114" customFormat="1">
      <c r="A51" s="111">
        <v>2</v>
      </c>
      <c r="B51" s="112" t="s">
        <v>92</v>
      </c>
      <c r="C51" s="111">
        <f>F18</f>
        <v>59.57</v>
      </c>
      <c r="D51" s="113">
        <f>M21</f>
        <v>79.14</v>
      </c>
      <c r="E51" s="111">
        <f>T20</f>
        <v>61.48</v>
      </c>
      <c r="F51" s="111">
        <f t="shared" ref="F51:F52" si="1">ROUND(AVERAGE(C51:E51),2)</f>
        <v>66.73</v>
      </c>
      <c r="G51" s="114">
        <v>2.2000000000000002</v>
      </c>
      <c r="H51" s="114">
        <f t="shared" ref="H51:H53" si="2">30/12</f>
        <v>2.5</v>
      </c>
      <c r="I51" s="114">
        <f t="shared" ref="I51:I53" si="3">ROUND(F51-G51-H51,2)</f>
        <v>62.03</v>
      </c>
      <c r="J51" s="114">
        <f>ROUND(I51*(2.5%)/(1+5%),2)</f>
        <v>1.48</v>
      </c>
      <c r="K51" s="114">
        <f t="shared" ref="K51:K53" si="4">ROUND(I51-J51,2)</f>
        <v>60.55</v>
      </c>
    </row>
    <row r="52" spans="1:11" ht="27">
      <c r="A52" s="55">
        <v>3</v>
      </c>
      <c r="B52" s="54" t="s">
        <v>93</v>
      </c>
      <c r="C52" s="55">
        <f>F28</f>
        <v>73.650000000000006</v>
      </c>
      <c r="D52" s="56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3">
        <f t="shared" si="2"/>
        <v>2.5</v>
      </c>
      <c r="I52" s="73">
        <f t="shared" si="3"/>
        <v>70.25</v>
      </c>
      <c r="J52" s="110">
        <f>ROUND(I52*(2.5%)/(1+5%),2)</f>
        <v>1.67</v>
      </c>
      <c r="K52" s="110">
        <f t="shared" si="4"/>
        <v>68.58</v>
      </c>
    </row>
    <row r="53" spans="1:11" s="114" customFormat="1">
      <c r="A53" s="111">
        <v>4</v>
      </c>
      <c r="B53" s="112" t="s">
        <v>101</v>
      </c>
      <c r="C53" s="111">
        <f>F41</f>
        <v>68.81</v>
      </c>
      <c r="D53" s="113">
        <f>M45</f>
        <v>70.05</v>
      </c>
      <c r="E53" s="111">
        <f>T45</f>
        <v>68.349999999999994</v>
      </c>
      <c r="F53" s="111">
        <f>ROUND(AVERAGE(C53:E53),2)</f>
        <v>69.069999999999993</v>
      </c>
      <c r="G53" s="114">
        <v>1.98</v>
      </c>
      <c r="H53" s="114">
        <f t="shared" si="2"/>
        <v>2.5</v>
      </c>
      <c r="I53" s="114">
        <f t="shared" si="3"/>
        <v>64.59</v>
      </c>
      <c r="J53" s="114">
        <f>ROUND(I53*(2.5%)/(1+5%),2)</f>
        <v>1.54</v>
      </c>
      <c r="K53" s="114">
        <f t="shared" si="4"/>
        <v>63.05</v>
      </c>
    </row>
    <row r="55" spans="1:11">
      <c r="D55" s="25"/>
    </row>
    <row r="56" spans="1:11">
      <c r="D56" s="25"/>
    </row>
    <row r="57" spans="1:11">
      <c r="D57" s="25"/>
    </row>
    <row r="58" spans="1:11">
      <c r="D58" s="25"/>
    </row>
  </sheetData>
  <mergeCells count="108"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02"/>
  <sheetViews>
    <sheetView workbookViewId="0">
      <selection activeCell="E81" sqref="E81:E92"/>
    </sheetView>
  </sheetViews>
  <sheetFormatPr defaultRowHeight="13.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206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211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218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0"/>
  <sheetViews>
    <sheetView topLeftCell="A16" workbookViewId="0">
      <selection activeCell="H26" sqref="H26"/>
    </sheetView>
  </sheetViews>
  <sheetFormatPr defaultRowHeight="13.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3" t="s">
        <v>110</v>
      </c>
      <c r="B1" s="63" t="s">
        <v>103</v>
      </c>
      <c r="C1" s="63" t="s">
        <v>104</v>
      </c>
      <c r="D1" s="63" t="s">
        <v>105</v>
      </c>
      <c r="E1" s="63" t="s">
        <v>106</v>
      </c>
      <c r="F1" s="63" t="s">
        <v>107</v>
      </c>
      <c r="G1" s="63" t="s">
        <v>108</v>
      </c>
      <c r="H1" s="63" t="s">
        <v>109</v>
      </c>
      <c r="M1" s="63" t="s">
        <v>139</v>
      </c>
    </row>
    <row r="2" spans="1:13">
      <c r="A2" s="26">
        <v>1</v>
      </c>
      <c r="B2" s="28" t="s">
        <v>436</v>
      </c>
      <c r="C2" s="26">
        <v>87</v>
      </c>
      <c r="D2" s="28" t="s">
        <v>111</v>
      </c>
      <c r="E2" s="28" t="s">
        <v>112</v>
      </c>
      <c r="F2" s="64">
        <v>45077</v>
      </c>
      <c r="G2" s="26">
        <v>5400</v>
      </c>
      <c r="H2" s="26">
        <f>ROUND(G2/C2,2)</f>
        <v>62.07</v>
      </c>
      <c r="I2" s="170" t="s">
        <v>253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4">
        <v>45073</v>
      </c>
      <c r="G3" s="26">
        <v>6300</v>
      </c>
      <c r="H3" s="26">
        <f t="shared" ref="H3:H28" si="0">ROUND(G3/C3,2)</f>
        <v>73.58</v>
      </c>
      <c r="I3" s="171"/>
    </row>
    <row r="4" spans="1:13">
      <c r="A4" s="26">
        <v>3</v>
      </c>
      <c r="B4" s="28" t="s">
        <v>426</v>
      </c>
      <c r="C4" s="26">
        <v>87.4</v>
      </c>
      <c r="D4" s="28" t="s">
        <v>115</v>
      </c>
      <c r="E4" s="28" t="s">
        <v>112</v>
      </c>
      <c r="F4" s="64">
        <v>44958</v>
      </c>
      <c r="G4" s="26">
        <v>6600</v>
      </c>
      <c r="H4" s="26">
        <f t="shared" si="0"/>
        <v>75.510000000000005</v>
      </c>
      <c r="I4" s="171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4">
        <v>44934</v>
      </c>
      <c r="G5" s="26">
        <v>6300</v>
      </c>
      <c r="H5" s="26">
        <f t="shared" si="0"/>
        <v>70.25</v>
      </c>
      <c r="I5" s="171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4">
        <v>44890</v>
      </c>
      <c r="G6" s="26">
        <v>6800</v>
      </c>
      <c r="H6" s="26">
        <f t="shared" si="0"/>
        <v>75.58</v>
      </c>
      <c r="I6" s="171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4">
        <v>44882</v>
      </c>
      <c r="G7" s="26">
        <v>6200</v>
      </c>
      <c r="H7" s="26">
        <f t="shared" si="0"/>
        <v>68.89</v>
      </c>
      <c r="I7" s="171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4">
        <v>44824</v>
      </c>
      <c r="G8" s="26">
        <v>6400</v>
      </c>
      <c r="H8" s="26">
        <f t="shared" si="0"/>
        <v>71.11</v>
      </c>
      <c r="I8" s="171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4">
        <v>44773</v>
      </c>
      <c r="G9" s="26">
        <v>5800</v>
      </c>
      <c r="H9" s="26">
        <f t="shared" si="0"/>
        <v>65.17</v>
      </c>
      <c r="I9" s="171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4">
        <v>44740</v>
      </c>
      <c r="G10" s="26">
        <v>6000</v>
      </c>
      <c r="H10" s="26">
        <f t="shared" si="0"/>
        <v>66.73</v>
      </c>
      <c r="I10" s="171"/>
    </row>
    <row r="11" spans="1:13">
      <c r="A11" s="25">
        <v>10</v>
      </c>
      <c r="B11" s="109" t="s">
        <v>437</v>
      </c>
      <c r="D11" s="63"/>
      <c r="E11" s="63"/>
      <c r="F11" s="65"/>
      <c r="H11" s="27" t="s">
        <v>122</v>
      </c>
      <c r="M11" s="25">
        <v>1.98</v>
      </c>
    </row>
    <row r="12" spans="1:13">
      <c r="A12" s="25">
        <v>11</v>
      </c>
      <c r="B12" s="63" t="s">
        <v>99</v>
      </c>
      <c r="C12" s="25">
        <v>61</v>
      </c>
      <c r="D12" s="63" t="s">
        <v>120</v>
      </c>
      <c r="E12" s="63" t="s">
        <v>121</v>
      </c>
      <c r="F12" s="65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3" t="s">
        <v>120</v>
      </c>
      <c r="E13" s="63" t="s">
        <v>121</v>
      </c>
      <c r="F13" s="65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438</v>
      </c>
      <c r="C14" s="26"/>
      <c r="D14" s="28"/>
      <c r="E14" s="28"/>
      <c r="F14" s="64"/>
      <c r="G14" s="26"/>
      <c r="H14" s="66" t="s">
        <v>128</v>
      </c>
      <c r="I14" s="170" t="s">
        <v>252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4">
        <v>44990</v>
      </c>
      <c r="G15" s="26">
        <v>4600</v>
      </c>
      <c r="H15" s="26">
        <f t="shared" si="0"/>
        <v>65.44</v>
      </c>
      <c r="I15" s="171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4">
        <v>44976</v>
      </c>
      <c r="G16" s="26">
        <v>4600</v>
      </c>
      <c r="H16" s="26">
        <f t="shared" si="0"/>
        <v>58.23</v>
      </c>
      <c r="I16" s="171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4">
        <v>44837</v>
      </c>
      <c r="G17" s="26">
        <v>4600</v>
      </c>
      <c r="H17" s="26">
        <f t="shared" si="0"/>
        <v>58.97</v>
      </c>
      <c r="I17" s="171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4">
        <v>44835</v>
      </c>
      <c r="G18" s="26">
        <v>5000</v>
      </c>
      <c r="H18" s="26">
        <f t="shared" si="0"/>
        <v>62.59</v>
      </c>
      <c r="I18" s="171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4">
        <v>44825</v>
      </c>
      <c r="G19" s="26">
        <v>5500</v>
      </c>
      <c r="H19" s="26">
        <f t="shared" si="0"/>
        <v>57.6</v>
      </c>
      <c r="I19" s="171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4">
        <v>44732</v>
      </c>
      <c r="G20" s="26">
        <v>4600</v>
      </c>
      <c r="H20" s="26">
        <f t="shared" si="0"/>
        <v>65.709999999999994</v>
      </c>
      <c r="I20" s="171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4">
        <v>45091</v>
      </c>
      <c r="G21" s="26">
        <v>6600</v>
      </c>
      <c r="H21" s="26">
        <f t="shared" si="0"/>
        <v>76.62</v>
      </c>
      <c r="I21" s="170" t="s">
        <v>253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4">
        <v>45076</v>
      </c>
      <c r="G22" s="26">
        <v>4100</v>
      </c>
      <c r="H22" s="26">
        <f t="shared" si="0"/>
        <v>68.33</v>
      </c>
      <c r="I22" s="171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4">
        <v>45025</v>
      </c>
      <c r="G23" s="26">
        <v>5000</v>
      </c>
      <c r="H23" s="26">
        <f t="shared" si="0"/>
        <v>68.38</v>
      </c>
      <c r="I23" s="171"/>
    </row>
    <row r="24" spans="1:13">
      <c r="A24" s="26">
        <v>23</v>
      </c>
      <c r="B24" s="28" t="s">
        <v>254</v>
      </c>
      <c r="C24" s="26">
        <v>74.59</v>
      </c>
      <c r="D24" s="28" t="s">
        <v>129</v>
      </c>
      <c r="E24" s="28" t="s">
        <v>121</v>
      </c>
      <c r="F24" s="64">
        <v>45008</v>
      </c>
      <c r="G24" s="26">
        <v>5300</v>
      </c>
      <c r="H24" s="26">
        <f t="shared" si="0"/>
        <v>71.06</v>
      </c>
      <c r="I24" s="171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4">
        <v>44990</v>
      </c>
      <c r="G25" s="26">
        <v>4300</v>
      </c>
      <c r="H25" s="26">
        <f t="shared" si="0"/>
        <v>74.14</v>
      </c>
      <c r="I25" s="171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4">
        <v>45004</v>
      </c>
      <c r="G26" s="26">
        <v>4800</v>
      </c>
      <c r="H26" s="26">
        <f>ROUND(G26/C26,2)</f>
        <v>69.319999999999993</v>
      </c>
      <c r="I26" s="171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4">
        <v>44968</v>
      </c>
      <c r="G27" s="26">
        <v>5200</v>
      </c>
      <c r="H27" s="26">
        <f t="shared" si="0"/>
        <v>66.67</v>
      </c>
      <c r="I27" s="171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4">
        <v>44926</v>
      </c>
      <c r="G28" s="26">
        <v>4800</v>
      </c>
      <c r="H28" s="26">
        <f t="shared" si="0"/>
        <v>64.86</v>
      </c>
      <c r="I28" s="171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7">
        <v>44918</v>
      </c>
      <c r="G29" s="26">
        <v>4900</v>
      </c>
      <c r="H29" s="26">
        <f t="shared" ref="H29" si="1">ROUND(G29/C29,2)</f>
        <v>64.47</v>
      </c>
      <c r="I29" s="171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4">
        <v>44903</v>
      </c>
      <c r="G30" s="26">
        <v>4900</v>
      </c>
      <c r="H30" s="26">
        <f t="shared" ref="H30" si="2">ROUND(G30/C30,2)</f>
        <v>66.22</v>
      </c>
      <c r="I30" s="171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4">
        <v>44892</v>
      </c>
      <c r="G31" s="26">
        <v>4200</v>
      </c>
      <c r="H31" s="26">
        <f t="shared" ref="H31:H45" si="3">ROUND(G31/C31,2)</f>
        <v>70</v>
      </c>
      <c r="I31" s="171"/>
    </row>
    <row r="32" spans="1:13">
      <c r="A32" s="25">
        <v>31</v>
      </c>
      <c r="B32" s="63" t="s">
        <v>102</v>
      </c>
      <c r="C32" s="25">
        <v>66</v>
      </c>
      <c r="D32" s="63" t="s">
        <v>133</v>
      </c>
      <c r="E32" s="63" t="s">
        <v>134</v>
      </c>
      <c r="F32" s="65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3" t="s">
        <v>133</v>
      </c>
      <c r="E33" s="63" t="s">
        <v>134</v>
      </c>
      <c r="F33" s="65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110" t="s">
        <v>439</v>
      </c>
      <c r="C34" s="25">
        <v>105</v>
      </c>
      <c r="D34" s="63" t="s">
        <v>131</v>
      </c>
      <c r="E34" s="63" t="s">
        <v>121</v>
      </c>
      <c r="F34" s="65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3" t="s">
        <v>129</v>
      </c>
      <c r="E35" s="63" t="s">
        <v>117</v>
      </c>
      <c r="F35" s="65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3" t="s">
        <v>115</v>
      </c>
      <c r="E36" s="63" t="s">
        <v>117</v>
      </c>
      <c r="F36" s="65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3" t="s">
        <v>102</v>
      </c>
      <c r="C37" s="25">
        <v>66</v>
      </c>
      <c r="D37" s="63" t="s">
        <v>133</v>
      </c>
      <c r="E37" s="63" t="s">
        <v>121</v>
      </c>
      <c r="F37" s="65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3" t="s">
        <v>135</v>
      </c>
      <c r="E38" s="63" t="s">
        <v>125</v>
      </c>
      <c r="F38" s="65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3" t="s">
        <v>115</v>
      </c>
      <c r="E39" s="63" t="s">
        <v>121</v>
      </c>
      <c r="F39" s="65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3" t="s">
        <v>127</v>
      </c>
      <c r="E40" s="63" t="s">
        <v>136</v>
      </c>
      <c r="F40" s="65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3" t="s">
        <v>135</v>
      </c>
      <c r="E41" s="63" t="s">
        <v>125</v>
      </c>
      <c r="F41" s="65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3" t="s">
        <v>129</v>
      </c>
      <c r="E42" s="63" t="s">
        <v>121</v>
      </c>
      <c r="F42" s="65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3" t="s">
        <v>133</v>
      </c>
      <c r="E43" s="63" t="s">
        <v>137</v>
      </c>
      <c r="F43" s="65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3" t="s">
        <v>135</v>
      </c>
      <c r="E44" s="63" t="s">
        <v>121</v>
      </c>
      <c r="F44" s="65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3" t="s">
        <v>138</v>
      </c>
      <c r="E45" s="63" t="s">
        <v>137</v>
      </c>
      <c r="F45" s="65">
        <v>44828</v>
      </c>
      <c r="G45" s="25">
        <v>4900</v>
      </c>
      <c r="H45" s="25">
        <f t="shared" si="3"/>
        <v>65.53</v>
      </c>
    </row>
    <row r="46" spans="1:13">
      <c r="D46" s="63"/>
      <c r="E46" s="63"/>
      <c r="F46" s="65"/>
    </row>
    <row r="48" spans="1:13">
      <c r="B48" s="63" t="s">
        <v>123</v>
      </c>
      <c r="H48" s="27" t="s">
        <v>126</v>
      </c>
      <c r="M48" s="25">
        <v>0.5</v>
      </c>
    </row>
    <row r="49" spans="1:13">
      <c r="B49" s="109" t="s">
        <v>53</v>
      </c>
      <c r="C49" s="25">
        <v>102.84</v>
      </c>
      <c r="D49" s="63" t="s">
        <v>115</v>
      </c>
      <c r="E49" s="63" t="s">
        <v>125</v>
      </c>
      <c r="F49" s="65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3" t="s">
        <v>123</v>
      </c>
      <c r="C50" s="25">
        <v>81.650000000000006</v>
      </c>
      <c r="D50" s="63" t="s">
        <v>115</v>
      </c>
      <c r="E50" s="63" t="s">
        <v>121</v>
      </c>
      <c r="F50" s="65">
        <v>44843</v>
      </c>
      <c r="G50" s="25">
        <v>5900</v>
      </c>
      <c r="H50" s="25">
        <f t="shared" si="4"/>
        <v>72.260000000000005</v>
      </c>
    </row>
    <row r="51" spans="1:13">
      <c r="B51" s="63" t="s">
        <v>123</v>
      </c>
      <c r="C51" s="25">
        <v>103.62</v>
      </c>
      <c r="D51" s="63" t="s">
        <v>115</v>
      </c>
      <c r="E51" s="63" t="s">
        <v>117</v>
      </c>
      <c r="F51" s="65">
        <v>44777</v>
      </c>
      <c r="G51" s="25">
        <v>6100</v>
      </c>
      <c r="H51" s="25">
        <f t="shared" si="4"/>
        <v>58.87</v>
      </c>
    </row>
    <row r="52" spans="1:13">
      <c r="B52" s="63" t="s">
        <v>123</v>
      </c>
      <c r="C52" s="25">
        <v>101.45</v>
      </c>
      <c r="D52" s="63" t="s">
        <v>115</v>
      </c>
      <c r="E52" s="63" t="s">
        <v>121</v>
      </c>
      <c r="F52" s="65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4">
        <v>45052</v>
      </c>
      <c r="G53" s="26">
        <v>4000</v>
      </c>
      <c r="H53" s="26">
        <f t="shared" si="4"/>
        <v>76.849999999999994</v>
      </c>
      <c r="I53" s="170" t="s">
        <v>252</v>
      </c>
      <c r="M53" s="25">
        <v>1.85</v>
      </c>
    </row>
    <row r="54" spans="1:13">
      <c r="A54" s="26"/>
      <c r="B54" s="28" t="s">
        <v>440</v>
      </c>
      <c r="C54" s="26">
        <v>60.47</v>
      </c>
      <c r="D54" s="28" t="s">
        <v>129</v>
      </c>
      <c r="E54" s="28" t="s">
        <v>125</v>
      </c>
      <c r="F54" s="64">
        <v>45019</v>
      </c>
      <c r="G54" s="26">
        <v>4200</v>
      </c>
      <c r="H54" s="26">
        <f t="shared" si="4"/>
        <v>69.459999999999994</v>
      </c>
      <c r="I54" s="171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4">
        <v>45017</v>
      </c>
      <c r="G55" s="26">
        <v>4380</v>
      </c>
      <c r="H55" s="26">
        <f t="shared" si="4"/>
        <v>68.069999999999993</v>
      </c>
      <c r="I55" s="171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4">
        <v>44982</v>
      </c>
      <c r="G56" s="26">
        <v>4700</v>
      </c>
      <c r="H56" s="26">
        <f t="shared" si="4"/>
        <v>69.099999999999994</v>
      </c>
      <c r="I56" s="171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4">
        <v>44977</v>
      </c>
      <c r="G57" s="26">
        <v>4500</v>
      </c>
      <c r="H57" s="26">
        <f t="shared" si="4"/>
        <v>88.24</v>
      </c>
      <c r="I57" s="171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4">
        <v>44955</v>
      </c>
      <c r="G58" s="26">
        <v>4400</v>
      </c>
      <c r="H58" s="26">
        <f t="shared" si="4"/>
        <v>84.53</v>
      </c>
      <c r="I58" s="171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4">
        <v>44932</v>
      </c>
      <c r="G59" s="26">
        <v>4350</v>
      </c>
      <c r="H59" s="26">
        <f t="shared" si="4"/>
        <v>85.29</v>
      </c>
      <c r="I59" s="171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4">
        <v>44905</v>
      </c>
      <c r="G60" s="26">
        <v>4100</v>
      </c>
      <c r="H60" s="26">
        <f t="shared" si="4"/>
        <v>80.39</v>
      </c>
      <c r="I60" s="171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8"/>
  <sheetViews>
    <sheetView workbookViewId="0">
      <selection activeCell="N20" sqref="N20"/>
    </sheetView>
  </sheetViews>
  <sheetFormatPr defaultRowHeight="13.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250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248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249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251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7</cp:revision>
  <cp:lastPrinted>2023-06-25T07:00:36Z</cp:lastPrinted>
  <dcterms:created xsi:type="dcterms:W3CDTF">2015-06-05T18:19:00Z</dcterms:created>
  <dcterms:modified xsi:type="dcterms:W3CDTF">2023-07-02T11:50:34Z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