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办公" sheetId="15" r:id="rId22"/>
    <sheet name="收益法 (元)" sheetId="67" state="hidden" r:id="rId23"/>
    <sheet name="比较法-办公" sheetId="34" r:id="rId24"/>
    <sheet name="典型户型修正办公" sheetId="31" r:id="rId25"/>
    <sheet name="结果表商业" sheetId="82" r:id="rId26"/>
    <sheet name="收益法商业" sheetId="80" r:id="rId27"/>
    <sheet name="比较法-商业" sheetId="33" r:id="rId28"/>
    <sheet name="典型户型修正商业" sheetId="84" r:id="rId29"/>
    <sheet name="结果表车库" sheetId="83" r:id="rId30"/>
    <sheet name="收益法车库" sheetId="81" r:id="rId31"/>
    <sheet name="比较法-车位" sheetId="35" r:id="rId32"/>
    <sheet name="收益法（汇总）" sheetId="70" state="hidden" r:id="rId33"/>
    <sheet name="酒店收入计算" sheetId="66" state="hidden" r:id="rId34"/>
    <sheet name="比较法-住宅" sheetId="21" state="hidden"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清单" sheetId="86" r:id="rId50"/>
    <sheet name="201905富兴国际出租情况" sheetId="79" r:id="rId51"/>
    <sheet name="测绘报告办公" sheetId="85" r:id="rId52"/>
    <sheet name="车库测绘报告" sheetId="87" r:id="rId53"/>
    <sheet name="Sheet1" sheetId="88" r:id="rId54"/>
  </sheets>
  <externalReferences>
    <externalReference r:id="rId55"/>
    <externalReference r:id="rId56"/>
    <externalReference r:id="rId57"/>
  </externalReferences>
  <definedNames>
    <definedName name="_xlnm._FilterDatabase" localSheetId="23" hidden="1">'比较法-办公'!$A$1:$L$50</definedName>
    <definedName name="_xlnm._FilterDatabase" localSheetId="36" hidden="1">'比较法-仓储'!$A$1:$L$37</definedName>
    <definedName name="_xlnm._FilterDatabase" localSheetId="31" hidden="1">'比较法-车位'!$A$1:$L$39</definedName>
    <definedName name="_xlnm._FilterDatabase" localSheetId="35" hidden="1">'比较法-工业'!$A$1:$L$43</definedName>
    <definedName name="_xlnm._FilterDatabase" localSheetId="27" hidden="1">'比较法-商业'!$A$1:$L$49</definedName>
    <definedName name="_xlnm._FilterDatabase" localSheetId="3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收益法办公!$A$1:$AK$69</definedName>
    <definedName name="_xlnm.Print_Area" localSheetId="30">收益法车库!$A$1:$AK$69</definedName>
    <definedName name="_xlnm.Print_Area" localSheetId="26">收益法商业!$A$1:$AK$69</definedName>
    <definedName name="_xlnm.Print_Area" localSheetId="13">'数据-汇总表'!$A$1:$P$32</definedName>
    <definedName name="八级">区片价!$O$1:$O$40</definedName>
    <definedName name="办公层高" localSheetId="51">'[1]比较法-办公'!$B$119:$M$119</definedName>
    <definedName name="办公层高" localSheetId="52">'[2]比较法-办公'!$B$119:$M$119</definedName>
    <definedName name="办公层高" localSheetId="49">'[3]比较法-办公'!$B$119:$M$119</definedName>
    <definedName name="办公层高">'比较法-办公'!$B$119:$M$119</definedName>
    <definedName name="办公朝向" localSheetId="51">'[1]比较法-办公'!$B$91:$M$91</definedName>
    <definedName name="办公朝向" localSheetId="52">'[2]比较法-办公'!$B$91:$M$91</definedName>
    <definedName name="办公朝向" localSheetId="49">'[3]比较法-办公'!$B$91:$M$91</definedName>
    <definedName name="办公朝向">'比较法-办公'!$B$91:$M$91</definedName>
    <definedName name="办公道路级别" localSheetId="51">'[1]比较法-办公'!$B$87:$M$87</definedName>
    <definedName name="办公道路级别" localSheetId="52">'[2]比较法-办公'!$B$87:$M$87</definedName>
    <definedName name="办公道路级别" localSheetId="49">'[3]比较法-办公'!$B$87:$M$87</definedName>
    <definedName name="办公道路级别">'比较法-办公'!$B$87:$M$87</definedName>
    <definedName name="办公公共部分装修" localSheetId="51">'[1]比较法-办公'!$B$108:$M$108</definedName>
    <definedName name="办公公共部分装修" localSheetId="52">'[2]比较法-办公'!$B$108:$M$108</definedName>
    <definedName name="办公公共部分装修" localSheetId="49">'[3]比较法-办公'!$B$108:$M$108</definedName>
    <definedName name="办公公共部分装修">'比较法-办公'!$B$108:$M$108</definedName>
    <definedName name="办公基础设施水平" localSheetId="51">'[1]比较法-办公'!$B$117:$M$117</definedName>
    <definedName name="办公基础设施水平" localSheetId="52">'[2]比较法-办公'!$B$117:$M$117</definedName>
    <definedName name="办公基础设施水平" localSheetId="49">'[3]比较法-办公'!$B$117:$M$117</definedName>
    <definedName name="办公基础设施水平">'比较法-办公'!$B$117:$M$117</definedName>
    <definedName name="办公集聚程度" localSheetId="51">[1]定义!$M$1:$M$6</definedName>
    <definedName name="办公集聚程度" localSheetId="52">[2]定义!$M$1:$M$6</definedName>
    <definedName name="办公集聚程度" localSheetId="49">[3]定义!$M$1:$M$6</definedName>
    <definedName name="办公集聚程度">定义!$M$1:$M$6</definedName>
    <definedName name="办公建筑结构" localSheetId="51">'[1]比较法-办公'!$B$106:$M$106</definedName>
    <definedName name="办公建筑结构" localSheetId="52">'[2]比较法-办公'!$B$106:$M$106</definedName>
    <definedName name="办公建筑结构" localSheetId="49">'[3]比较法-办公'!$B$106:$M$106</definedName>
    <definedName name="办公建筑结构">'比较法-办公'!$B$106:$M$106</definedName>
    <definedName name="办公建筑类型" localSheetId="51">'[1]比较法-办公'!$B$101:$M$101</definedName>
    <definedName name="办公建筑类型" localSheetId="52">'[2]比较法-办公'!$B$101:$M$101</definedName>
    <definedName name="办公建筑类型" localSheetId="49">'[3]比较法-办公'!$B$101:$M$101</definedName>
    <definedName name="办公建筑类型">'比较法-办公'!$B$101:$M$101</definedName>
    <definedName name="办公交易情况" localSheetId="51">'[1]比较法-办公'!$A$62:$M$62</definedName>
    <definedName name="办公交易情况" localSheetId="52">'[2]比较法-办公'!$A$62:$M$62</definedName>
    <definedName name="办公交易情况" localSheetId="49">'[3]比较法-办公'!$A$62:$M$62</definedName>
    <definedName name="办公交易情况">'比较法-办公'!$A$62:$M$62</definedName>
    <definedName name="办公楼层" localSheetId="51">'[1]比较法-办公'!$B$89:$M$89</definedName>
    <definedName name="办公楼层" localSheetId="52">'[2]比较法-办公'!$B$89:$M$89</definedName>
    <definedName name="办公楼层" localSheetId="49">'[3]比较法-办公'!$B$89:$M$89</definedName>
    <definedName name="办公楼层">'比较法-办公'!$B$89:$M$89</definedName>
    <definedName name="办公内部装修" localSheetId="51">'[1]比较法-办公'!$B$123:$M$123</definedName>
    <definedName name="办公内部装修" localSheetId="52">'[2]比较法-办公'!$B$123:$M$123</definedName>
    <definedName name="办公内部装修" localSheetId="49">'[3]比较法-办公'!$B$123:$M$123</definedName>
    <definedName name="办公内部装修">'比较法-办公'!$B$123:$M$123</definedName>
    <definedName name="办公物业管理" localSheetId="51">'[1]比较法-办公'!$B$115:$M$115</definedName>
    <definedName name="办公物业管理" localSheetId="52">'[2]比较法-办公'!$B$115:$M$115</definedName>
    <definedName name="办公物业管理" localSheetId="49">'[3]比较法-办公'!$B$115:$M$115</definedName>
    <definedName name="办公物业管理">'比较法-办公'!$B$115:$M$115</definedName>
    <definedName name="办公用途" localSheetId="51">'[1]比较法-办公'!$B$64:$M$64</definedName>
    <definedName name="办公用途" localSheetId="52">'[2]比较法-办公'!$B$64:$M$64</definedName>
    <definedName name="办公用途" localSheetId="49">'[3]比较法-办公'!$B$64:$M$64</definedName>
    <definedName name="办公用途">'比较法-办公'!$B$64:$M$64</definedName>
    <definedName name="仓储公共部分装修" localSheetId="51">'[1]比较法-仓储'!$B$77:$M$77</definedName>
    <definedName name="仓储公共部分装修" localSheetId="52">'[2]比较法-仓储'!$B$77:$M$77</definedName>
    <definedName name="仓储公共部分装修" localSheetId="49">'[3]比较法-仓储'!$B$77:$M$77</definedName>
    <definedName name="仓储公共部分装修">'比较法-仓储'!$B$77:$M$77</definedName>
    <definedName name="仓储交易情况" localSheetId="51">'[1]比较法-仓储'!$A$49:$M$49</definedName>
    <definedName name="仓储交易情况" localSheetId="52">'[2]比较法-仓储'!$A$49:$M$49</definedName>
    <definedName name="仓储交易情况" localSheetId="49">'[3]比较法-仓储'!$A$49:$M$49</definedName>
    <definedName name="仓储交易情况">'比较法-仓储'!$A$49:$M$49</definedName>
    <definedName name="仓储楼层" localSheetId="51">'[1]比较法-仓储'!$B$69:$M$69</definedName>
    <definedName name="仓储楼层" localSheetId="52">'[2]比较法-仓储'!$B$69:$M$69</definedName>
    <definedName name="仓储楼层" localSheetId="49">'[3]比较法-仓储'!$B$69:$M$69</definedName>
    <definedName name="仓储楼层">'比较法-仓储'!$B$69:$M$69</definedName>
    <definedName name="仓储物业等级" localSheetId="51">'[1]比较法-仓储'!$B$82:$M$82</definedName>
    <definedName name="仓储物业等级" localSheetId="52">'[2]比较法-仓储'!$B$82:$M$82</definedName>
    <definedName name="仓储物业等级" localSheetId="49">'[3]比较法-仓储'!$B$82:$M$82</definedName>
    <definedName name="仓储物业等级">'比较法-仓储'!$B$82:$M$82</definedName>
    <definedName name="仓储用途" localSheetId="51">'[1]比较法-仓储'!$B$51:$M$51</definedName>
    <definedName name="仓储用途" localSheetId="52">'[2]比较法-仓储'!$B$51:$M$51</definedName>
    <definedName name="仓储用途" localSheetId="49">'[3]比较法-仓储'!$B$51:$M$51</definedName>
    <definedName name="仓储用途">'比较法-仓储'!$B$51:$M$51</definedName>
    <definedName name="产业集聚程度" localSheetId="51">[1]定义!$N$1:$N$6</definedName>
    <definedName name="产业集聚程度" localSheetId="52">[2]定义!$N$1:$N$6</definedName>
    <definedName name="产业集聚程度" localSheetId="49">[3]定义!$N$1:$N$6</definedName>
    <definedName name="产业集聚程度">定义!$N$1:$N$6</definedName>
    <definedName name="车位公共部分装修" localSheetId="51">'[1]比较法-车位'!$B$83:$M$83</definedName>
    <definedName name="车位公共部分装修" localSheetId="52">'[2]比较法-车位'!$B$83:$M$83</definedName>
    <definedName name="车位公共部分装修" localSheetId="49">'[3]比较法-车位'!$B$83:$M$83</definedName>
    <definedName name="车位公共部分装修">'比较法-车位'!$B$83:$M$83</definedName>
    <definedName name="车位交易情况" localSheetId="51">'[1]比较法-车位'!$A$51:$M$51</definedName>
    <definedName name="车位交易情况" localSheetId="52">'[2]比较法-车位'!$A$51:$M$51</definedName>
    <definedName name="车位交易情况" localSheetId="49">'[3]比较法-车位'!$A$51:$M$51</definedName>
    <definedName name="车位交易情况">'比较法-车位'!$A$51:$M$51</definedName>
    <definedName name="车位类型" localSheetId="51">'[1]比较法-车位'!$B$93:$M$93</definedName>
    <definedName name="车位类型" localSheetId="52">'[2]比较法-车位'!$B$93:$M$93</definedName>
    <definedName name="车位类型" localSheetId="49">'[3]比较法-车位'!$B$93:$M$93</definedName>
    <definedName name="车位类型">'比较法-车位'!$B$93:$M$93</definedName>
    <definedName name="车位楼层" localSheetId="51">'[1]比较法-车位'!$B$71:$M$71</definedName>
    <definedName name="车位楼层" localSheetId="52">'[2]比较法-车位'!$B$71:$M$71</definedName>
    <definedName name="车位楼层" localSheetId="49">'[3]比较法-车位'!$B$71:$M$71</definedName>
    <definedName name="车位楼层">'比较法-车位'!$B$71:$M$71</definedName>
    <definedName name="车位配套类型" localSheetId="51">'[1]比较法-车位'!$B$79:$M$79</definedName>
    <definedName name="车位配套类型" localSheetId="52">'[2]比较法-车位'!$B$79:$M$79</definedName>
    <definedName name="车位配套类型" localSheetId="49">'[3]比较法-车位'!$B$79:$M$79</definedName>
    <definedName name="车位配套类型">'比较法-车位'!$B$79:$M$79</definedName>
    <definedName name="车位物业等级" localSheetId="51">'[1]比较法-车位'!$B$88:$M$88</definedName>
    <definedName name="车位物业等级" localSheetId="52">'[2]比较法-车位'!$B$88:$M$88</definedName>
    <definedName name="车位物业等级" localSheetId="49">'[3]比较法-车位'!$B$88:$M$88</definedName>
    <definedName name="车位物业等级">'比较法-车位'!$B$88:$M$88</definedName>
    <definedName name="车位用途" localSheetId="51">'[1]比较法-车位'!$B$53:$M$53</definedName>
    <definedName name="车位用途" localSheetId="52">'[2]比较法-车位'!$B$53:$M$53</definedName>
    <definedName name="车位用途" localSheetId="49">'[3]比较法-车位'!$B$53:$M$53</definedName>
    <definedName name="车位用途">'比较法-车位'!$B$53:$M$53</definedName>
    <definedName name="城镇土地纳税等级分级范围" localSheetId="51">'[1]数据-取费表'!$A$53:$A$63</definedName>
    <definedName name="城镇土地纳税等级分级范围" localSheetId="52">'[2]数据-取费表'!$A$53:$A$63</definedName>
    <definedName name="城镇土地纳税等级分级范围" localSheetId="49">'[3]数据-取费表'!$A$53:$A$63</definedName>
    <definedName name="城镇土地纳税等级分级范围">'数据-取费表'!$A$53:$A$63</definedName>
    <definedName name="单价内涵" localSheetId="51">[1]定义!$V$1:$V$3</definedName>
    <definedName name="单价内涵" localSheetId="52">[2]定义!$V$1:$V$3</definedName>
    <definedName name="单价内涵" localSheetId="49">[3]定义!$V$1:$V$3</definedName>
    <definedName name="单价内涵">定义!$V$1:$V$3</definedName>
    <definedName name="地类判定" localSheetId="51">[1]定义!$H$1:$H$9</definedName>
    <definedName name="地类判定" localSheetId="52">[2]定义!$H$1:$H$9</definedName>
    <definedName name="地类判定" localSheetId="49">[3]定义!$H$1:$H$9</definedName>
    <definedName name="地类判定">定义!$H$1:$H$9</definedName>
    <definedName name="二级">区片价!$I$1:$I$20</definedName>
    <definedName name="二级分类" localSheetId="51">[1]修正!$C$17:$C$39</definedName>
    <definedName name="二级分类" localSheetId="52">[2]修正!$C$17:$C$39</definedName>
    <definedName name="二级分类" localSheetId="49">[3]修正!$C$17:$C$39</definedName>
    <definedName name="二级分类">修正!$C$17:$C$39</definedName>
    <definedName name="法定最高年限" localSheetId="51">[1]定义!$G$1:$G$4</definedName>
    <definedName name="法定最高年限" localSheetId="52">[2]定义!$G$1:$G$4</definedName>
    <definedName name="法定最高年限" localSheetId="49">[3]定义!$G$1:$G$4</definedName>
    <definedName name="法定最高年限">定义!$G$1:$G$4</definedName>
    <definedName name="工业公共部分装修" localSheetId="51">'[1]比较法-工业'!$B$95:$M$95</definedName>
    <definedName name="工业公共部分装修" localSheetId="52">'[2]比较法-工业'!$B$95:$M$95</definedName>
    <definedName name="工业公共部分装修" localSheetId="49">'[3]比较法-工业'!$B$95:$M$95</definedName>
    <definedName name="工业公共部分装修">'比较法-工业'!$B$95:$M$95</definedName>
    <definedName name="工业基础设施水平" localSheetId="51">'[1]比较法-工业'!$B$102:$M$102</definedName>
    <definedName name="工业基础设施水平" localSheetId="52">'[2]比较法-工业'!$B$102:$M$102</definedName>
    <definedName name="工业基础设施水平" localSheetId="49">'[3]比较法-工业'!$B$102:$M$102</definedName>
    <definedName name="工业基础设施水平">'比较法-工业'!$B$102:$M$102</definedName>
    <definedName name="工业建筑结构" localSheetId="51">'[1]比较法-工业'!$B$93:$M$93</definedName>
    <definedName name="工业建筑结构" localSheetId="52">'[2]比较法-工业'!$B$93:$M$93</definedName>
    <definedName name="工业建筑结构" localSheetId="49">'[3]比较法-工业'!$B$93:$M$93</definedName>
    <definedName name="工业建筑结构">'比较法-工业'!$B$93:$M$93</definedName>
    <definedName name="工业建筑类型" localSheetId="51">'[1]比较法-工业'!$B$88:$M$88</definedName>
    <definedName name="工业建筑类型" localSheetId="52">'[2]比较法-工业'!$B$88:$M$88</definedName>
    <definedName name="工业建筑类型" localSheetId="49">'[3]比较法-工业'!$B$88:$M$88</definedName>
    <definedName name="工业建筑类型">'比较法-工业'!$B$88:$M$88</definedName>
    <definedName name="工业交易情况" localSheetId="51">'[1]比较法-工业'!$A$55:$M$55</definedName>
    <definedName name="工业交易情况" localSheetId="52">'[2]比较法-工业'!$A$55:$M$55</definedName>
    <definedName name="工业交易情况" localSheetId="49">'[3]比较法-工业'!$A$55:$M$55</definedName>
    <definedName name="工业交易情况">'比较法-工业'!$A$55:$M$55</definedName>
    <definedName name="工业内部装修" localSheetId="51">'[1]比较法-工业'!$B$104:$M$104</definedName>
    <definedName name="工业内部装修" localSheetId="52">'[2]比较法-工业'!$B$104:$M$104</definedName>
    <definedName name="工业内部装修" localSheetId="49">'[3]比较法-工业'!$B$104:$M$104</definedName>
    <definedName name="工业内部装修">'比较法-工业'!$B$104:$M$104</definedName>
    <definedName name="工业物业管理" localSheetId="51">'[1]比较法-工业'!$B$100:$M$100</definedName>
    <definedName name="工业物业管理" localSheetId="52">'[2]比较法-工业'!$B$100:$M$100</definedName>
    <definedName name="工业物业管理" localSheetId="49">'[3]比较法-工业'!$B$100:$M$100</definedName>
    <definedName name="工业物业管理">'比较法-工业'!$B$100:$M$100</definedName>
    <definedName name="工业用途" localSheetId="51">'[1]比较法-工业'!$B$57:$M$57</definedName>
    <definedName name="工业用途" localSheetId="52">'[2]比较法-工业'!$B$57:$M$57</definedName>
    <definedName name="工业用途" localSheetId="49">'[3]比较法-工业'!$B$57:$M$57</definedName>
    <definedName name="工业用途">'比较法-工业'!$B$57:$M$57</definedName>
    <definedName name="公共配套设施" localSheetId="51">[1]定义!$Q$1:$Q$6</definedName>
    <definedName name="公共配套设施" localSheetId="52">[2]定义!$Q$1:$Q$6</definedName>
    <definedName name="公共配套设施" localSheetId="49">[3]定义!$Q$1:$Q$6</definedName>
    <definedName name="公共配套设施">定义!$Q$1:$Q$6</definedName>
    <definedName name="估价方法" localSheetId="51">[1]定义!$B$1:$B$50</definedName>
    <definedName name="估价方法" localSheetId="52">[2]定义!$B$1:$B$50</definedName>
    <definedName name="估价方法" localSheetId="49">[3]定义!$B$1:$B$50</definedName>
    <definedName name="估价方法">定义!$B$1:$B$50</definedName>
    <definedName name="环境" localSheetId="51">[1]定义!$S$1:$S$6</definedName>
    <definedName name="环境" localSheetId="52">[2]定义!$S$1:$S$6</definedName>
    <definedName name="环境" localSheetId="49">[3]定义!$S$1:$S$6</definedName>
    <definedName name="环境">定义!$S$1:$S$6</definedName>
    <definedName name="基础设施水平" localSheetId="51">[1]定义!$R$1:$R$6</definedName>
    <definedName name="基础设施水平" localSheetId="52">[2]定义!$R$1:$R$6</definedName>
    <definedName name="基础设施水平" localSheetId="49">[3]定义!$R$1:$R$6</definedName>
    <definedName name="基础设施水平">定义!$R$1:$R$6</definedName>
    <definedName name="季度">基准地价修正!$Q$19:$AD$19</definedName>
    <definedName name="价值类型2" localSheetId="51">[1]定义!$B$54:$B$56</definedName>
    <definedName name="价值类型2" localSheetId="52">[2]定义!$B$54:$B$56</definedName>
    <definedName name="价值类型2" localSheetId="49">[3]定义!$B$54:$B$56</definedName>
    <definedName name="价值类型2">定义!$B$54:$B$56</definedName>
    <definedName name="交通便捷度" localSheetId="51">[1]定义!$O$1:$O$6</definedName>
    <definedName name="交通便捷度" localSheetId="52">[2]定义!$O$1:$O$6</definedName>
    <definedName name="交通便捷度" localSheetId="49">[3]定义!$O$1:$O$6</definedName>
    <definedName name="交通便捷度">定义!$O$1:$O$6</definedName>
    <definedName name="九级">区片价!$P$1:$P$46</definedName>
    <definedName name="居住社区成熟度" localSheetId="51">[1]定义!$K$1:$K$6</definedName>
    <definedName name="居住社区成熟度" localSheetId="52">[2]定义!$K$1:$K$6</definedName>
    <definedName name="居住社区成熟度" localSheetId="49">[3]定义!$K$1:$K$6</definedName>
    <definedName name="居住社区成熟度">定义!$K$1:$K$6</definedName>
    <definedName name="类别" localSheetId="51">[1]定义!$J$1:$J$3</definedName>
    <definedName name="类别" localSheetId="52">[2]定义!$J$1:$J$3</definedName>
    <definedName name="类别" localSheetId="49">[3]定义!$J$1:$J$3</definedName>
    <definedName name="类别">定义!$J$1:$J$3</definedName>
    <definedName name="临街状况" localSheetId="51">[1]定义!$T$1:$T$5</definedName>
    <definedName name="临街状况" localSheetId="52">[2]定义!$T$1:$T$5</definedName>
    <definedName name="临街状况" localSheetId="49">[3]定义!$T$1:$T$5</definedName>
    <definedName name="临街状况">定义!$T$1:$T$5</definedName>
    <definedName name="六级">区片价!$M$1:$M$49</definedName>
    <definedName name="内部装修维护情况" localSheetId="51">[1]定义!$U$1:$U$6</definedName>
    <definedName name="内部装修维护情况" localSheetId="52">[2]定义!$U$1:$U$6</definedName>
    <definedName name="内部装修维护情况" localSheetId="49">[3]定义!$U$1:$U$6</definedName>
    <definedName name="内部装修维护情况">定义!$U$1:$U$6</definedName>
    <definedName name="判定" localSheetId="51">[1]定义!$D$1:$D$4</definedName>
    <definedName name="判定" localSheetId="52">[2]定义!$D$1:$D$4</definedName>
    <definedName name="判定" localSheetId="49">[3]定义!$D$1:$D$4</definedName>
    <definedName name="判定">定义!$D$1:$D$4</definedName>
    <definedName name="七级">区片价!$N$1:$N$49</definedName>
    <definedName name="七通一平" localSheetId="51">[1]修正!$A$6:$A$14</definedName>
    <definedName name="七通一平" localSheetId="52">[2]修正!$A$6:$A$14</definedName>
    <definedName name="七通一平" localSheetId="49">[3]修正!$A$6:$A$14</definedName>
    <definedName name="七通一平">修正!$A$6:$A$14</definedName>
    <definedName name="区域土地利用方向" localSheetId="51">[1]定义!$P$1:$P$6</definedName>
    <definedName name="区域土地利用方向" localSheetId="52">[2]定义!$P$1:$P$6</definedName>
    <definedName name="区域土地利用方向" localSheetId="49">[3]定义!$P$1:$P$6</definedName>
    <definedName name="区域土地利用方向">定义!$P$1:$P$6</definedName>
    <definedName name="三级">区片价!$J$1:$J$21</definedName>
    <definedName name="商业层高" localSheetId="51">'[1]比较法-商业'!$B$116:$M$116</definedName>
    <definedName name="商业层高" localSheetId="52">'[2]比较法-商业'!$B$116:$M$116</definedName>
    <definedName name="商业层高" localSheetId="49">'[3]比较法-商业'!$B$116:$M$116</definedName>
    <definedName name="商业层高">'比较法-商业'!$B$116:$M$116</definedName>
    <definedName name="商业成新度">'比较法-商业'!$B$109:$M$109</definedName>
    <definedName name="商业繁华度" localSheetId="51">[1]定义!$L$1:$L$6</definedName>
    <definedName name="商业繁华度" localSheetId="52">[2]定义!$L$1:$L$6</definedName>
    <definedName name="商业繁华度" localSheetId="49">[3]定义!$L$1:$L$6</definedName>
    <definedName name="商业繁华度">定义!$L$1:$L$6</definedName>
    <definedName name="商业公共部分装修" localSheetId="51">'[1]比较法-商业'!$B$107:$M$107</definedName>
    <definedName name="商业公共部分装修" localSheetId="52">'[2]比较法-商业'!$B$107:$M$107</definedName>
    <definedName name="商业公共部分装修" localSheetId="49">'[3]比较法-商业'!$B$107:$M$107</definedName>
    <definedName name="商业公共部分装修">'比较法-商业'!$B$107:$M$107</definedName>
    <definedName name="商业基础设施水平" localSheetId="51">'[1]比较法-商业'!$B$112:$M$112</definedName>
    <definedName name="商业基础设施水平" localSheetId="52">'[2]比较法-商业'!$B$112:$M$112</definedName>
    <definedName name="商业基础设施水平" localSheetId="49">'[3]比较法-商业'!$B$112:$M$112</definedName>
    <definedName name="商业基础设施水平">'比较法-商业'!$B$112:$M$112</definedName>
    <definedName name="商业建筑结构" localSheetId="51">'[1]比较法-商业'!$B$105:$M$105</definedName>
    <definedName name="商业建筑结构" localSheetId="52">'[2]比较法-商业'!$B$105:$M$105</definedName>
    <definedName name="商业建筑结构" localSheetId="49">'[3]比较法-商业'!$B$105:$M$105</definedName>
    <definedName name="商业建筑结构">'比较法-商业'!$B$105:$M$105</definedName>
    <definedName name="商业交易情况" localSheetId="51">'[1]比较法-商业'!$A$61:$M$61</definedName>
    <definedName name="商业交易情况" localSheetId="52">'[2]比较法-商业'!$A$61:$M$61</definedName>
    <definedName name="商业交易情况" localSheetId="49">'[3]比较法-商业'!$A$61:$M$61</definedName>
    <definedName name="商业交易情况">'比较法-商业'!$A$61:$M$61</definedName>
    <definedName name="商业街名称" localSheetId="51">[1]修正!$C$59:$C$119</definedName>
    <definedName name="商业街名称" localSheetId="52">[2]修正!$C$59:$C$119</definedName>
    <definedName name="商业街名称" localSheetId="49">[3]修正!$C$59:$C$119</definedName>
    <definedName name="商业街名称">修正!$C$59:$C$119</definedName>
    <definedName name="商业进深比" localSheetId="51">'[1]比较法-商业'!$B$120:$M$120</definedName>
    <definedName name="商业进深比" localSheetId="52">'[2]比较法-商业'!$B$120:$M$120</definedName>
    <definedName name="商业进深比" localSheetId="49">'[3]比较法-商业'!$B$120:$M$120</definedName>
    <definedName name="商业进深比">'比较法-商业'!$B$120:$M$120</definedName>
    <definedName name="商业类型" localSheetId="51">'[1]比较法-商业'!$B$100:$M$100</definedName>
    <definedName name="商业类型" localSheetId="52">'[2]比较法-商业'!$B$100:$M$100</definedName>
    <definedName name="商业类型" localSheetId="49">'[3]比较法-商业'!$B$100:$M$100</definedName>
    <definedName name="商业类型">'比较法-商业'!$B$100:$M$100</definedName>
    <definedName name="商业临街状况" localSheetId="51">'[1]比较法-商业'!$B$86:$M$86</definedName>
    <definedName name="商业临街状况" localSheetId="52">'[2]比较法-商业'!$B$86:$M$86</definedName>
    <definedName name="商业临街状况" localSheetId="49">'[3]比较法-商业'!$B$86:$M$86</definedName>
    <definedName name="商业临街状况">'比较法-商业'!$B$86:$M$86</definedName>
    <definedName name="商业楼层" localSheetId="51">'[1]比较法-商业'!$B$92:$M$92</definedName>
    <definedName name="商业楼层" localSheetId="52">'[2]比较法-商业'!$B$92:$M$92</definedName>
    <definedName name="商业楼层" localSheetId="49">'[3]比较法-商业'!$B$92:$M$92</definedName>
    <definedName name="商业楼层">'比较法-商业'!$B$92:$M$92</definedName>
    <definedName name="商业内部装修" localSheetId="51">'[1]比较法-商业'!$B$122:$M$122</definedName>
    <definedName name="商业内部装修" localSheetId="52">'[2]比较法-商业'!$B$122:$M$122</definedName>
    <definedName name="商业内部装修" localSheetId="49">'[3]比较法-商业'!$B$122:$M$122</definedName>
    <definedName name="商业内部装修">'比较法-商业'!$B$122:$M$122</definedName>
    <definedName name="商业人流量" localSheetId="51">'[1]比较法-商业'!$B$90:$M$90</definedName>
    <definedName name="商业人流量" localSheetId="52">'[2]比较法-商业'!$B$90:$M$90</definedName>
    <definedName name="商业人流量" localSheetId="49">'[3]比较法-商业'!$B$90:$M$90</definedName>
    <definedName name="商业人流量">'比较法-商业'!$B$90:$M$90</definedName>
    <definedName name="商业业态" localSheetId="51">'[1]比较法-商业'!$B$114:$M$114</definedName>
    <definedName name="商业业态" localSheetId="52">'[2]比较法-商业'!$B$114:$M$114</definedName>
    <definedName name="商业业态" localSheetId="49">'[3]比较法-商业'!$B$114:$M$114</definedName>
    <definedName name="商业业态">'比较法-商业'!$B$114:$M$114</definedName>
    <definedName name="商业用途" localSheetId="51">'[1]比较法-商业'!$B$63:$M$63</definedName>
    <definedName name="商业用途" localSheetId="52">'[2]比较法-商业'!$B$63:$M$63</definedName>
    <definedName name="商业用途" localSheetId="49">'[3]比较法-商业'!$B$63:$M$63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1">'[1]比较法-仓储'!$B$89:$M$89</definedName>
    <definedName name="是否封闭" localSheetId="52">'[2]比较法-仓储'!$B$89:$M$89</definedName>
    <definedName name="是否封闭" localSheetId="49">'[3]比较法-仓储'!$B$89:$M$89</definedName>
    <definedName name="是否封闭">'比较法-仓储'!$B$89:$M$89</definedName>
    <definedName name="是否直接入户" localSheetId="51">'[1]比较法-车位'!$B$95:$M$95</definedName>
    <definedName name="是否直接入户" localSheetId="52">'[2]比较法-车位'!$B$95:$M$95</definedName>
    <definedName name="是否直接入户" localSheetId="49">'[3]比较法-车位'!$B$95:$M$95</definedName>
    <definedName name="是否直接入户">'比较法-车位'!$B$95:$M$95</definedName>
    <definedName name="四级">区片价!$K$1:$K$28</definedName>
    <definedName name="套工道路等级" localSheetId="51">'[1]土地比较法-工业'!$B$97:$M$97</definedName>
    <definedName name="套工道路等级" localSheetId="52">'[2]土地比较法-工业'!$B$97:$M$97</definedName>
    <definedName name="套工道路等级" localSheetId="49">'[3]土地比较法-工业'!$B$97:$M$97</definedName>
    <definedName name="套工道路等级">'土地比较法-工业'!$B$97:$M$97</definedName>
    <definedName name="套工地质条件" localSheetId="51">'[1]土地比较法-工业'!$B$114:$M$114</definedName>
    <definedName name="套工地质条件" localSheetId="52">'[2]土地比较法-工业'!$B$114:$M$114</definedName>
    <definedName name="套工地质条件" localSheetId="49">'[3]土地比较法-工业'!$B$114:$M$114</definedName>
    <definedName name="套工地质条件">'土地比较法-工业'!$B$114:$M$114</definedName>
    <definedName name="套工交易情况" localSheetId="51">'[1]土地比较法-住宅、综合'!$A$73:$M$73</definedName>
    <definedName name="套工交易情况" localSheetId="52">'[2]土地比较法-住宅、综合'!$A$73:$M$73</definedName>
    <definedName name="套工交易情况" localSheetId="49">'[3]土地比较法-住宅、综合'!$A$73:$M$73</definedName>
    <definedName name="套工交易情况">'土地比较法-住宅、综合'!$A$73:$M$73</definedName>
    <definedName name="套工土地级别" localSheetId="51">'[1]土地比较法-工业'!$B$99:$M$99</definedName>
    <definedName name="套工土地级别" localSheetId="52">'[2]土地比较法-工业'!$B$99:$M$99</definedName>
    <definedName name="套工土地级别" localSheetId="49">'[3]土地比较法-工业'!$B$99:$M$99</definedName>
    <definedName name="套工土地级别">'土地比较法-工业'!$B$99:$M$99</definedName>
    <definedName name="套工用途" localSheetId="51">'[1]土地比较法-工业'!$B$70:$M$70</definedName>
    <definedName name="套工用途" localSheetId="52">'[2]土地比较法-工业'!$B$70:$M$70</definedName>
    <definedName name="套工用途" localSheetId="49">'[3]土地比较法-工业'!$B$70:$M$70</definedName>
    <definedName name="套工用途">'土地比较法-工业'!$B$70:$M$70</definedName>
    <definedName name="套工宗地开发程度" localSheetId="51">'[1]土地比较法-工业'!$B$112:$M$112</definedName>
    <definedName name="套工宗地开发程度" localSheetId="52">'[2]土地比较法-工业'!$B$112:$M$112</definedName>
    <definedName name="套工宗地开发程度" localSheetId="49">'[3]土地比较法-工业'!$B$112:$M$112</definedName>
    <definedName name="套工宗地开发程度">'土地比较法-工业'!$B$112:$M$112</definedName>
    <definedName name="套工宗地形状" localSheetId="51">'[1]土地比较法-工业'!$B$110:$M$110</definedName>
    <definedName name="套工宗地形状" localSheetId="52">'[2]土地比较法-工业'!$B$110:$M$110</definedName>
    <definedName name="套工宗地形状" localSheetId="49">'[3]土地比较法-工业'!$B$110:$M$110</definedName>
    <definedName name="套工宗地形状">'土地比较法-工业'!$B$110:$M$110</definedName>
    <definedName name="套综道路等级" localSheetId="51">'[1]土地比较法-住宅、综合'!$B$106:$M$106</definedName>
    <definedName name="套综道路等级" localSheetId="52">'[2]土地比较法-住宅、综合'!$B$106:$M$106</definedName>
    <definedName name="套综道路等级" localSheetId="49">'[3]土地比较法-住宅、综合'!$B$106:$M$106</definedName>
    <definedName name="套综道路等级">'土地比较法-住宅、综合'!$B$106:$M$106</definedName>
    <definedName name="套综工程地质条件" localSheetId="51">'[1]土地比较法-住宅、综合'!$B$125:$M$125</definedName>
    <definedName name="套综工程地质条件" localSheetId="52">'[2]土地比较法-住宅、综合'!$B$125:$M$125</definedName>
    <definedName name="套综工程地质条件" localSheetId="49">'[3]土地比较法-住宅、综合'!$B$125:$M$125</definedName>
    <definedName name="套综工程地质条件">'土地比较法-住宅、综合'!$B$125:$M$125</definedName>
    <definedName name="套综交易情况" localSheetId="51">'[1]土地比较法-住宅、综合'!$A$73:$M$73</definedName>
    <definedName name="套综交易情况" localSheetId="52">'[2]土地比较法-住宅、综合'!$A$73:$M$73</definedName>
    <definedName name="套综交易情况" localSheetId="49">'[3]土地比较法-住宅、综合'!$A$73:$M$73</definedName>
    <definedName name="套综交易情况">'土地比较法-住宅、综合'!$A$73:$M$73</definedName>
    <definedName name="套综临街宽度及深度" localSheetId="51">'[1]土地比较法-住宅、综合'!$B$121:$M$121</definedName>
    <definedName name="套综临街宽度及深度" localSheetId="52">'[2]土地比较法-住宅、综合'!$B$121:$M$121</definedName>
    <definedName name="套综临街宽度及深度" localSheetId="49">'[3]土地比较法-住宅、综合'!$B$121:$M$121</definedName>
    <definedName name="套综临街宽度及深度">'土地比较法-住宅、综合'!$B$121:$M$121</definedName>
    <definedName name="套综土地级别" localSheetId="51">'[1]土地比较法-住宅、综合'!$B$108:$M$108</definedName>
    <definedName name="套综土地级别" localSheetId="52">'[2]土地比较法-住宅、综合'!$B$108:$M$108</definedName>
    <definedName name="套综土地级别" localSheetId="49">'[3]土地比较法-住宅、综合'!$B$108:$M$108</definedName>
    <definedName name="套综土地级别">'土地比较法-住宅、综合'!$B$108:$M$108</definedName>
    <definedName name="套综用途" localSheetId="51">'[1]土地比较法-住宅、综合'!$B$75:$M$75</definedName>
    <definedName name="套综用途" localSheetId="52">'[2]土地比较法-住宅、综合'!$B$75:$M$75</definedName>
    <definedName name="套综用途" localSheetId="49">'[3]土地比较法-住宅、综合'!$B$75:$M$75</definedName>
    <definedName name="套综用途">'土地比较法-住宅、综合'!$B$75:$M$75</definedName>
    <definedName name="套综宗地内开发程度" localSheetId="51">'[1]土地比较法-住宅、综合'!$B$123:$M$123</definedName>
    <definedName name="套综宗地内开发程度" localSheetId="52">'[2]土地比较法-住宅、综合'!$B$123:$M$123</definedName>
    <definedName name="套综宗地内开发程度" localSheetId="49">'[3]土地比较法-住宅、综合'!$B$123:$M$123</definedName>
    <definedName name="套综宗地内开发程度">'土地比较法-住宅、综合'!$B$123:$M$123</definedName>
    <definedName name="套综宗地形状" localSheetId="51">'[1]土地比较法-住宅、综合'!$B$119:$M$119</definedName>
    <definedName name="套综宗地形状" localSheetId="52">'[2]土地比较法-住宅、综合'!$B$119:$M$119</definedName>
    <definedName name="套综宗地形状" localSheetId="49">'[3]土地比较法-住宅、综合'!$B$119:$M$119</definedName>
    <definedName name="套综宗地形状">'土地比较法-住宅、综合'!$B$119:$M$119</definedName>
    <definedName name="土地估价师">估价师及机构信息!$D$3:$D$24</definedName>
    <definedName name="土地级别" localSheetId="51">[1]定义!$C$1:$C$14</definedName>
    <definedName name="土地级别" localSheetId="52">[2]定义!$C$1:$C$14</definedName>
    <definedName name="土地级别" localSheetId="49">[3]定义!$C$1:$C$14</definedName>
    <definedName name="土地级别">定义!$C$1:$C$14</definedName>
    <definedName name="土地利用方向">定义!$P$1:$P$6</definedName>
    <definedName name="土地年限区间" localSheetId="51">[1]定义!$I$1:$I$8</definedName>
    <definedName name="土地年限区间" localSheetId="52">[2]定义!$I$1:$I$8</definedName>
    <definedName name="土地年限区间" localSheetId="49">[3]定义!$I$1:$I$8</definedName>
    <definedName name="土地年限区间">定义!$I$1:$I$8</definedName>
    <definedName name="位置" localSheetId="51">[1]定义!$E$2:$E$4</definedName>
    <definedName name="位置" localSheetId="52">[2]定义!$E$2:$E$4</definedName>
    <definedName name="位置" localSheetId="49">[3]定义!$E$2:$E$4</definedName>
    <definedName name="位置">定义!$E$2:$E$4</definedName>
    <definedName name="五等判定" localSheetId="51">[1]定义!$W$1:$W$6</definedName>
    <definedName name="五等判定" localSheetId="52">[2]定义!$W$1:$W$6</definedName>
    <definedName name="五等判定" localSheetId="49">[3]定义!$W$1:$W$6</definedName>
    <definedName name="五等判定">定义!$W$1:$W$6</definedName>
    <definedName name="五级">区片价!$L$1:$L$35</definedName>
    <definedName name="项目类型" localSheetId="51">'[1]数据-汇总表'!$C$17:$C$26</definedName>
    <definedName name="项目类型" localSheetId="52">'[2]数据-汇总表'!$C$17:$C$26</definedName>
    <definedName name="项目类型" localSheetId="49">'[3]数据-汇总表'!$C$17:$C$26</definedName>
    <definedName name="项目类型">'数据-汇总表'!$C$17:$C$26</definedName>
    <definedName name="写字楼等级" localSheetId="51">'[1]比较法-办公'!$B$113:$M$113</definedName>
    <definedName name="写字楼等级" localSheetId="52">'[2]比较法-办公'!$B$113:$M$113</definedName>
    <definedName name="写字楼等级" localSheetId="49">'[3]比较法-办公'!$B$113:$M$113</definedName>
    <definedName name="写字楼等级">'比较法-办公'!$B$113:$M$113</definedName>
    <definedName name="一级">区片价!$H$1:$H$6</definedName>
    <definedName name="一修多修正项2" localSheetId="51">[1]典型户型修正!$5:$5</definedName>
    <definedName name="一修多修正项2" localSheetId="52">[2]典型户型修正!$5:$5</definedName>
    <definedName name="一修多修正项2" localSheetId="28">典型户型修正商业!$5:$5</definedName>
    <definedName name="一修多修正项2" localSheetId="49">[3]典型户型修正办公!$5:$5</definedName>
    <definedName name="一修多修正项2">典型户型修正办公!$5:$5</definedName>
    <definedName name="一修多修正项3" localSheetId="51">[1]典型户型修正!$7:$7</definedName>
    <definedName name="一修多修正项3" localSheetId="52">[2]典型户型修正!$7:$7</definedName>
    <definedName name="一修多修正项3" localSheetId="28">典型户型修正商业!$7:$7</definedName>
    <definedName name="一修多修正项3" localSheetId="49">[3]典型户型修正办公!$7:$7</definedName>
    <definedName name="一修多修正项3">典型户型修正办公!$7:$7</definedName>
    <definedName name="一修多修正项4" localSheetId="51">[1]典型户型修正!$9:$9</definedName>
    <definedName name="一修多修正项4" localSheetId="52">[2]典型户型修正!$9:$9</definedName>
    <definedName name="一修多修正项4" localSheetId="28">典型户型修正商业!$9:$9</definedName>
    <definedName name="一修多修正项4" localSheetId="49">[3]典型户型修正办公!$9:$9</definedName>
    <definedName name="一修多修正项4">典型户型修正办公!$9:$9</definedName>
    <definedName name="一修多修正项5" localSheetId="51">[1]典型户型修正!$11:$11</definedName>
    <definedName name="一修多修正项5" localSheetId="52">[2]典型户型修正!$11:$11</definedName>
    <definedName name="一修多修正项5" localSheetId="28">典型户型修正商业!$11:$11</definedName>
    <definedName name="一修多修正项5" localSheetId="49">[3]典型户型修正办公!$11:$11</definedName>
    <definedName name="一修多修正项5">典型户型修正办公!$11:$11</definedName>
    <definedName name="一修多修正项6" localSheetId="51">[1]典型户型修正!$13:$13</definedName>
    <definedName name="一修多修正项6" localSheetId="52">[2]典型户型修正!$13:$13</definedName>
    <definedName name="一修多修正项6" localSheetId="28">典型户型修正商业!$13:$13</definedName>
    <definedName name="一修多修正项6" localSheetId="49">[3]典型户型修正办公!$13:$13</definedName>
    <definedName name="一修多修正项6">典型户型修正办公!$13:$13</definedName>
    <definedName name="一修多修正项7" localSheetId="51">[1]典型户型修正!$15:$15</definedName>
    <definedName name="一修多修正项7" localSheetId="52">[2]典型户型修正!$15:$15</definedName>
    <definedName name="一修多修正项7" localSheetId="28">典型户型修正商业!$15:$15</definedName>
    <definedName name="一修多修正项7" localSheetId="49">[3]典型户型修正办公!$15:$15</definedName>
    <definedName name="一修多修正项7">典型户型修正办公!$15:$15</definedName>
    <definedName name="一修多修正项8" localSheetId="51">[1]典型户型修正!$17:$17</definedName>
    <definedName name="一修多修正项8" localSheetId="52">[2]典型户型修正!$17:$17</definedName>
    <definedName name="一修多修正项8" localSheetId="28">典型户型修正商业!$17:$17</definedName>
    <definedName name="一修多修正项8" localSheetId="49">[3]典型户型修正办公!$17:$17</definedName>
    <definedName name="一修多修正项8">典型户型修正办公!$17:$17</definedName>
    <definedName name="用途明细" localSheetId="51">[1]定义!$A$1:$A$50</definedName>
    <definedName name="用途明细" localSheetId="52">[2]定义!$A$1:$A$50</definedName>
    <definedName name="用途明细" localSheetId="49">[3]定义!$A$1:$A$50</definedName>
    <definedName name="用途明细">定义!$A$1:$A$50</definedName>
    <definedName name="有无电梯" localSheetId="51">'[1]比较法-仓储'!$B$84:$M$84</definedName>
    <definedName name="有无电梯" localSheetId="52">'[2]比较法-仓储'!$B$84:$M$84</definedName>
    <definedName name="有无电梯" localSheetId="49">'[3]比较法-仓储'!$B$84:$M$84</definedName>
    <definedName name="有无电梯">'比较法-仓储'!$B$84:$M$84</definedName>
    <definedName name="主用途" localSheetId="51">[1]定义!$F$1:$F$10</definedName>
    <definedName name="主用途" localSheetId="52">[2]定义!$F$1:$F$10</definedName>
    <definedName name="主用途" localSheetId="49">[3]定义!$F$1:$F$10</definedName>
    <definedName name="主用途">定义!$F$1:$F$10</definedName>
    <definedName name="住宅朝向" localSheetId="51">'[1]比较法-住宅'!$B$88:$M$88</definedName>
    <definedName name="住宅朝向" localSheetId="52">'[2]比较法-住宅'!$B$88:$M$88</definedName>
    <definedName name="住宅朝向" localSheetId="49">'[3]比较法-住宅'!$B$88:$M$88</definedName>
    <definedName name="住宅朝向">'比较法-住宅'!$B$88:$M$88</definedName>
    <definedName name="住宅房型" localSheetId="51">'[1]比较法-住宅'!$B$118:$M$118</definedName>
    <definedName name="住宅房型" localSheetId="52">'[2]比较法-住宅'!$B$118:$M$118</definedName>
    <definedName name="住宅房型" localSheetId="49">'[3]比较法-住宅'!$B$118:$M$118</definedName>
    <definedName name="住宅房型">'比较法-住宅'!$B$118:$M$118</definedName>
    <definedName name="住宅公共部分装修" localSheetId="51">'[1]比较法-住宅'!$B$109:$M$109</definedName>
    <definedName name="住宅公共部分装修" localSheetId="52">'[2]比较法-住宅'!$B$109:$M$109</definedName>
    <definedName name="住宅公共部分装修" localSheetId="49">'[3]比较法-住宅'!$B$109:$M$109</definedName>
    <definedName name="住宅公共部分装修">'比较法-住宅'!$B$109:$M$109</definedName>
    <definedName name="住宅基础设施水平" localSheetId="51">'[1]比较法-住宅'!$B$116:$M$116</definedName>
    <definedName name="住宅基础设施水平" localSheetId="52">'[2]比较法-住宅'!$B$116:$M$116</definedName>
    <definedName name="住宅基础设施水平" localSheetId="49">'[3]比较法-住宅'!$B$116:$M$116</definedName>
    <definedName name="住宅基础设施水平">'比较法-住宅'!$B$116:$M$116</definedName>
    <definedName name="住宅建筑结构" localSheetId="51">'[1]比较法-住宅'!$B$105:$M$105</definedName>
    <definedName name="住宅建筑结构" localSheetId="52">'[2]比较法-住宅'!$B$105:$M$105</definedName>
    <definedName name="住宅建筑结构" localSheetId="49">'[3]比较法-住宅'!$B$105:$M$105</definedName>
    <definedName name="住宅建筑结构">'比较法-住宅'!$B$105:$M$105</definedName>
    <definedName name="住宅建筑类型" localSheetId="51">'[1]比较法-住宅'!$B$100:$M$100</definedName>
    <definedName name="住宅建筑类型" localSheetId="52">'[2]比较法-住宅'!$B$100:$M$100</definedName>
    <definedName name="住宅建筑类型" localSheetId="49">'[3]比较法-住宅'!$B$100:$M$100</definedName>
    <definedName name="住宅建筑类型">'比较法-住宅'!$B$100:$M$100</definedName>
    <definedName name="住宅建筑品质" localSheetId="51">'[1]比较法-住宅'!$B$107:$M$107</definedName>
    <definedName name="住宅建筑品质" localSheetId="52">'[2]比较法-住宅'!$B$107:$M$107</definedName>
    <definedName name="住宅建筑品质" localSheetId="49">'[3]比较法-住宅'!$B$107:$M$107</definedName>
    <definedName name="住宅建筑品质">'比较法-住宅'!$B$107:$M$107</definedName>
    <definedName name="住宅交易情况" localSheetId="51">'[1]比较法-住宅'!$A$61:$M$61</definedName>
    <definedName name="住宅交易情况" localSheetId="52">'[2]比较法-住宅'!$A$61:$M$61</definedName>
    <definedName name="住宅交易情况" localSheetId="49">'[3]比较法-住宅'!$A$61:$M$61</definedName>
    <definedName name="住宅交易情况">'比较法-住宅'!$A$61:$M$61</definedName>
    <definedName name="住宅楼层" localSheetId="51">'[1]比较法-住宅'!$B$86:$M$86</definedName>
    <definedName name="住宅楼层" localSheetId="52">'[2]比较法-住宅'!$B$86:$M$86</definedName>
    <definedName name="住宅楼层" localSheetId="49">'[3]比较法-住宅'!$B$86:$M$86</definedName>
    <definedName name="住宅楼层">'比较法-住宅'!$B$86:$M$86</definedName>
    <definedName name="住宅内部装修" localSheetId="51">'[1]比较法-住宅'!$B$122:$M$122</definedName>
    <definedName name="住宅内部装修" localSheetId="52">'[2]比较法-住宅'!$B$122:$M$122</definedName>
    <definedName name="住宅内部装修" localSheetId="49">'[3]比较法-住宅'!$B$122:$M$122</definedName>
    <definedName name="住宅内部装修">'比较法-住宅'!$B$122:$M$122</definedName>
    <definedName name="住宅物业管理" localSheetId="51">'[1]比较法-住宅'!$B$114:$M$114</definedName>
    <definedName name="住宅物业管理" localSheetId="52">'[2]比较法-住宅'!$B$114:$M$114</definedName>
    <definedName name="住宅物业管理" localSheetId="49">'[3]比较法-住宅'!$B$114:$M$114</definedName>
    <definedName name="住宅物业管理">'比较法-住宅'!$B$114:$M$114</definedName>
    <definedName name="住宅用途" localSheetId="51">'[1]比较法-住宅'!$B$63:$M$63</definedName>
    <definedName name="住宅用途" localSheetId="52">'[2]比较法-住宅'!$B$63:$M$63</definedName>
    <definedName name="住宅用途" localSheetId="49">'[3]比较法-住宅'!$B$63:$M$63</definedName>
    <definedName name="住宅用途">'比较法-住宅'!$B$63:$M$63</definedName>
    <definedName name="住宅主力户型面积">'比较法-住宅'!$B$120:$M$120</definedName>
    <definedName name="注册房地产估价师" localSheetId="51">[1]估价师及机构信息!$A$3:$A$24</definedName>
    <definedName name="注册房地产估价师" localSheetId="52">[2]估价师及机构信息!$A$3:$A$24</definedName>
    <definedName name="注册房地产估价师" localSheetId="49">[3]估价师及机构信息!$A$3:$A$24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7" i="88" l="1"/>
  <c r="D7" i="88"/>
  <c r="B7" i="88"/>
  <c r="C16" i="74" l="1"/>
  <c r="B16" i="74"/>
  <c r="C15" i="74"/>
  <c r="B15" i="74"/>
  <c r="E334" i="87"/>
  <c r="E333" i="87"/>
  <c r="E332" i="87"/>
  <c r="E331" i="87"/>
  <c r="E330" i="87"/>
  <c r="E329" i="87"/>
  <c r="E328" i="87"/>
  <c r="E327" i="87"/>
  <c r="E326" i="87"/>
  <c r="E325" i="87"/>
  <c r="E324" i="87"/>
  <c r="E323" i="87"/>
  <c r="E322" i="87"/>
  <c r="E321" i="87"/>
  <c r="E320" i="87"/>
  <c r="E319" i="87"/>
  <c r="E318" i="87"/>
  <c r="E317" i="87"/>
  <c r="E316" i="87"/>
  <c r="E315" i="87"/>
  <c r="E314" i="87"/>
  <c r="E313" i="87"/>
  <c r="E312" i="87"/>
  <c r="E311" i="87"/>
  <c r="E310" i="87"/>
  <c r="E309" i="87"/>
  <c r="E308" i="87"/>
  <c r="E307" i="87"/>
  <c r="E306" i="87"/>
  <c r="E305" i="87"/>
  <c r="E304" i="87"/>
  <c r="E303" i="87"/>
  <c r="F302" i="87"/>
  <c r="E302" i="87" s="1"/>
  <c r="E301" i="87"/>
  <c r="E300" i="87"/>
  <c r="E299" i="87"/>
  <c r="E298" i="87"/>
  <c r="E297" i="87"/>
  <c r="E296" i="87"/>
  <c r="E295" i="87"/>
  <c r="E294" i="87"/>
  <c r="E293" i="87"/>
  <c r="E292" i="87"/>
  <c r="E291" i="87"/>
  <c r="E290" i="87"/>
  <c r="E289" i="87"/>
  <c r="E288" i="87"/>
  <c r="E287" i="87"/>
  <c r="E286" i="87"/>
  <c r="E285" i="87"/>
  <c r="E284" i="87"/>
  <c r="E283" i="87"/>
  <c r="E282" i="87"/>
  <c r="E281" i="87"/>
  <c r="E280" i="87"/>
  <c r="E279" i="87"/>
  <c r="E278" i="87"/>
  <c r="E277" i="87"/>
  <c r="E276" i="87"/>
  <c r="E275" i="87"/>
  <c r="E274" i="87"/>
  <c r="E273" i="87"/>
  <c r="E272" i="87"/>
  <c r="E271" i="87"/>
  <c r="E270" i="87"/>
  <c r="E269" i="87"/>
  <c r="E268" i="87"/>
  <c r="E267" i="87"/>
  <c r="E266" i="87"/>
  <c r="E265" i="87"/>
  <c r="E264" i="87"/>
  <c r="E263" i="87"/>
  <c r="E262" i="87"/>
  <c r="E261" i="87"/>
  <c r="E260" i="87"/>
  <c r="E259" i="87"/>
  <c r="E258" i="87"/>
  <c r="E257" i="87"/>
  <c r="E256" i="87"/>
  <c r="E255" i="87"/>
  <c r="E254" i="87"/>
  <c r="E253" i="87"/>
  <c r="E252" i="87"/>
  <c r="E251" i="87"/>
  <c r="E250" i="87"/>
  <c r="E249" i="87"/>
  <c r="E248" i="87"/>
  <c r="E247" i="87"/>
  <c r="E246" i="87"/>
  <c r="E245" i="87"/>
  <c r="E242" i="87"/>
  <c r="E241" i="87"/>
  <c r="E240" i="87"/>
  <c r="F237" i="87"/>
  <c r="F238" i="87" s="1"/>
  <c r="E231" i="87"/>
  <c r="E230" i="87"/>
  <c r="E229" i="87"/>
  <c r="E228" i="87"/>
  <c r="F224" i="87"/>
  <c r="F225" i="87" s="1"/>
  <c r="E223" i="87"/>
  <c r="E222" i="87"/>
  <c r="E221" i="87"/>
  <c r="E220" i="87"/>
  <c r="E219" i="87"/>
  <c r="E218" i="87"/>
  <c r="E217" i="87"/>
  <c r="E216" i="87"/>
  <c r="E215" i="87"/>
  <c r="E214" i="87"/>
  <c r="E213" i="87"/>
  <c r="E212" i="87"/>
  <c r="E211" i="87"/>
  <c r="E210" i="87"/>
  <c r="E209" i="87"/>
  <c r="E208" i="87"/>
  <c r="E207" i="87"/>
  <c r="E206" i="87"/>
  <c r="E205" i="87"/>
  <c r="E204" i="87"/>
  <c r="E203" i="87"/>
  <c r="E202" i="87"/>
  <c r="E201" i="87"/>
  <c r="E200" i="87"/>
  <c r="E195" i="87"/>
  <c r="E194" i="87"/>
  <c r="E193" i="87"/>
  <c r="E192" i="87"/>
  <c r="E191" i="87"/>
  <c r="E190" i="87"/>
  <c r="E189" i="87"/>
  <c r="E188" i="87"/>
  <c r="E187" i="87"/>
  <c r="E186" i="87"/>
  <c r="E185" i="87"/>
  <c r="E184" i="87"/>
  <c r="E183" i="87"/>
  <c r="E182" i="87"/>
  <c r="E181" i="87"/>
  <c r="E180" i="87"/>
  <c r="E179" i="87"/>
  <c r="E178" i="87"/>
  <c r="E177" i="87"/>
  <c r="E176" i="87"/>
  <c r="E175" i="87"/>
  <c r="E174" i="87"/>
  <c r="E173" i="87"/>
  <c r="E172" i="87"/>
  <c r="E171" i="87"/>
  <c r="E169" i="87"/>
  <c r="E168" i="87"/>
  <c r="E167" i="87"/>
  <c r="E164" i="87"/>
  <c r="E161" i="87"/>
  <c r="E160" i="87"/>
  <c r="E159" i="87"/>
  <c r="E158" i="87"/>
  <c r="E157" i="87"/>
  <c r="E154" i="87"/>
  <c r="E152" i="87"/>
  <c r="E151" i="87"/>
  <c r="E150" i="87"/>
  <c r="F149" i="87"/>
  <c r="F153" i="87" s="1"/>
  <c r="F148" i="87"/>
  <c r="E148" i="87"/>
  <c r="E147" i="87"/>
  <c r="E146" i="87"/>
  <c r="E145" i="87"/>
  <c r="E144" i="87"/>
  <c r="E143" i="87"/>
  <c r="E142" i="87"/>
  <c r="F141" i="87"/>
  <c r="E141" i="87"/>
  <c r="F140" i="87"/>
  <c r="E140" i="87"/>
  <c r="E139" i="87"/>
  <c r="E138" i="87"/>
  <c r="E137" i="87"/>
  <c r="E136" i="87"/>
  <c r="E135" i="87"/>
  <c r="E134" i="87"/>
  <c r="E133" i="87"/>
  <c r="E132" i="87"/>
  <c r="E131" i="87"/>
  <c r="E130" i="87"/>
  <c r="E129" i="87"/>
  <c r="E128" i="87"/>
  <c r="E127" i="87"/>
  <c r="E126" i="87"/>
  <c r="E125" i="87"/>
  <c r="E124" i="87"/>
  <c r="E123" i="87"/>
  <c r="E122" i="87"/>
  <c r="E121" i="87"/>
  <c r="E120" i="87"/>
  <c r="E119" i="87"/>
  <c r="E118" i="87"/>
  <c r="E117" i="87"/>
  <c r="E116" i="87"/>
  <c r="E115" i="87"/>
  <c r="E114" i="87"/>
  <c r="E113" i="87"/>
  <c r="E112" i="87"/>
  <c r="E111" i="87"/>
  <c r="E110" i="87"/>
  <c r="E109" i="87"/>
  <c r="E108" i="87"/>
  <c r="E107" i="87"/>
  <c r="E106" i="87"/>
  <c r="E105" i="87"/>
  <c r="E104" i="87"/>
  <c r="E103" i="87"/>
  <c r="F102" i="87"/>
  <c r="E102" i="87" s="1"/>
  <c r="F101" i="87"/>
  <c r="E101" i="87" s="1"/>
  <c r="E100" i="87"/>
  <c r="E99" i="87"/>
  <c r="E98" i="87"/>
  <c r="E97" i="87"/>
  <c r="E96" i="87"/>
  <c r="E95" i="87"/>
  <c r="E94" i="87"/>
  <c r="E93" i="87"/>
  <c r="J92" i="87"/>
  <c r="I92" i="87"/>
  <c r="E92" i="87"/>
  <c r="H91" i="87"/>
  <c r="H92" i="87" s="1"/>
  <c r="K92" i="87" s="1"/>
  <c r="E91" i="87"/>
  <c r="O15" i="3"/>
  <c r="M14" i="3"/>
  <c r="K14" i="3"/>
  <c r="I13" i="3"/>
  <c r="C33" i="33"/>
  <c r="G20" i="86"/>
  <c r="G19" i="86"/>
  <c r="G15" i="86"/>
  <c r="O14" i="86"/>
  <c r="Q14" i="86" s="1"/>
  <c r="P14" i="86" s="1"/>
  <c r="J14" i="86"/>
  <c r="G14" i="86"/>
  <c r="O13" i="86"/>
  <c r="Q13" i="86" s="1"/>
  <c r="P13" i="86" s="1"/>
  <c r="J13" i="86"/>
  <c r="O12" i="86"/>
  <c r="Q12" i="86" s="1"/>
  <c r="P12" i="86" s="1"/>
  <c r="J12" i="86"/>
  <c r="O11" i="86"/>
  <c r="Q11" i="86" s="1"/>
  <c r="P11" i="86" s="1"/>
  <c r="J11" i="86"/>
  <c r="O10" i="86"/>
  <c r="Q10" i="86" s="1"/>
  <c r="G10" i="86"/>
  <c r="Q9" i="86"/>
  <c r="L9" i="86"/>
  <c r="L14" i="86" s="1"/>
  <c r="G8" i="86"/>
  <c r="J10" i="86" s="1"/>
  <c r="Q5" i="86"/>
  <c r="P5" i="86" s="1"/>
  <c r="L5" i="86"/>
  <c r="J5" i="86"/>
  <c r="Q4" i="86"/>
  <c r="L4" i="86"/>
  <c r="J4" i="86"/>
  <c r="P4" i="86" s="1"/>
  <c r="G4" i="86"/>
  <c r="Q3" i="86"/>
  <c r="L3" i="86"/>
  <c r="G3" i="86"/>
  <c r="J3" i="86" s="1"/>
  <c r="J2" i="86"/>
  <c r="O1" i="86"/>
  <c r="F155" i="87" l="1"/>
  <c r="E153" i="87"/>
  <c r="F239" i="87"/>
  <c r="E238" i="87"/>
  <c r="F226" i="87"/>
  <c r="E225" i="87"/>
  <c r="E149" i="87"/>
  <c r="E224" i="87"/>
  <c r="E237" i="87"/>
  <c r="P3" i="86"/>
  <c r="P10" i="86"/>
  <c r="P2" i="86"/>
  <c r="J9" i="86"/>
  <c r="P9" i="86" s="1"/>
  <c r="L10" i="86"/>
  <c r="L12" i="86"/>
  <c r="L11" i="86"/>
  <c r="L13" i="86"/>
  <c r="F227" i="87" l="1"/>
  <c r="E226" i="87"/>
  <c r="F243" i="87"/>
  <c r="E239" i="87"/>
  <c r="F156" i="87"/>
  <c r="E155" i="87"/>
  <c r="J15" i="86"/>
  <c r="P15" i="86"/>
  <c r="F162" i="87" l="1"/>
  <c r="E156" i="87"/>
  <c r="E243" i="87"/>
  <c r="F244" i="87"/>
  <c r="E244" i="87" s="1"/>
  <c r="F232" i="87"/>
  <c r="E227" i="87"/>
  <c r="F233" i="87" l="1"/>
  <c r="E232" i="87"/>
  <c r="E162" i="87"/>
  <c r="F163" i="87"/>
  <c r="F234" i="87" l="1"/>
  <c r="E233" i="87"/>
  <c r="F165" i="87"/>
  <c r="E163" i="87"/>
  <c r="F166" i="87" l="1"/>
  <c r="E165" i="87"/>
  <c r="F235" i="87"/>
  <c r="E234" i="87"/>
  <c r="F236" i="87" l="1"/>
  <c r="E236" i="87" s="1"/>
  <c r="E235" i="87"/>
  <c r="F170" i="87"/>
  <c r="E166" i="87"/>
  <c r="F196" i="87" l="1"/>
  <c r="E170" i="87"/>
  <c r="F197" i="87" l="1"/>
  <c r="E196" i="87"/>
  <c r="F198" i="87" l="1"/>
  <c r="E197" i="87"/>
  <c r="F199" i="87" l="1"/>
  <c r="E199" i="87" s="1"/>
  <c r="E198" i="87"/>
  <c r="E89" i="87" s="1"/>
  <c r="C36" i="33" l="1"/>
  <c r="B24" i="84"/>
  <c r="B22" i="84" s="1"/>
  <c r="B24" i="31"/>
  <c r="C34" i="34"/>
  <c r="E93" i="85"/>
  <c r="E87" i="85"/>
  <c r="E80" i="85"/>
  <c r="E73" i="85"/>
  <c r="E66" i="85"/>
  <c r="E59" i="85"/>
  <c r="E52" i="85"/>
  <c r="E45" i="85"/>
  <c r="E38" i="85"/>
  <c r="E31" i="85"/>
  <c r="E24" i="85"/>
  <c r="E17" i="85"/>
  <c r="F15" i="85"/>
  <c r="E10" i="85"/>
  <c r="E94" i="85" s="1"/>
  <c r="F4" i="85"/>
  <c r="F5" i="85" s="1"/>
  <c r="F6" i="85" s="1"/>
  <c r="F7" i="85" s="1"/>
  <c r="F8" i="85" s="1"/>
  <c r="F9" i="85" s="1"/>
  <c r="F10" i="85" s="1"/>
  <c r="F11" i="85" s="1"/>
  <c r="F12" i="85" s="1"/>
  <c r="F13" i="85" s="1"/>
  <c r="F14" i="85" s="1"/>
  <c r="F3" i="85"/>
  <c r="F16" i="85" s="1"/>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R66" i="84"/>
  <c r="S66" i="84" s="1"/>
  <c r="Q66" i="84"/>
  <c r="O66" i="84"/>
  <c r="M66" i="84"/>
  <c r="K66" i="84"/>
  <c r="I66" i="84"/>
  <c r="G66" i="84"/>
  <c r="E66" i="84"/>
  <c r="C66" i="84"/>
  <c r="R65" i="84"/>
  <c r="S65" i="84" s="1"/>
  <c r="Q65" i="84"/>
  <c r="O65" i="84"/>
  <c r="M65" i="84"/>
  <c r="K65" i="84"/>
  <c r="I65" i="84"/>
  <c r="G65" i="84"/>
  <c r="E65" i="84"/>
  <c r="C65" i="84"/>
  <c r="R64" i="84"/>
  <c r="S64" i="84" s="1"/>
  <c r="Q64" i="84"/>
  <c r="O64" i="84"/>
  <c r="M64" i="84"/>
  <c r="K64" i="84"/>
  <c r="I64" i="84"/>
  <c r="G64" i="84"/>
  <c r="E64" i="84"/>
  <c r="C64" i="84"/>
  <c r="R63" i="84"/>
  <c r="S63" i="84" s="1"/>
  <c r="Q63" i="84"/>
  <c r="O63" i="84"/>
  <c r="M63" i="84"/>
  <c r="K63" i="84"/>
  <c r="I63" i="84"/>
  <c r="G63" i="84"/>
  <c r="E63" i="84"/>
  <c r="C63" i="84"/>
  <c r="R62" i="84"/>
  <c r="S62" i="84" s="1"/>
  <c r="Q62" i="84"/>
  <c r="O62" i="84"/>
  <c r="M62" i="84"/>
  <c r="K62" i="84"/>
  <c r="I62" i="84"/>
  <c r="G62" i="84"/>
  <c r="E62" i="84"/>
  <c r="C62" i="84"/>
  <c r="R61" i="84"/>
  <c r="S61" i="84" s="1"/>
  <c r="Q61" i="84"/>
  <c r="O61" i="84"/>
  <c r="M61" i="84"/>
  <c r="K61" i="84"/>
  <c r="I61" i="84"/>
  <c r="G61" i="84"/>
  <c r="E61" i="84"/>
  <c r="C61" i="84"/>
  <c r="R60" i="84"/>
  <c r="S60" i="84" s="1"/>
  <c r="Q60" i="84"/>
  <c r="O60" i="84"/>
  <c r="M60" i="84"/>
  <c r="K60" i="84"/>
  <c r="I60" i="84"/>
  <c r="G60" i="84"/>
  <c r="E60" i="84"/>
  <c r="C60" i="84"/>
  <c r="R59" i="84"/>
  <c r="S59" i="84" s="1"/>
  <c r="Q59" i="84"/>
  <c r="O59" i="84"/>
  <c r="M59" i="84"/>
  <c r="K59" i="84"/>
  <c r="I59" i="84"/>
  <c r="G59" i="84"/>
  <c r="E59" i="84"/>
  <c r="C59" i="84"/>
  <c r="R58" i="84"/>
  <c r="S58" i="84" s="1"/>
  <c r="Q58" i="84"/>
  <c r="O58" i="84"/>
  <c r="M58" i="84"/>
  <c r="K58" i="84"/>
  <c r="I58" i="84"/>
  <c r="G58" i="84"/>
  <c r="E58" i="84"/>
  <c r="C58" i="84"/>
  <c r="R57" i="84"/>
  <c r="S57" i="84" s="1"/>
  <c r="Q57" i="84"/>
  <c r="O57" i="84"/>
  <c r="M57" i="84"/>
  <c r="K57" i="84"/>
  <c r="I57" i="84"/>
  <c r="G57" i="84"/>
  <c r="E57" i="84"/>
  <c r="C57" i="84"/>
  <c r="R56" i="84"/>
  <c r="S56" i="84" s="1"/>
  <c r="Q56" i="84"/>
  <c r="O56" i="84"/>
  <c r="M56" i="84"/>
  <c r="K56" i="84"/>
  <c r="I56" i="84"/>
  <c r="G56" i="84"/>
  <c r="E56" i="84"/>
  <c r="C56" i="84"/>
  <c r="R55" i="84"/>
  <c r="S55" i="84" s="1"/>
  <c r="Q55" i="84"/>
  <c r="O55" i="84"/>
  <c r="M55" i="84"/>
  <c r="K55" i="84"/>
  <c r="I55" i="84"/>
  <c r="G55" i="84"/>
  <c r="E55" i="84"/>
  <c r="C55" i="84"/>
  <c r="R54" i="84"/>
  <c r="S54" i="84" s="1"/>
  <c r="Q54" i="84"/>
  <c r="O54" i="84"/>
  <c r="M54" i="84"/>
  <c r="K54" i="84"/>
  <c r="I54" i="84"/>
  <c r="G54" i="84"/>
  <c r="E54" i="84"/>
  <c r="C54" i="84"/>
  <c r="R53" i="84"/>
  <c r="S53" i="84" s="1"/>
  <c r="Q53" i="84"/>
  <c r="O53" i="84"/>
  <c r="M53" i="84"/>
  <c r="K53" i="84"/>
  <c r="I53" i="84"/>
  <c r="G53" i="84"/>
  <c r="E53" i="84"/>
  <c r="C53" i="84"/>
  <c r="R52" i="84"/>
  <c r="S52" i="84" s="1"/>
  <c r="Q52" i="84"/>
  <c r="O52" i="84"/>
  <c r="M52" i="84"/>
  <c r="K52" i="84"/>
  <c r="I52" i="84"/>
  <c r="G52" i="84"/>
  <c r="E52" i="84"/>
  <c r="C52" i="84"/>
  <c r="R51" i="84"/>
  <c r="S51" i="84" s="1"/>
  <c r="Q51" i="84"/>
  <c r="O51" i="84"/>
  <c r="M51" i="84"/>
  <c r="K51" i="84"/>
  <c r="I51" i="84"/>
  <c r="G51" i="84"/>
  <c r="E51" i="84"/>
  <c r="C51" i="84"/>
  <c r="R50" i="84"/>
  <c r="S50" i="84" s="1"/>
  <c r="Q50" i="84"/>
  <c r="O50" i="84"/>
  <c r="M50" i="84"/>
  <c r="K50" i="84"/>
  <c r="I50" i="84"/>
  <c r="G50" i="84"/>
  <c r="E50" i="84"/>
  <c r="C50" i="84"/>
  <c r="R49" i="84"/>
  <c r="S49" i="84" s="1"/>
  <c r="Q49" i="84"/>
  <c r="O49" i="84"/>
  <c r="M49" i="84"/>
  <c r="K49" i="84"/>
  <c r="I49" i="84"/>
  <c r="G49" i="84"/>
  <c r="E49" i="84"/>
  <c r="C49" i="84"/>
  <c r="R48" i="84"/>
  <c r="S48" i="84" s="1"/>
  <c r="Q48" i="84"/>
  <c r="O48" i="84"/>
  <c r="M48" i="84"/>
  <c r="K48" i="84"/>
  <c r="I48" i="84"/>
  <c r="G48" i="84"/>
  <c r="E48" i="84"/>
  <c r="C48" i="84"/>
  <c r="R47" i="84"/>
  <c r="S47" i="84" s="1"/>
  <c r="Q47" i="84"/>
  <c r="O47" i="84"/>
  <c r="M47" i="84"/>
  <c r="K47" i="84"/>
  <c r="I47" i="84"/>
  <c r="G47" i="84"/>
  <c r="E47" i="84"/>
  <c r="C47" i="84"/>
  <c r="R46" i="84"/>
  <c r="S46" i="84" s="1"/>
  <c r="Q46" i="84"/>
  <c r="O46" i="84"/>
  <c r="M46" i="84"/>
  <c r="K46" i="84"/>
  <c r="I46" i="84"/>
  <c r="G46" i="84"/>
  <c r="E46" i="84"/>
  <c r="C46" i="84"/>
  <c r="R45" i="84"/>
  <c r="S45" i="84" s="1"/>
  <c r="Q45" i="84"/>
  <c r="O45" i="84"/>
  <c r="M45" i="84"/>
  <c r="K45" i="84"/>
  <c r="I45" i="84"/>
  <c r="G45" i="84"/>
  <c r="E45" i="84"/>
  <c r="C45" i="84"/>
  <c r="R44" i="84"/>
  <c r="S44" i="84" s="1"/>
  <c r="Q44" i="84"/>
  <c r="O44" i="84"/>
  <c r="M44" i="84"/>
  <c r="K44" i="84"/>
  <c r="I44" i="84"/>
  <c r="G44" i="84"/>
  <c r="E44" i="84"/>
  <c r="C44" i="84"/>
  <c r="Q43" i="84"/>
  <c r="O43" i="84"/>
  <c r="M43" i="84"/>
  <c r="K43" i="84"/>
  <c r="I43" i="84"/>
  <c r="G43" i="84"/>
  <c r="E43" i="84"/>
  <c r="C43" i="84"/>
  <c r="Q42" i="84"/>
  <c r="O42" i="84"/>
  <c r="M42" i="84"/>
  <c r="K42" i="84"/>
  <c r="I42" i="84"/>
  <c r="G42" i="84"/>
  <c r="E42" i="84"/>
  <c r="C42" i="84"/>
  <c r="Q41" i="84"/>
  <c r="O41" i="84"/>
  <c r="M41" i="84"/>
  <c r="K41" i="84"/>
  <c r="I41" i="84"/>
  <c r="G41" i="84"/>
  <c r="E41" i="84"/>
  <c r="C41" i="84"/>
  <c r="Q40" i="84"/>
  <c r="O40" i="84"/>
  <c r="M40" i="84"/>
  <c r="K40" i="84"/>
  <c r="I40" i="84"/>
  <c r="G40" i="84"/>
  <c r="E40" i="84"/>
  <c r="C40" i="84"/>
  <c r="Q39" i="84"/>
  <c r="O39" i="84"/>
  <c r="M39" i="84"/>
  <c r="K39" i="84"/>
  <c r="I39" i="84"/>
  <c r="G39" i="84"/>
  <c r="E39" i="84"/>
  <c r="C39" i="84"/>
  <c r="Q38" i="84"/>
  <c r="O38" i="84"/>
  <c r="M38" i="84"/>
  <c r="K38" i="84"/>
  <c r="I38" i="84"/>
  <c r="G38" i="84"/>
  <c r="E38" i="84"/>
  <c r="C38" i="84"/>
  <c r="Q37" i="84"/>
  <c r="O37" i="84"/>
  <c r="M37" i="84"/>
  <c r="K37" i="84"/>
  <c r="I37" i="84"/>
  <c r="G37" i="84"/>
  <c r="E37" i="84"/>
  <c r="C37" i="84"/>
  <c r="Q36" i="84"/>
  <c r="O36" i="84"/>
  <c r="M36" i="84"/>
  <c r="K36" i="84"/>
  <c r="I36" i="84"/>
  <c r="G36" i="84"/>
  <c r="E36" i="84"/>
  <c r="C36" i="84"/>
  <c r="Q35" i="84"/>
  <c r="O35" i="84"/>
  <c r="M35" i="84"/>
  <c r="K35" i="84"/>
  <c r="I35" i="84"/>
  <c r="G35" i="84"/>
  <c r="E35" i="84"/>
  <c r="C35" i="84"/>
  <c r="Q34" i="84"/>
  <c r="O34" i="84"/>
  <c r="M34" i="84"/>
  <c r="K34" i="84"/>
  <c r="I34" i="84"/>
  <c r="G34" i="84"/>
  <c r="E34" i="84"/>
  <c r="C34" i="84"/>
  <c r="Q33" i="84"/>
  <c r="O33" i="84"/>
  <c r="M33" i="84"/>
  <c r="K33" i="84"/>
  <c r="I33" i="84"/>
  <c r="G33" i="84"/>
  <c r="E33" i="84"/>
  <c r="C33" i="84"/>
  <c r="Q32" i="84"/>
  <c r="O32" i="84"/>
  <c r="M32" i="84"/>
  <c r="K32" i="84"/>
  <c r="I32" i="84"/>
  <c r="G32" i="84"/>
  <c r="E32" i="84"/>
  <c r="C32" i="84"/>
  <c r="Q31" i="84"/>
  <c r="O31" i="84"/>
  <c r="M31" i="84"/>
  <c r="K31" i="84"/>
  <c r="I31" i="84"/>
  <c r="G31" i="84"/>
  <c r="E31" i="84"/>
  <c r="C31" i="84"/>
  <c r="Q30" i="84"/>
  <c r="O30" i="84"/>
  <c r="M30" i="84"/>
  <c r="K30" i="84"/>
  <c r="I30" i="84"/>
  <c r="G30" i="84"/>
  <c r="E30" i="84"/>
  <c r="C30" i="84"/>
  <c r="Q29" i="84"/>
  <c r="O29" i="84"/>
  <c r="M29" i="84"/>
  <c r="K29" i="84"/>
  <c r="I29" i="84"/>
  <c r="G29" i="84"/>
  <c r="E29" i="84"/>
  <c r="C29" i="84"/>
  <c r="Q28" i="84"/>
  <c r="O28" i="84"/>
  <c r="M28" i="84"/>
  <c r="K28" i="84"/>
  <c r="I28" i="84"/>
  <c r="G28" i="84"/>
  <c r="E28" i="84"/>
  <c r="C28" i="84"/>
  <c r="Q27" i="84"/>
  <c r="O27" i="84"/>
  <c r="M27" i="84"/>
  <c r="K27" i="84"/>
  <c r="I27" i="84"/>
  <c r="G27" i="84"/>
  <c r="E27" i="84"/>
  <c r="C27" i="84"/>
  <c r="Q26" i="84"/>
  <c r="O26" i="84"/>
  <c r="M26" i="84"/>
  <c r="K26" i="84"/>
  <c r="I26" i="84"/>
  <c r="G26" i="84"/>
  <c r="E26" i="84"/>
  <c r="C26" i="84"/>
  <c r="Q25" i="84"/>
  <c r="O25" i="84"/>
  <c r="M25" i="84"/>
  <c r="K25" i="84"/>
  <c r="I25" i="84"/>
  <c r="G25" i="84"/>
  <c r="E25" i="84"/>
  <c r="C25" i="84"/>
  <c r="P23" i="84"/>
  <c r="N23" i="84"/>
  <c r="L23" i="84"/>
  <c r="J23" i="84"/>
  <c r="H23" i="84"/>
  <c r="F23" i="84"/>
  <c r="D23" i="84"/>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A120"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C18" i="83" s="1"/>
  <c r="D18" i="83" s="1"/>
  <c r="L4" i="83"/>
  <c r="K4" i="83"/>
  <c r="H1" i="83"/>
  <c r="A120" i="82"/>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7" i="82" s="1"/>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C18" i="82" s="1"/>
  <c r="D18" i="82" s="1"/>
  <c r="L4" i="82"/>
  <c r="K4" i="82"/>
  <c r="H1" i="82"/>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Q59" i="80"/>
  <c r="K59" i="80"/>
  <c r="P74" i="80" s="1"/>
  <c r="F59" i="80"/>
  <c r="Q58" i="80"/>
  <c r="Q51" i="80"/>
  <c r="J50" i="80"/>
  <c r="M47" i="80"/>
  <c r="D46" i="80"/>
  <c r="F34" i="80"/>
  <c r="F62" i="80" s="1"/>
  <c r="F33" i="80"/>
  <c r="F61" i="80" s="1"/>
  <c r="F32" i="80"/>
  <c r="F60" i="80" s="1"/>
  <c r="F31" i="80"/>
  <c r="F28" i="80"/>
  <c r="C28" i="80" s="1"/>
  <c r="F23" i="80"/>
  <c r="D23" i="80" s="1"/>
  <c r="F21" i="80"/>
  <c r="M20" i="80"/>
  <c r="F20" i="80"/>
  <c r="M19" i="80"/>
  <c r="M18" i="80"/>
  <c r="F18" i="80"/>
  <c r="M17" i="80"/>
  <c r="F17" i="80"/>
  <c r="F15" i="80"/>
  <c r="G1" i="80"/>
  <c r="AM8" i="1"/>
  <c r="AM7" i="1"/>
  <c r="AL8" i="1"/>
  <c r="AL7" i="1"/>
  <c r="AK8" i="1"/>
  <c r="AK7" i="1"/>
  <c r="Y8" i="1"/>
  <c r="Y7" i="1"/>
  <c r="Y6" i="1"/>
  <c r="F28" i="79"/>
  <c r="B26" i="79"/>
  <c r="B20" i="79"/>
  <c r="B30" i="79" s="1"/>
  <c r="F19" i="79"/>
  <c r="F17" i="79"/>
  <c r="F16" i="79"/>
  <c r="F15" i="79"/>
  <c r="F14" i="79"/>
  <c r="F12" i="79"/>
  <c r="F7" i="79"/>
  <c r="F5" i="79"/>
  <c r="F29" i="79" s="1"/>
  <c r="F30" i="79" s="1"/>
  <c r="U7" i="1" s="1"/>
  <c r="F3" i="79"/>
  <c r="F20" i="84"/>
  <c r="D19" i="83"/>
  <c r="D20" i="83"/>
  <c r="M9" i="80"/>
  <c r="B29" i="79" l="1"/>
  <c r="D103" i="83"/>
  <c r="D102" i="83"/>
  <c r="K120" i="83"/>
  <c r="D121" i="83"/>
  <c r="C74" i="83"/>
  <c r="C92" i="83"/>
  <c r="C94" i="83"/>
  <c r="H109" i="83"/>
  <c r="H112" i="83"/>
  <c r="K120" i="82"/>
  <c r="D121" i="82"/>
  <c r="C74" i="82"/>
  <c r="C92" i="82"/>
  <c r="C94" i="82"/>
  <c r="H109" i="82"/>
  <c r="H112" i="82"/>
  <c r="D24" i="81"/>
  <c r="P61" i="81"/>
  <c r="D22" i="81"/>
  <c r="J51" i="81"/>
  <c r="D24" i="80"/>
  <c r="P61" i="80"/>
  <c r="D22" i="80"/>
  <c r="J51" i="80"/>
  <c r="C76" i="81"/>
  <c r="M22" i="81"/>
  <c r="F36" i="81"/>
  <c r="M8" i="81"/>
  <c r="M24" i="81"/>
  <c r="M27" i="81"/>
  <c r="F6" i="80"/>
  <c r="M28" i="80"/>
  <c r="F36" i="80"/>
  <c r="F13" i="80"/>
  <c r="F8" i="80"/>
  <c r="F26" i="80"/>
  <c r="L47" i="81"/>
  <c r="F9" i="81"/>
  <c r="M26" i="81"/>
  <c r="F6" i="81"/>
  <c r="F8" i="81"/>
  <c r="F26" i="81"/>
  <c r="C76" i="80"/>
  <c r="M22" i="80"/>
  <c r="M26" i="80"/>
  <c r="L48" i="80"/>
  <c r="M23" i="80"/>
  <c r="F16" i="80"/>
  <c r="M27" i="80"/>
  <c r="F42" i="81"/>
  <c r="J15" i="81"/>
  <c r="M23" i="81"/>
  <c r="L48" i="81"/>
  <c r="F16" i="81"/>
  <c r="M6" i="81"/>
  <c r="L47" i="80"/>
  <c r="F9" i="80"/>
  <c r="J15" i="80"/>
  <c r="F40" i="80"/>
  <c r="F37" i="80"/>
  <c r="M8" i="80"/>
  <c r="M28" i="81"/>
  <c r="F38" i="81"/>
  <c r="F13" i="81"/>
  <c r="F40" i="81"/>
  <c r="F37" i="81"/>
  <c r="M9" i="81"/>
  <c r="F42" i="80"/>
  <c r="F38" i="80"/>
  <c r="M6" i="80"/>
  <c r="M24" i="80"/>
  <c r="J53" i="81" l="1"/>
  <c r="J53" i="80"/>
  <c r="F1" i="80" s="1"/>
  <c r="D124" i="83"/>
  <c r="D125" i="83" s="1"/>
  <c r="H110" i="83"/>
  <c r="D124" i="82"/>
  <c r="D125" i="82" s="1"/>
  <c r="H110" i="82"/>
  <c r="C27" i="81"/>
  <c r="F65" i="81"/>
  <c r="F51" i="81"/>
  <c r="F68" i="81"/>
  <c r="L56" i="81"/>
  <c r="F64" i="81"/>
  <c r="F66" i="81"/>
  <c r="N59" i="81"/>
  <c r="L59" i="81"/>
  <c r="L58" i="81"/>
  <c r="M59" i="81"/>
  <c r="Q71" i="81"/>
  <c r="I54" i="81"/>
  <c r="J57" i="81"/>
  <c r="J55" i="81" s="1"/>
  <c r="J58" i="81" s="1"/>
  <c r="Q50" i="81" s="1"/>
  <c r="F1" i="81"/>
  <c r="Q52" i="81"/>
  <c r="C27" i="80"/>
  <c r="F65" i="80"/>
  <c r="F51" i="80"/>
  <c r="F68" i="80"/>
  <c r="L56" i="80"/>
  <c r="F64" i="80"/>
  <c r="F66" i="80"/>
  <c r="N59" i="80"/>
  <c r="L59" i="80"/>
  <c r="L58" i="80"/>
  <c r="M59" i="80"/>
  <c r="Q71" i="80"/>
  <c r="J57" i="80"/>
  <c r="J55" i="80" s="1"/>
  <c r="J58" i="80" s="1"/>
  <c r="Q50" i="80" s="1"/>
  <c r="I54" i="80"/>
  <c r="Q52" i="80" l="1"/>
  <c r="Q60" i="81"/>
  <c r="Q73" i="81"/>
  <c r="Q61" i="81"/>
  <c r="Q74" i="81"/>
  <c r="Q61" i="80"/>
  <c r="Q74" i="80"/>
  <c r="Q60" i="80"/>
  <c r="Q73" i="80"/>
  <c r="G89" i="87" l="1"/>
  <c r="G90" i="87" s="1"/>
  <c r="H90" i="87" s="1"/>
  <c r="J90" i="87" l="1"/>
  <c r="I90" i="87"/>
  <c r="N15" i="86" l="1"/>
  <c r="M2" i="86" s="1"/>
  <c r="M15" i="86" l="1"/>
  <c r="N8" i="1" l="1"/>
  <c r="N7" i="1"/>
  <c r="N6" i="1"/>
  <c r="N18" i="1"/>
  <c r="C21" i="6"/>
  <c r="C20" i="6"/>
  <c r="C19" i="6"/>
  <c r="F20" i="6"/>
  <c r="G20" i="6"/>
  <c r="G21" i="6"/>
  <c r="F19" i="6"/>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H18" i="35"/>
  <c r="AB18" i="35" s="1"/>
  <c r="J18" i="35"/>
  <c r="W18" i="35" s="1"/>
  <c r="F77" i="37"/>
  <c r="H21" i="37"/>
  <c r="F21" i="37"/>
  <c r="H21" i="34"/>
  <c r="AB21" i="34" s="1"/>
  <c r="H21" i="33"/>
  <c r="U21" i="33" s="1"/>
  <c r="F21" i="33"/>
  <c r="S21" i="33" s="1"/>
  <c r="E83" i="21"/>
  <c r="S21" i="21"/>
  <c r="H1" i="69"/>
  <c r="AC25" i="40"/>
  <c r="W25" i="40"/>
  <c r="AB25" i="40"/>
  <c r="U25" i="40"/>
  <c r="AB29" i="39"/>
  <c r="U29" i="39"/>
  <c r="AC29" i="39"/>
  <c r="W29" i="39"/>
  <c r="AC18" i="36"/>
  <c r="W18" i="36"/>
  <c r="AB21" i="37"/>
  <c r="U21" i="37"/>
  <c r="AA21" i="37"/>
  <c r="S21" i="37"/>
  <c r="AB21" i="33"/>
  <c r="AA21" i="33"/>
  <c r="AC18" i="35"/>
  <c r="G77" i="37"/>
  <c r="J21" i="37"/>
  <c r="J21" i="34"/>
  <c r="W21" i="34" s="1"/>
  <c r="J21" i="33"/>
  <c r="AC21" i="33" s="1"/>
  <c r="F83" i="21"/>
  <c r="H21" i="21"/>
  <c r="F38" i="69"/>
  <c r="E37" i="69"/>
  <c r="F36" i="69"/>
  <c r="F35" i="69"/>
  <c r="F21" i="69"/>
  <c r="C21" i="69" s="1"/>
  <c r="F20" i="69"/>
  <c r="E10" i="69"/>
  <c r="E9" i="69"/>
  <c r="F7" i="69"/>
  <c r="C7" i="69" s="1"/>
  <c r="AC21" i="37"/>
  <c r="W21" i="37"/>
  <c r="AC21" i="34"/>
  <c r="AB21" i="21"/>
  <c r="U21" i="21"/>
  <c r="G83" i="21"/>
  <c r="J21" i="21"/>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88" i="31"/>
  <c r="S356" i="31"/>
  <c r="S324" i="31"/>
  <c r="S294" i="31"/>
  <c r="S262" i="31"/>
  <c r="S242" i="31"/>
  <c r="S226"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18"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4" i="35"/>
  <c r="W36" i="35"/>
  <c r="W22" i="35"/>
  <c r="S31" i="35"/>
  <c r="U34" i="35"/>
  <c r="F36" i="34"/>
  <c r="J35" i="34"/>
  <c r="W9" i="34"/>
  <c r="S34" i="34"/>
  <c r="U34" i="34"/>
  <c r="H39" i="33"/>
  <c r="AB39" i="33" s="1"/>
  <c r="F26" i="33"/>
  <c r="AA26"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J29" i="35"/>
  <c r="H33" i="35"/>
  <c r="AB33" i="35"/>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W23" i="34" s="1"/>
  <c r="F19" i="34"/>
  <c r="H17" i="34"/>
  <c r="U17" i="34" s="1"/>
  <c r="F15" i="34"/>
  <c r="S15" i="34" s="1"/>
  <c r="J15" i="34"/>
  <c r="W15" i="34" s="1"/>
  <c r="H15" i="34"/>
  <c r="AB15" i="34" s="1"/>
  <c r="S9" i="34"/>
  <c r="W8" i="34"/>
  <c r="J28" i="34"/>
  <c r="W28" i="34"/>
  <c r="F41" i="33"/>
  <c r="AA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s="1"/>
  <c r="H29" i="35"/>
  <c r="AB29" i="35" s="1"/>
  <c r="H33" i="37"/>
  <c r="AB33" i="37"/>
  <c r="F33" i="37"/>
  <c r="AA33" i="37"/>
  <c r="U34" i="37"/>
  <c r="W33" i="37"/>
  <c r="S34" i="37"/>
  <c r="AA34" i="37"/>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AC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s="1"/>
  <c r="N7" i="43"/>
  <c r="F70" i="43"/>
  <c r="H73" i="43" s="1"/>
  <c r="M6" i="43"/>
  <c r="M11" i="43"/>
  <c r="D17" i="43"/>
  <c r="F39" i="43"/>
  <c r="I17" i="43"/>
  <c r="F35" i="43"/>
  <c r="J17" i="43"/>
  <c r="F6" i="1"/>
  <c r="U17" i="39"/>
  <c r="U43" i="21"/>
  <c r="U35" i="21"/>
  <c r="AC35" i="21"/>
  <c r="U10" i="21"/>
  <c r="G8" i="1"/>
  <c r="G9" i="1"/>
  <c r="G10" i="1"/>
  <c r="F48" i="9"/>
  <c r="O52" i="9" s="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S22" i="35"/>
  <c r="AC10" i="35"/>
  <c r="AA10" i="35"/>
  <c r="AB10" i="35"/>
  <c r="AA11" i="35"/>
  <c r="S8" i="35"/>
  <c r="AC9"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U39" i="34"/>
  <c r="S43" i="34"/>
  <c r="AB41" i="34"/>
  <c r="AA45" i="34"/>
  <c r="W34" i="34"/>
  <c r="U28" i="34"/>
  <c r="S17" i="34"/>
  <c r="AA29" i="34"/>
  <c r="U27" i="34"/>
  <c r="S23" i="34"/>
  <c r="S10" i="34"/>
  <c r="S13" i="34"/>
  <c r="H10" i="34"/>
  <c r="AB10" i="34" s="1"/>
  <c r="F11" i="34"/>
  <c r="S11" i="34"/>
  <c r="W42" i="33"/>
  <c r="AA29" i="33"/>
  <c r="AB29" i="33"/>
  <c r="W38" i="33"/>
  <c r="H41" i="33"/>
  <c r="F121" i="33"/>
  <c r="G121" i="33"/>
  <c r="H121" i="33"/>
  <c r="I121" i="33"/>
  <c r="J121" i="33"/>
  <c r="K121" i="33"/>
  <c r="L121" i="33"/>
  <c r="M121" i="33"/>
  <c r="U42" i="33"/>
  <c r="S42" i="33"/>
  <c r="F36" i="33"/>
  <c r="S36" i="33" s="1"/>
  <c r="J35" i="33"/>
  <c r="AC35" i="33" s="1"/>
  <c r="S37" i="33"/>
  <c r="AA37" i="33"/>
  <c r="J32" i="33"/>
  <c r="AC32" i="33" s="1"/>
  <c r="S46" i="33"/>
  <c r="W43" i="33"/>
  <c r="S43" i="33"/>
  <c r="H27" i="33"/>
  <c r="U27" i="33" s="1"/>
  <c r="H25" i="33"/>
  <c r="U25" i="33" s="1"/>
  <c r="F25" i="33"/>
  <c r="AA25" i="33" s="1"/>
  <c r="J23" i="33"/>
  <c r="AC23" i="33" s="1"/>
  <c r="H23" i="33"/>
  <c r="AB23" i="33" s="1"/>
  <c r="F19" i="33"/>
  <c r="S19" i="33" s="1"/>
  <c r="J17" i="33"/>
  <c r="W17" i="33" s="1"/>
  <c r="W15" i="33"/>
  <c r="U9"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E533" i="3" s="1"/>
  <c r="BA13" i="3"/>
  <c r="E10" i="6"/>
  <c r="BA5" i="3"/>
  <c r="E11" i="6"/>
  <c r="E61" i="39" s="1"/>
  <c r="BL17" i="3"/>
  <c r="AZ17" i="3"/>
  <c r="BL13" i="3"/>
  <c r="J56" i="9"/>
  <c r="J57" i="9"/>
  <c r="J59" i="9" s="1"/>
  <c r="J61" i="9"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U14" i="34"/>
  <c r="AB14" i="34"/>
  <c r="W43" i="34"/>
  <c r="AA11" i="34"/>
  <c r="AC23" i="34"/>
  <c r="AC35" i="34"/>
  <c r="W35" i="34"/>
  <c r="U12" i="34"/>
  <c r="AB12" i="34"/>
  <c r="W46" i="33"/>
  <c r="U39" i="33"/>
  <c r="S33" i="33"/>
  <c r="AB34" i="33"/>
  <c r="U44" i="33"/>
  <c r="AB44" i="33"/>
  <c r="S30" i="33"/>
  <c r="AA30" i="33"/>
  <c r="AC14" i="33"/>
  <c r="W14" i="33"/>
  <c r="AC30" i="33"/>
  <c r="W30" i="33"/>
  <c r="S31" i="33"/>
  <c r="AA31" i="33"/>
  <c r="W13" i="33"/>
  <c r="AC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AQ9" i="1"/>
  <c r="T9" i="1"/>
  <c r="E53" i="3"/>
  <c r="C77" i="9"/>
  <c r="C74" i="9" s="1"/>
  <c r="AA39" i="40"/>
  <c r="S39" i="40"/>
  <c r="S12" i="33"/>
  <c r="AA12" i="3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H11" i="34"/>
  <c r="U11" i="34" s="1"/>
  <c r="J10" i="34"/>
  <c r="AB41" i="33"/>
  <c r="U41" i="33"/>
  <c r="J36" i="33"/>
  <c r="H36" i="33"/>
  <c r="U36" i="33" s="1"/>
  <c r="AA36" i="33"/>
  <c r="J27" i="33"/>
  <c r="W27" i="33" s="1"/>
  <c r="J25" i="33"/>
  <c r="W25" i="33" s="1"/>
  <c r="F23" i="33"/>
  <c r="H19" i="33"/>
  <c r="U19" i="33" s="1"/>
  <c r="H17" i="33"/>
  <c r="AB17" i="33" s="1"/>
  <c r="F17" i="33"/>
  <c r="AA17" i="33" s="1"/>
  <c r="U10" i="33"/>
  <c r="AB10" i="33"/>
  <c r="AC37" i="21"/>
  <c r="U33" i="21"/>
  <c r="S37" i="21"/>
  <c r="AA23" i="21"/>
  <c r="AB15" i="21"/>
  <c r="J23" i="21"/>
  <c r="F85" i="21"/>
  <c r="G85" i="21"/>
  <c r="H23" i="21"/>
  <c r="S13" i="21"/>
  <c r="D6" i="52"/>
  <c r="D121" i="9"/>
  <c r="D7" i="52"/>
  <c r="K120" i="9"/>
  <c r="E185" i="3"/>
  <c r="E45" i="3"/>
  <c r="E193" i="3"/>
  <c r="E519" i="3"/>
  <c r="E573" i="3"/>
  <c r="E458" i="3"/>
  <c r="E527" i="3"/>
  <c r="E440" i="3"/>
  <c r="E490" i="3"/>
  <c r="E376" i="3"/>
  <c r="E556" i="3"/>
  <c r="AH6" i="3"/>
  <c r="E497" i="3"/>
  <c r="J6" i="3"/>
  <c r="E13" i="3"/>
  <c r="E498" i="3"/>
  <c r="E494" i="3"/>
  <c r="E419" i="3"/>
  <c r="E452" i="3"/>
  <c r="E483" i="3"/>
  <c r="E470" i="3"/>
  <c r="E401" i="3"/>
  <c r="E420" i="3"/>
  <c r="E463" i="3"/>
  <c r="E26" i="3"/>
  <c r="E40" i="3"/>
  <c r="E104" i="3"/>
  <c r="E25" i="3"/>
  <c r="E41" i="3"/>
  <c r="E108" i="3"/>
  <c r="E115" i="3"/>
  <c r="E178"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E59" i="34"/>
  <c r="F59" i="34"/>
  <c r="C65" i="40"/>
  <c r="D63" i="40"/>
  <c r="E63" i="40" s="1"/>
  <c r="L27" i="6"/>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B11" i="34"/>
  <c r="AC10" i="34"/>
  <c r="W10" i="34"/>
  <c r="J11" i="34"/>
  <c r="AC11" i="34" s="1"/>
  <c r="AC36" i="33"/>
  <c r="W36" i="33"/>
  <c r="AB36" i="33"/>
  <c r="AC27" i="33"/>
  <c r="AA23" i="33"/>
  <c r="S23" i="33"/>
  <c r="U23" i="21"/>
  <c r="AB23" i="21"/>
  <c r="AC23" i="21"/>
  <c r="W23" i="21"/>
  <c r="D65" i="40"/>
  <c r="F1" i="67"/>
  <c r="Q52" i="67"/>
  <c r="AC11" i="37"/>
  <c r="W11" i="37"/>
  <c r="W11" i="34"/>
  <c r="C13" i="12"/>
  <c r="F34" i="11"/>
  <c r="F11" i="12"/>
  <c r="F34" i="68"/>
  <c r="F63" i="40"/>
  <c r="E65" i="40"/>
  <c r="G63" i="40"/>
  <c r="F65" i="40"/>
  <c r="H63" i="40"/>
  <c r="G65" i="40"/>
  <c r="I63" i="40"/>
  <c r="H65" i="40"/>
  <c r="J63" i="40"/>
  <c r="I65" i="40"/>
  <c r="K63" i="40"/>
  <c r="L63" i="40" s="1"/>
  <c r="J65" i="40"/>
  <c r="K65" i="40"/>
  <c r="AG6" i="1"/>
  <c r="H109" i="9"/>
  <c r="H110" i="9"/>
  <c r="D18" i="53" s="1"/>
  <c r="B35" i="72" s="1"/>
  <c r="D124" i="9"/>
  <c r="H14" i="74" s="1"/>
  <c r="B7" i="74" s="1"/>
  <c r="D16" i="53"/>
  <c r="B34" i="72"/>
  <c r="D10" i="52"/>
  <c r="D17" i="53"/>
  <c r="B36" i="72" s="1"/>
  <c r="D125" i="9"/>
  <c r="D11" i="52" s="1"/>
  <c r="J7" i="33"/>
  <c r="W7" i="33" s="1"/>
  <c r="F7" i="33"/>
  <c r="S7" i="33" s="1"/>
  <c r="H7" i="33"/>
  <c r="AB7" i="33" s="1"/>
  <c r="U7" i="33"/>
  <c r="H112" i="9"/>
  <c r="D21" i="53"/>
  <c r="B39" i="72" s="1"/>
  <c r="H111" i="9"/>
  <c r="D126" i="9" s="1"/>
  <c r="D19" i="53"/>
  <c r="B38" i="72" s="1"/>
  <c r="D59" i="9"/>
  <c r="M55" i="9"/>
  <c r="AD3" i="71"/>
  <c r="F43" i="81"/>
  <c r="AE7" i="1"/>
  <c r="F38" i="15"/>
  <c r="M27" i="67"/>
  <c r="M8" i="15"/>
  <c r="D2" i="34"/>
  <c r="L48" i="67"/>
  <c r="C76" i="15"/>
  <c r="F7" i="15"/>
  <c r="F4" i="73"/>
  <c r="E12" i="76"/>
  <c r="F37" i="15"/>
  <c r="F42" i="15"/>
  <c r="M21" i="67"/>
  <c r="M29" i="67"/>
  <c r="M6" i="67"/>
  <c r="L47" i="15"/>
  <c r="B13" i="76"/>
  <c r="D7" i="73"/>
  <c r="M22" i="15"/>
  <c r="F13" i="67"/>
  <c r="AO10" i="1"/>
  <c r="M22" i="67"/>
  <c r="F26" i="15"/>
  <c r="M23" i="67"/>
  <c r="E2" i="68"/>
  <c r="F13" i="15"/>
  <c r="F7" i="80"/>
  <c r="AE8" i="1"/>
  <c r="E9" i="76"/>
  <c r="F6" i="67"/>
  <c r="F5" i="73"/>
  <c r="F37" i="67"/>
  <c r="M8" i="67"/>
  <c r="D2" i="35"/>
  <c r="M9" i="15"/>
  <c r="J15" i="15"/>
  <c r="C76" i="67"/>
  <c r="E13" i="76"/>
  <c r="F35" i="67"/>
  <c r="F7" i="67"/>
  <c r="D2" i="36"/>
  <c r="M27" i="15"/>
  <c r="F36" i="15"/>
  <c r="F36" i="67"/>
  <c r="B9" i="76"/>
  <c r="J15" i="67"/>
  <c r="B12" i="76"/>
  <c r="B10" i="76"/>
  <c r="M23" i="15"/>
  <c r="AO11" i="1"/>
  <c r="F8" i="67"/>
  <c r="M24" i="15"/>
  <c r="M28" i="67"/>
  <c r="F42" i="67"/>
  <c r="AO9" i="1"/>
  <c r="L47" i="67"/>
  <c r="D2" i="21"/>
  <c r="D4" i="73"/>
  <c r="F6" i="15"/>
  <c r="F41" i="67"/>
  <c r="F43" i="67"/>
  <c r="L48" i="15"/>
  <c r="F9" i="67"/>
  <c r="B7" i="76"/>
  <c r="M29" i="80"/>
  <c r="F7" i="81"/>
  <c r="F41" i="80"/>
  <c r="AO12" i="1"/>
  <c r="F16" i="67"/>
  <c r="B11" i="76"/>
  <c r="B8" i="76"/>
  <c r="F3" i="73"/>
  <c r="E11" i="76"/>
  <c r="D6" i="73"/>
  <c r="F43" i="15"/>
  <c r="M9" i="67"/>
  <c r="D2" i="37"/>
  <c r="E7" i="76"/>
  <c r="F26" i="67"/>
  <c r="F9" i="15"/>
  <c r="M26" i="67"/>
  <c r="M29" i="15"/>
  <c r="F40" i="15"/>
  <c r="F7" i="73"/>
  <c r="M6" i="15"/>
  <c r="F38" i="67"/>
  <c r="M28" i="15"/>
  <c r="D3" i="73"/>
  <c r="D5" i="73"/>
  <c r="M24" i="67"/>
  <c r="F43" i="80"/>
  <c r="M29" i="81"/>
  <c r="F41" i="81"/>
  <c r="E10" i="76"/>
  <c r="F16" i="15"/>
  <c r="F20" i="31"/>
  <c r="E8" i="76"/>
  <c r="F6" i="73"/>
  <c r="M26" i="15"/>
  <c r="AO13" i="1"/>
  <c r="F8" i="15"/>
  <c r="F40" i="67"/>
  <c r="E2" i="69"/>
  <c r="D2" i="33"/>
  <c r="AA29" i="35" l="1"/>
  <c r="AB20" i="35"/>
  <c r="AC20" i="35"/>
  <c r="U18" i="35"/>
  <c r="U30" i="35"/>
  <c r="S18" i="35"/>
  <c r="W16" i="35"/>
  <c r="U14" i="35"/>
  <c r="S14" i="35"/>
  <c r="H26" i="35"/>
  <c r="F26" i="35"/>
  <c r="J26" i="35"/>
  <c r="E360" i="3"/>
  <c r="E451" i="3"/>
  <c r="E438" i="3"/>
  <c r="E474" i="3"/>
  <c r="E529" i="3"/>
  <c r="E532" i="3"/>
  <c r="E313" i="3"/>
  <c r="E224" i="3"/>
  <c r="E117" i="3"/>
  <c r="E410" i="3"/>
  <c r="E439" i="3"/>
  <c r="E269" i="3"/>
  <c r="E120" i="3"/>
  <c r="E277" i="3"/>
  <c r="E177" i="3"/>
  <c r="E133" i="3"/>
  <c r="E330" i="3"/>
  <c r="K6" i="3"/>
  <c r="Q6" i="3"/>
  <c r="E560" i="3"/>
  <c r="E437" i="3"/>
  <c r="E472" i="3"/>
  <c r="E481" i="3"/>
  <c r="E406"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125" i="3"/>
  <c r="E426" i="3"/>
  <c r="E143" i="3"/>
  <c r="E561" i="3"/>
  <c r="E231" i="3"/>
  <c r="E135" i="3"/>
  <c r="E122"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7" i="3"/>
  <c r="E141" i="3"/>
  <c r="E164" i="3"/>
  <c r="E199" i="3"/>
  <c r="E145" i="3"/>
  <c r="E167" i="3"/>
  <c r="E204" i="3"/>
  <c r="E253" i="3"/>
  <c r="E271" i="3"/>
  <c r="E212" i="3"/>
  <c r="E252" i="3"/>
  <c r="E77" i="3"/>
  <c r="E207" i="3"/>
  <c r="E149" i="3"/>
  <c r="E89" i="3"/>
  <c r="E157" i="3"/>
  <c r="E181" i="3"/>
  <c r="E228" i="3"/>
  <c r="E61" i="3"/>
  <c r="E216" i="3"/>
  <c r="E380" i="3"/>
  <c r="E538" i="3"/>
  <c r="AR6" i="3"/>
  <c r="E270" i="3"/>
  <c r="E337" i="3"/>
  <c r="O6" i="3"/>
  <c r="E501" i="3"/>
  <c r="E180" i="3"/>
  <c r="E161" i="3"/>
  <c r="E221" i="3"/>
  <c r="E290" i="3"/>
  <c r="E91" i="3"/>
  <c r="E254" i="3"/>
  <c r="E134" i="3"/>
  <c r="E169" i="3"/>
  <c r="E298" i="3"/>
  <c r="E321" i="3"/>
  <c r="E338" i="3"/>
  <c r="E418" i="3"/>
  <c r="E506" i="3"/>
  <c r="E523" i="3"/>
  <c r="S6" i="3"/>
  <c r="E390" i="3"/>
  <c r="E97" i="3"/>
  <c r="E285" i="3"/>
  <c r="E359" i="3"/>
  <c r="E574" i="3"/>
  <c r="E328" i="3"/>
  <c r="E153" i="3"/>
  <c r="E319" i="3"/>
  <c r="F50" i="81"/>
  <c r="C49" i="81" s="1"/>
  <c r="C6" i="81"/>
  <c r="M7" i="81"/>
  <c r="J6" i="81" s="1"/>
  <c r="F71" i="81"/>
  <c r="M7" i="80"/>
  <c r="J6" i="80" s="1"/>
  <c r="C6" i="80"/>
  <c r="F50" i="80"/>
  <c r="C49" i="80" s="1"/>
  <c r="F71" i="80"/>
  <c r="M9" i="1"/>
  <c r="M18" i="82"/>
  <c r="B118" i="82" s="1"/>
  <c r="M7" i="1"/>
  <c r="E8" i="6"/>
  <c r="U43" i="33"/>
  <c r="S39" i="33"/>
  <c r="AC37" i="33"/>
  <c r="U32" i="33"/>
  <c r="AB27" i="33"/>
  <c r="S27" i="33"/>
  <c r="AC25" i="33"/>
  <c r="W21" i="33"/>
  <c r="W23" i="33"/>
  <c r="W19" i="33"/>
  <c r="AC17" i="33"/>
  <c r="S17" i="33"/>
  <c r="AA35" i="33"/>
  <c r="S32" i="33"/>
  <c r="AB25" i="33"/>
  <c r="U23" i="33"/>
  <c r="AB19" i="33"/>
  <c r="AA19" i="33"/>
  <c r="U17" i="33"/>
  <c r="U15" i="33"/>
  <c r="S15" i="33"/>
  <c r="W39" i="33"/>
  <c r="U38" i="33"/>
  <c r="AA34" i="33"/>
  <c r="W35" i="33"/>
  <c r="U35" i="33"/>
  <c r="W32" i="33"/>
  <c r="AC28" i="33"/>
  <c r="AB28" i="33"/>
  <c r="S25" i="33"/>
  <c r="W10" i="33"/>
  <c r="S9" i="33"/>
  <c r="T48" i="33"/>
  <c r="G48" i="33" s="1"/>
  <c r="AA7" i="33"/>
  <c r="R48" i="33" s="1"/>
  <c r="AA41" i="34"/>
  <c r="AB35" i="34"/>
  <c r="AB36" i="34"/>
  <c r="W33" i="34"/>
  <c r="AB33" i="34"/>
  <c r="U21" i="34"/>
  <c r="S21" i="34"/>
  <c r="AB17" i="34"/>
  <c r="AC17" i="34"/>
  <c r="U10" i="34"/>
  <c r="S44" i="34"/>
  <c r="U44" i="34"/>
  <c r="W41" i="34"/>
  <c r="AA25" i="34"/>
  <c r="AB23" i="34"/>
  <c r="U15" i="34"/>
  <c r="AC39" i="34"/>
  <c r="AA39" i="34"/>
  <c r="P61" i="15"/>
  <c r="J53" i="15"/>
  <c r="F1" i="15" s="1"/>
  <c r="C51" i="10"/>
  <c r="A118" i="82"/>
  <c r="A2" i="82"/>
  <c r="A118" i="83"/>
  <c r="A2" i="83"/>
  <c r="F69" i="81"/>
  <c r="F69" i="80"/>
  <c r="C94" i="9"/>
  <c r="C92" i="9"/>
  <c r="F32" i="15"/>
  <c r="F60" i="15" s="1"/>
  <c r="F31" i="12"/>
  <c r="C31" i="12" s="1"/>
  <c r="D68" i="9"/>
  <c r="F32" i="67"/>
  <c r="F60" i="67" s="1"/>
  <c r="F30" i="11"/>
  <c r="C48" i="11" s="1"/>
  <c r="M18" i="15"/>
  <c r="F30" i="69"/>
  <c r="C48" i="69" s="1"/>
  <c r="F28" i="67"/>
  <c r="C28" i="67" s="1"/>
  <c r="F30" i="68"/>
  <c r="C30" i="68" s="1"/>
  <c r="C36" i="68"/>
  <c r="C36" i="11"/>
  <c r="C30" i="11"/>
  <c r="F54" i="9"/>
  <c r="C30" i="69"/>
  <c r="C48" i="68"/>
  <c r="F28" i="15"/>
  <c r="C28" i="15" s="1"/>
  <c r="M18" i="67"/>
  <c r="F52" i="9"/>
  <c r="C40" i="69"/>
  <c r="E130" i="3"/>
  <c r="E189" i="3"/>
  <c r="E230" i="3"/>
  <c r="E215" i="3"/>
  <c r="E294" i="3"/>
  <c r="E335" i="3"/>
  <c r="E320" i="3"/>
  <c r="E387" i="3"/>
  <c r="E407" i="3"/>
  <c r="AB6" i="3"/>
  <c r="V6" i="3"/>
  <c r="M6" i="3"/>
  <c r="E551" i="3"/>
  <c r="E570" i="3"/>
  <c r="E559" i="3"/>
  <c r="E514" i="3"/>
  <c r="E358" i="3"/>
  <c r="E311" i="3"/>
  <c r="E151" i="3"/>
  <c r="E201" i="3"/>
  <c r="E229" i="3"/>
  <c r="E247" i="3"/>
  <c r="E396" i="3"/>
  <c r="E431" i="3"/>
  <c r="E569" i="3"/>
  <c r="E555" i="3"/>
  <c r="E388" i="3"/>
  <c r="E508" i="3"/>
  <c r="E305" i="3"/>
  <c r="E343" i="3"/>
  <c r="E530" i="3"/>
  <c r="E175" i="3"/>
  <c r="F27" i="6"/>
  <c r="E56" i="39"/>
  <c r="E51" i="40"/>
  <c r="E579" i="3"/>
  <c r="E516" i="3"/>
  <c r="E509" i="3"/>
  <c r="E239" i="3"/>
  <c r="AJ6" i="3"/>
  <c r="N6" i="3"/>
  <c r="E322" i="3"/>
  <c r="E282" i="3"/>
  <c r="E268" i="3"/>
  <c r="E553" i="3"/>
  <c r="E526" i="3"/>
  <c r="E366" i="3"/>
  <c r="E217" i="3"/>
  <c r="E27" i="6"/>
  <c r="E12"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59" i="40"/>
  <c r="G30" i="6"/>
  <c r="G31" i="6" s="1"/>
  <c r="E15" i="6"/>
  <c r="E60" i="40" s="1"/>
  <c r="E28" i="6"/>
  <c r="F30" i="6"/>
  <c r="E29" i="6"/>
  <c r="BL15" i="3"/>
  <c r="BL5" i="3" s="1"/>
  <c r="E13" i="6"/>
  <c r="E30" i="6"/>
  <c r="K15" i="1"/>
  <c r="K24" i="6"/>
  <c r="M24" i="6" s="1"/>
  <c r="I24" i="6" s="1"/>
  <c r="K20" i="6"/>
  <c r="E31" i="6"/>
  <c r="K21" i="6"/>
  <c r="K22" i="6"/>
  <c r="M22" i="6" s="1"/>
  <c r="I22" i="6" s="1"/>
  <c r="K23" i="6"/>
  <c r="M23" i="6" s="1"/>
  <c r="I23" i="6" s="1"/>
  <c r="S23" i="6" s="1"/>
  <c r="F31" i="6"/>
  <c r="T13" i="1"/>
  <c r="AR11" i="1"/>
  <c r="T11" i="1"/>
  <c r="AQ13" i="1"/>
  <c r="T10" i="1"/>
  <c r="T12" i="1"/>
  <c r="D9" i="68"/>
  <c r="C9" i="68" s="1"/>
  <c r="D9" i="69"/>
  <c r="C9" i="69" s="1"/>
  <c r="D19" i="12"/>
  <c r="C19" i="12" s="1"/>
  <c r="E16" i="6"/>
  <c r="S24" i="6"/>
  <c r="O12" i="1"/>
  <c r="P12" i="1" s="1"/>
  <c r="O9" i="1"/>
  <c r="P9" i="1" s="1"/>
  <c r="S22" i="6"/>
  <c r="O11" i="1"/>
  <c r="P11" i="1" s="1"/>
  <c r="O8" i="1"/>
  <c r="H16" i="1"/>
  <c r="Q16" i="1"/>
  <c r="G16" i="1"/>
  <c r="H10" i="40"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9" i="43"/>
  <c r="O17" i="43"/>
  <c r="M17" i="43"/>
  <c r="N17" i="43"/>
  <c r="L17" i="43"/>
  <c r="E17" i="43"/>
  <c r="G17" i="43"/>
  <c r="C16" i="43" s="1"/>
  <c r="D5" i="43" s="1"/>
  <c r="T35" i="4"/>
  <c r="A19" i="51" s="1"/>
  <c r="B14" i="72" s="1"/>
  <c r="A15" i="62"/>
  <c r="B61" i="72" s="1"/>
  <c r="D20" i="53"/>
  <c r="B40" i="72" s="1"/>
  <c r="I14" i="74"/>
  <c r="B8" i="74" s="1"/>
  <c r="D127" i="9"/>
  <c r="D13" i="52" s="1"/>
  <c r="D12" i="52"/>
  <c r="E48" i="33"/>
  <c r="G52" i="33"/>
  <c r="H52" i="33" s="1"/>
  <c r="M63" i="40"/>
  <c r="L65" i="40"/>
  <c r="AC7" i="33"/>
  <c r="V48" i="33" s="1"/>
  <c r="I48" i="33" s="1"/>
  <c r="G53" i="33" s="1"/>
  <c r="H53" i="33" s="1"/>
  <c r="F48" i="35"/>
  <c r="C70" i="39"/>
  <c r="D68" i="39"/>
  <c r="F10" i="39"/>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C4" i="4" s="1"/>
  <c r="B4" i="49"/>
  <c r="B9" i="49"/>
  <c r="E4" i="4" s="1"/>
  <c r="B5" i="62" s="1"/>
  <c r="B73" i="72" s="1"/>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M17" i="67"/>
  <c r="F31" i="15"/>
  <c r="F31" i="67"/>
  <c r="C16" i="15"/>
  <c r="AE6" i="1"/>
  <c r="C14" i="67"/>
  <c r="C16" i="80"/>
  <c r="G1" i="73"/>
  <c r="C14" i="81"/>
  <c r="C16" i="81"/>
  <c r="C16" i="67"/>
  <c r="C17" i="81"/>
  <c r="C17" i="67"/>
  <c r="AA26" i="35" l="1"/>
  <c r="S26" i="35"/>
  <c r="W26" i="35"/>
  <c r="AC26" i="35"/>
  <c r="U26" i="35"/>
  <c r="AB26" i="35"/>
  <c r="E6" i="3"/>
  <c r="C15" i="81"/>
  <c r="C18" i="81"/>
  <c r="O7" i="1"/>
  <c r="P7" i="1" s="1"/>
  <c r="R49" i="33"/>
  <c r="Q52" i="15"/>
  <c r="F11" i="81"/>
  <c r="M11" i="81"/>
  <c r="J10" i="81" s="1"/>
  <c r="J5" i="81" s="1"/>
  <c r="F11" i="80"/>
  <c r="M11" i="80"/>
  <c r="J10" i="80" s="1"/>
  <c r="J5" i="80" s="1"/>
  <c r="M21" i="6"/>
  <c r="I21" i="6" s="1"/>
  <c r="S21" i="6" s="1"/>
  <c r="S8" i="1"/>
  <c r="E8" i="70" s="1"/>
  <c r="M20" i="6"/>
  <c r="I20" i="6" s="1"/>
  <c r="S7" i="1"/>
  <c r="E57" i="40"/>
  <c r="E62" i="39"/>
  <c r="D22" i="43"/>
  <c r="E65" i="39"/>
  <c r="E58" i="40"/>
  <c r="E63" i="39"/>
  <c r="E66" i="39" s="1"/>
  <c r="AZ15" i="3"/>
  <c r="AZ5" i="3" s="1"/>
  <c r="AY6" i="3" s="1"/>
  <c r="AY98" i="3" s="1"/>
  <c r="K26" i="6"/>
  <c r="M26" i="6" s="1"/>
  <c r="I26" i="6" s="1"/>
  <c r="S26" i="6" s="1"/>
  <c r="K14" i="1"/>
  <c r="K19" i="6"/>
  <c r="S6" i="1" s="1"/>
  <c r="K25" i="6"/>
  <c r="M25" i="6" s="1"/>
  <c r="I25" i="6" s="1"/>
  <c r="S25" i="6" s="1"/>
  <c r="AY535" i="3"/>
  <c r="AY465" i="3"/>
  <c r="AY53" i="3"/>
  <c r="AY126" i="3"/>
  <c r="AY389" i="3"/>
  <c r="AY236" i="3"/>
  <c r="AY420" i="3"/>
  <c r="AY76" i="3"/>
  <c r="AY125" i="3"/>
  <c r="AY374" i="3"/>
  <c r="AY56" i="3"/>
  <c r="AY295" i="3"/>
  <c r="AY377" i="3"/>
  <c r="AY317" i="3"/>
  <c r="AY491" i="3"/>
  <c r="AY457" i="3"/>
  <c r="AY414" i="3"/>
  <c r="AY581" i="3"/>
  <c r="AY561" i="3"/>
  <c r="AY546" i="3"/>
  <c r="AY16" i="3"/>
  <c r="AY584" i="3"/>
  <c r="AY514" i="3"/>
  <c r="AY519" i="3"/>
  <c r="AY96" i="3"/>
  <c r="AY80" i="3"/>
  <c r="AY37" i="3"/>
  <c r="AY189" i="3"/>
  <c r="AY169" i="3"/>
  <c r="AY129" i="3"/>
  <c r="AY282"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87" i="3"/>
  <c r="AY34" i="3"/>
  <c r="AY144" i="3"/>
  <c r="AY95" i="3"/>
  <c r="AY152" i="3"/>
  <c r="AY111" i="3"/>
  <c r="AY253" i="3"/>
  <c r="AY382" i="3"/>
  <c r="AY303" i="3"/>
  <c r="AY460" i="3"/>
  <c r="AY529" i="3"/>
  <c r="AY300" i="3"/>
  <c r="AY217" i="3"/>
  <c r="AY327" i="3"/>
  <c r="AY463" i="3"/>
  <c r="AY401"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80"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85"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10" i="39"/>
  <c r="U10" i="39" s="1"/>
  <c r="J10" i="40"/>
  <c r="W10" i="40" s="1"/>
  <c r="F27" i="68"/>
  <c r="F27" i="69"/>
  <c r="F28" i="12"/>
  <c r="C29" i="12" s="1"/>
  <c r="D28" i="12" s="1"/>
  <c r="F27" i="11"/>
  <c r="P8" i="1"/>
  <c r="F10" i="40"/>
  <c r="J10" i="39"/>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2" i="43"/>
  <c r="I107" i="43"/>
  <c r="I105" i="43"/>
  <c r="I106" i="43"/>
  <c r="I103" i="43"/>
  <c r="D109" i="43"/>
  <c r="D105" i="43"/>
  <c r="D106" i="43"/>
  <c r="D102" i="43"/>
  <c r="D103" i="43"/>
  <c r="D104" i="43"/>
  <c r="D107"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5" i="43"/>
  <c r="B4" i="62"/>
  <c r="B71" i="72" s="1"/>
  <c r="K4" i="4"/>
  <c r="B46" i="48" s="1"/>
  <c r="B4" i="72" s="1"/>
  <c r="E58" i="21"/>
  <c r="H52" i="37"/>
  <c r="AB10" i="39"/>
  <c r="AA10" i="39"/>
  <c r="S10" i="39"/>
  <c r="D70" i="39"/>
  <c r="E68" i="39"/>
  <c r="C49" i="33"/>
  <c r="C48" i="33"/>
  <c r="F46" i="36"/>
  <c r="H59" i="34"/>
  <c r="AC10" i="40"/>
  <c r="AB10" i="40"/>
  <c r="U10" i="40"/>
  <c r="G48" i="35"/>
  <c r="I52" i="33"/>
  <c r="J52" i="33" s="1"/>
  <c r="I53" i="33"/>
  <c r="J53" i="33" s="1"/>
  <c r="N63" i="40"/>
  <c r="M65" i="40"/>
  <c r="E52" i="33"/>
  <c r="F52" i="33" s="1"/>
  <c r="E53" i="33"/>
  <c r="F53" i="33" s="1"/>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F41" i="15"/>
  <c r="C17" i="15"/>
  <c r="C17" i="80"/>
  <c r="F69" i="15" l="1"/>
  <c r="C19" i="81"/>
  <c r="C20" i="81" s="1"/>
  <c r="C26" i="81" s="1"/>
  <c r="M19" i="83"/>
  <c r="C118" i="83" s="1"/>
  <c r="L19" i="83"/>
  <c r="S20" i="6"/>
  <c r="L18" i="82"/>
  <c r="E6" i="70"/>
  <c r="E7" i="70"/>
  <c r="F24" i="80"/>
  <c r="C24" i="80" s="1"/>
  <c r="F24" i="81"/>
  <c r="J26" i="81"/>
  <c r="J29" i="81" s="1"/>
  <c r="J18" i="81"/>
  <c r="J24" i="81"/>
  <c r="C53" i="81"/>
  <c r="C48" i="81" s="1"/>
  <c r="C10" i="81"/>
  <c r="C5" i="81" s="1"/>
  <c r="J26" i="80"/>
  <c r="J29" i="80" s="1"/>
  <c r="J24" i="80"/>
  <c r="J18" i="80"/>
  <c r="C53" i="80"/>
  <c r="C48" i="80" s="1"/>
  <c r="C10" i="80"/>
  <c r="C5" i="80" s="1"/>
  <c r="AQ6" i="1"/>
  <c r="AR6" i="1"/>
  <c r="S16" i="1"/>
  <c r="T6" i="1"/>
  <c r="AQ7" i="1"/>
  <c r="AR7" i="1"/>
  <c r="T7" i="1"/>
  <c r="AQ8" i="1"/>
  <c r="AR8" i="1"/>
  <c r="T8" i="1"/>
  <c r="AY510" i="3"/>
  <c r="BF6" i="3"/>
  <c r="BM6" i="3"/>
  <c r="AY427" i="3"/>
  <c r="AY446" i="3"/>
  <c r="AY488" i="3"/>
  <c r="AY332" i="3"/>
  <c r="AY349" i="3"/>
  <c r="AY242" i="3"/>
  <c r="AY166" i="3"/>
  <c r="AY109" i="3"/>
  <c r="AY262" i="3"/>
  <c r="AY185" i="3"/>
  <c r="BE6" i="3"/>
  <c r="AY26" i="3"/>
  <c r="AY124" i="3"/>
  <c r="AY239" i="3"/>
  <c r="AY182" i="3"/>
  <c r="BO6" i="3"/>
  <c r="AY409" i="3"/>
  <c r="AY387" i="3"/>
  <c r="BS6" i="3"/>
  <c r="AY222" i="3"/>
  <c r="AY302" i="3"/>
  <c r="AY146" i="3"/>
  <c r="AY36" i="3"/>
  <c r="AY89" i="3"/>
  <c r="AY562" i="3"/>
  <c r="AY228" i="3"/>
  <c r="AY297" i="3"/>
  <c r="AY269" i="3"/>
  <c r="AY90"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59" i="3"/>
  <c r="AY145" i="3"/>
  <c r="AY202" i="3"/>
  <c r="AY73" i="3"/>
  <c r="BH6" i="3"/>
  <c r="AY219" i="3"/>
  <c r="AY278" i="3"/>
  <c r="AY165" i="3"/>
  <c r="AY33" i="3"/>
  <c r="AY92" i="3"/>
  <c r="AY544" i="3"/>
  <c r="AY372" i="3"/>
  <c r="AY473" i="3"/>
  <c r="AY281" i="3"/>
  <c r="AY51" i="3"/>
  <c r="AY365" i="3"/>
  <c r="AY211" i="3"/>
  <c r="AY254" i="3"/>
  <c r="AY271" i="3"/>
  <c r="AY117" i="3"/>
  <c r="AY157" i="3"/>
  <c r="AY178" i="3"/>
  <c r="AY25" i="3"/>
  <c r="AY68" i="3"/>
  <c r="AY85" i="3"/>
  <c r="AY555" i="3"/>
  <c r="AY574" i="3"/>
  <c r="AY433" i="3"/>
  <c r="AY358" i="3"/>
  <c r="AY180" i="3"/>
  <c r="AY335" i="3"/>
  <c r="AY59" i="3"/>
  <c r="AY311" i="3"/>
  <c r="AY444" i="3"/>
  <c r="AY75" i="3"/>
  <c r="AY18" i="3"/>
  <c r="AY470" i="3"/>
  <c r="AY225" i="3"/>
  <c r="AY276" i="3"/>
  <c r="AY23" i="3"/>
  <c r="AY447" i="3"/>
  <c r="AY390" i="3"/>
  <c r="AY526" i="3"/>
  <c r="AY334" i="3"/>
  <c r="AY237" i="3"/>
  <c r="AY163" i="3"/>
  <c r="AY171" i="3"/>
  <c r="AY103" i="3"/>
  <c r="AY82" i="3"/>
  <c r="AY191" i="3"/>
  <c r="AY132" i="3"/>
  <c r="AY31" i="3"/>
  <c r="AY292" i="3"/>
  <c r="AY147" i="3"/>
  <c r="AY220" i="3"/>
  <c r="AY350" i="3"/>
  <c r="AY486" i="3"/>
  <c r="AY425" i="3"/>
  <c r="AY199" i="3"/>
  <c r="AY244" i="3"/>
  <c r="AY355" i="3"/>
  <c r="AY481" i="3"/>
  <c r="AY404" i="3"/>
  <c r="AY83" i="3"/>
  <c r="AY155" i="3"/>
  <c r="AY131" i="3"/>
  <c r="AY58" i="3"/>
  <c r="AY268" i="3"/>
  <c r="AY371" i="3"/>
  <c r="AY318" i="3"/>
  <c r="AY428" i="3"/>
  <c r="AY106" i="3"/>
  <c r="AY245" i="3"/>
  <c r="AY395" i="3"/>
  <c r="AY342" i="3"/>
  <c r="AY452" i="3"/>
  <c r="AY513"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AY207" i="3"/>
  <c r="AY42" i="3"/>
  <c r="AY168" i="3"/>
  <c r="AY366" i="3"/>
  <c r="AY441" i="3"/>
  <c r="AY260" i="3"/>
  <c r="AY310" i="3"/>
  <c r="AY549" i="3"/>
  <c r="AY533" i="3"/>
  <c r="AY97" i="3"/>
  <c r="AY61" i="3"/>
  <c r="AY44" i="3"/>
  <c r="AY190" i="3"/>
  <c r="AY154" i="3"/>
  <c r="AY133" i="3"/>
  <c r="AY283" i="3"/>
  <c r="AY247" i="3"/>
  <c r="AY230" i="3"/>
  <c r="AY397" i="3"/>
  <c r="AY360" i="3"/>
  <c r="BJ6" i="3"/>
  <c r="AY104" i="3"/>
  <c r="AY41" i="3"/>
  <c r="AY24" i="3"/>
  <c r="AY197" i="3"/>
  <c r="AY177" i="3"/>
  <c r="AY114" i="3"/>
  <c r="AY290" i="3"/>
  <c r="AY274" i="3"/>
  <c r="AY210" i="3"/>
  <c r="E3" i="6"/>
  <c r="AY188" i="3"/>
  <c r="AY115" i="3"/>
  <c r="AY176" i="3"/>
  <c r="AY66" i="3"/>
  <c r="AY557" i="3"/>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M14" i="1"/>
  <c r="C34" i="69"/>
  <c r="K16" i="1"/>
  <c r="K27" i="6"/>
  <c r="M19" i="6"/>
  <c r="D26" i="6"/>
  <c r="C18" i="4"/>
  <c r="D8" i="6"/>
  <c r="D20" i="6"/>
  <c r="D9" i="6"/>
  <c r="D28" i="6"/>
  <c r="E61" i="40"/>
  <c r="D15" i="6"/>
  <c r="D21" i="6"/>
  <c r="D12" i="6"/>
  <c r="D14" i="6"/>
  <c r="H24" i="6"/>
  <c r="H20" i="6"/>
  <c r="R20" i="6" s="1"/>
  <c r="R7" i="1" s="1"/>
  <c r="H25" i="6"/>
  <c r="H26" i="6"/>
  <c r="R26" i="6" s="1"/>
  <c r="AA10" i="40"/>
  <c r="S10" i="40"/>
  <c r="C47" i="11"/>
  <c r="D45" i="11" s="1"/>
  <c r="C29" i="11"/>
  <c r="D27" i="11" s="1"/>
  <c r="C47" i="69"/>
  <c r="D45" i="69" s="1"/>
  <c r="C29" i="69"/>
  <c r="D27" i="69" s="1"/>
  <c r="W10" i="39"/>
  <c r="AC10" i="39"/>
  <c r="C29" i="68"/>
  <c r="D27" i="68" s="1"/>
  <c r="C47" i="68"/>
  <c r="D45" i="68" s="1"/>
  <c r="C115" i="43"/>
  <c r="D113" i="43"/>
  <c r="S2" i="43"/>
  <c r="S6" i="43"/>
  <c r="S7" i="43"/>
  <c r="S3" i="43"/>
  <c r="S5" i="43"/>
  <c r="S4" i="43"/>
  <c r="C23" i="43"/>
  <c r="C21" i="43" s="1"/>
  <c r="H48" i="35"/>
  <c r="O63" i="40"/>
  <c r="O65" i="40" s="1"/>
  <c r="N65" i="40"/>
  <c r="H7" i="40" s="1"/>
  <c r="I59" i="34"/>
  <c r="G46" i="36"/>
  <c r="F68" i="39"/>
  <c r="E70" i="39"/>
  <c r="I52" i="37"/>
  <c r="F58" i="2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4" i="15"/>
  <c r="C14" i="80"/>
  <c r="M21" i="80"/>
  <c r="F35" i="80"/>
  <c r="E2" i="70" l="1"/>
  <c r="C18" i="80"/>
  <c r="C15" i="80"/>
  <c r="C15" i="15"/>
  <c r="C18" i="15"/>
  <c r="L19" i="82"/>
  <c r="M19" i="82"/>
  <c r="C118" i="82" s="1"/>
  <c r="M18" i="83"/>
  <c r="B118" i="83" s="1"/>
  <c r="L18" i="83"/>
  <c r="D21" i="83"/>
  <c r="H22" i="6"/>
  <c r="H23" i="6"/>
  <c r="D11" i="6"/>
  <c r="H21" i="6"/>
  <c r="D29" i="6"/>
  <c r="D10" i="6"/>
  <c r="D24" i="6"/>
  <c r="R24" i="6" s="1"/>
  <c r="D22" i="6"/>
  <c r="D25" i="6"/>
  <c r="R25" i="6" s="1"/>
  <c r="D13" i="6"/>
  <c r="D5" i="6"/>
  <c r="D23" i="6"/>
  <c r="D19" i="6"/>
  <c r="C34" i="80"/>
  <c r="F63" i="80"/>
  <c r="C62" i="80" s="1"/>
  <c r="J20" i="80"/>
  <c r="C38" i="81"/>
  <c r="C32" i="81"/>
  <c r="C24" i="81"/>
  <c r="C23" i="81"/>
  <c r="C66" i="81"/>
  <c r="C60" i="81"/>
  <c r="C38" i="80"/>
  <c r="C32" i="80"/>
  <c r="C66" i="80"/>
  <c r="C60" i="80"/>
  <c r="R21" i="6"/>
  <c r="R8" i="1" s="1"/>
  <c r="D30" i="6"/>
  <c r="D16" i="6"/>
  <c r="E6" i="6"/>
  <c r="D19" i="11"/>
  <c r="C19" i="11" s="1"/>
  <c r="C24" i="11" s="1"/>
  <c r="D14" i="12"/>
  <c r="D3" i="33"/>
  <c r="B2" i="33" s="1"/>
  <c r="B3" i="33" s="1"/>
  <c r="R24" i="84" s="1"/>
  <c r="D3" i="37"/>
  <c r="D3" i="21"/>
  <c r="D37" i="11"/>
  <c r="C37" i="11" s="1"/>
  <c r="M18" i="9"/>
  <c r="B118" i="9" s="1"/>
  <c r="B14" i="74" s="1"/>
  <c r="B1" i="74" s="1"/>
  <c r="C17" i="4"/>
  <c r="B4" i="52" s="1"/>
  <c r="B43" i="72" s="1"/>
  <c r="D3" i="34"/>
  <c r="C38" i="69"/>
  <c r="C35" i="69"/>
  <c r="I19" i="6"/>
  <c r="L18" i="9" s="1"/>
  <c r="M27" i="6"/>
  <c r="O14" i="1"/>
  <c r="M16" i="1"/>
  <c r="T16" i="1"/>
  <c r="N16" i="1"/>
  <c r="C4" i="52"/>
  <c r="B45" i="72" s="1"/>
  <c r="A10" i="51"/>
  <c r="B9" i="72" s="1"/>
  <c r="A7" i="51"/>
  <c r="B7" i="72" s="1"/>
  <c r="D27" i="6"/>
  <c r="D31" i="6" s="1"/>
  <c r="U7" i="40"/>
  <c r="AB7" i="40"/>
  <c r="T42" i="40" s="1"/>
  <c r="G42" i="40" s="1"/>
  <c r="G58" i="21"/>
  <c r="H46" i="36"/>
  <c r="J7" i="40"/>
  <c r="I48" i="35"/>
  <c r="J52" i="37"/>
  <c r="G68" i="39"/>
  <c r="F70" i="39"/>
  <c r="J59" i="34"/>
  <c r="F7"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F35" i="81"/>
  <c r="M21" i="81"/>
  <c r="J20" i="81" l="1"/>
  <c r="F63" i="81"/>
  <c r="C62" i="81" s="1"/>
  <c r="C34" i="81"/>
  <c r="S24" i="84"/>
  <c r="R25" i="84"/>
  <c r="S25" i="84" s="1"/>
  <c r="R27" i="84"/>
  <c r="S27" i="84" s="1"/>
  <c r="R29" i="84"/>
  <c r="S29" i="84" s="1"/>
  <c r="R31" i="84"/>
  <c r="S31" i="84" s="1"/>
  <c r="R33" i="84"/>
  <c r="S33" i="84" s="1"/>
  <c r="R35" i="84"/>
  <c r="S35" i="84" s="1"/>
  <c r="R37" i="84"/>
  <c r="S37" i="84" s="1"/>
  <c r="R39" i="84"/>
  <c r="S39" i="84" s="1"/>
  <c r="R41" i="84"/>
  <c r="S41" i="84" s="1"/>
  <c r="R43" i="84"/>
  <c r="S43" i="84" s="1"/>
  <c r="R26" i="84"/>
  <c r="S26" i="84" s="1"/>
  <c r="R28" i="84"/>
  <c r="S28" i="84" s="1"/>
  <c r="R30" i="84"/>
  <c r="S30" i="84" s="1"/>
  <c r="R32" i="84"/>
  <c r="S32" i="84" s="1"/>
  <c r="R34" i="84"/>
  <c r="S34" i="84" s="1"/>
  <c r="R36" i="84"/>
  <c r="S36" i="84" s="1"/>
  <c r="R38" i="84"/>
  <c r="S38" i="84" s="1"/>
  <c r="R40" i="84"/>
  <c r="S40" i="84" s="1"/>
  <c r="R42" i="84"/>
  <c r="S42" i="84" s="1"/>
  <c r="C19" i="15"/>
  <c r="C19" i="80"/>
  <c r="C20" i="80" s="1"/>
  <c r="C20" i="15"/>
  <c r="C26" i="15" s="1"/>
  <c r="R22" i="6"/>
  <c r="M19" i="9"/>
  <c r="C118" i="9" s="1"/>
  <c r="C14" i="74" s="1"/>
  <c r="B2" i="74" s="1"/>
  <c r="R23" i="6"/>
  <c r="J59" i="80"/>
  <c r="J60" i="80" s="1"/>
  <c r="Q48" i="80" s="1"/>
  <c r="C33" i="80"/>
  <c r="C31" i="80" s="1"/>
  <c r="C29" i="81"/>
  <c r="C20" i="11"/>
  <c r="C25" i="11" s="1"/>
  <c r="C22" i="11" s="1"/>
  <c r="C7" i="74"/>
  <c r="C8" i="74"/>
  <c r="D17" i="12"/>
  <c r="C17" i="12" s="1"/>
  <c r="C14" i="12"/>
  <c r="D20" i="12"/>
  <c r="C20" i="12" s="1"/>
  <c r="C18" i="12" s="1"/>
  <c r="D10" i="69"/>
  <c r="D6" i="6"/>
  <c r="D10" i="11"/>
  <c r="C10" i="11" s="1"/>
  <c r="D10" i="68"/>
  <c r="F50" i="68"/>
  <c r="F50" i="11"/>
  <c r="F50" i="69"/>
  <c r="C34" i="11"/>
  <c r="C34" i="68"/>
  <c r="L16" i="1"/>
  <c r="P14" i="1"/>
  <c r="P16" i="1" s="1"/>
  <c r="C11" i="12" s="1"/>
  <c r="O16" i="1"/>
  <c r="I27" i="6"/>
  <c r="S19" i="6"/>
  <c r="S27" i="6" s="1"/>
  <c r="H19" i="6"/>
  <c r="L19" i="9" s="1"/>
  <c r="I6" i="6"/>
  <c r="I5" i="6"/>
  <c r="S7" i="40"/>
  <c r="AA7" i="40"/>
  <c r="R42" i="40" s="1"/>
  <c r="K59" i="34"/>
  <c r="H68" i="39"/>
  <c r="G70" i="39"/>
  <c r="K52" i="37"/>
  <c r="J48" i="35"/>
  <c r="G46" i="40"/>
  <c r="H46" i="40" s="1"/>
  <c r="W7" i="40"/>
  <c r="AC7" i="40"/>
  <c r="V42" i="40" s="1"/>
  <c r="I42" i="40" s="1"/>
  <c r="I46" i="36"/>
  <c r="H58"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23" i="15" l="1"/>
  <c r="C29" i="15" s="1"/>
  <c r="Q49" i="15" s="1"/>
  <c r="S22" i="84"/>
  <c r="C26" i="80"/>
  <c r="C23" i="80"/>
  <c r="D8" i="74"/>
  <c r="D7" i="74"/>
  <c r="C57" i="81"/>
  <c r="C36" i="81"/>
  <c r="J19" i="81"/>
  <c r="J17" i="81" s="1"/>
  <c r="J14" i="81"/>
  <c r="C13" i="81"/>
  <c r="F35" i="83" s="1"/>
  <c r="Q49" i="81"/>
  <c r="C33" i="81"/>
  <c r="C31" i="81" s="1"/>
  <c r="J59" i="81"/>
  <c r="J60" i="81" s="1"/>
  <c r="C10" i="69"/>
  <c r="C8" i="69" s="1"/>
  <c r="C5" i="69" s="1"/>
  <c r="D19" i="69"/>
  <c r="C28" i="11"/>
  <c r="C27" i="11" s="1"/>
  <c r="C31" i="11" s="1"/>
  <c r="C10" i="68"/>
  <c r="D19" i="68"/>
  <c r="H27" i="6"/>
  <c r="R19" i="6"/>
  <c r="C12" i="12"/>
  <c r="C15" i="12"/>
  <c r="C35" i="68"/>
  <c r="C38" i="68"/>
  <c r="C35" i="11"/>
  <c r="C38" i="11"/>
  <c r="C33" i="11" s="1"/>
  <c r="I58" i="21"/>
  <c r="J58" i="21" s="1"/>
  <c r="K58" i="21" s="1"/>
  <c r="L58" i="21" s="1"/>
  <c r="M58" i="21" s="1"/>
  <c r="N58" i="21" s="1"/>
  <c r="O58" i="21" s="1"/>
  <c r="H7" i="21"/>
  <c r="J7" i="21"/>
  <c r="I46" i="40"/>
  <c r="J46" i="40" s="1"/>
  <c r="F7" i="21"/>
  <c r="J46" i="36"/>
  <c r="G47" i="40"/>
  <c r="H47" i="40" s="1"/>
  <c r="K48" i="35"/>
  <c r="L52" i="37"/>
  <c r="I68" i="39"/>
  <c r="H70" i="39"/>
  <c r="L59" i="34"/>
  <c r="E42" i="40"/>
  <c r="I47" i="40" s="1"/>
  <c r="J47" i="40" s="1"/>
  <c r="R43" i="40"/>
  <c r="C26" i="43"/>
  <c r="B2" i="43" s="1"/>
  <c r="C27" i="43"/>
  <c r="Q48" i="67"/>
  <c r="L46" i="67"/>
  <c r="C75" i="67"/>
  <c r="C37" i="67"/>
  <c r="C30" i="67" s="1"/>
  <c r="C39" i="67" s="1"/>
  <c r="Q70" i="67"/>
  <c r="C56" i="67"/>
  <c r="C65" i="67" s="1"/>
  <c r="J13" i="67"/>
  <c r="J23" i="67" s="1"/>
  <c r="J22" i="67"/>
  <c r="Q48" i="15"/>
  <c r="C61" i="67"/>
  <c r="C59" i="67" s="1"/>
  <c r="C64" i="67"/>
  <c r="E6" i="76"/>
  <c r="B6" i="76"/>
  <c r="C13" i="15" l="1"/>
  <c r="C36" i="15"/>
  <c r="J19" i="15"/>
  <c r="J14" i="15"/>
  <c r="C57" i="15"/>
  <c r="C29" i="80"/>
  <c r="C57" i="80" s="1"/>
  <c r="R22" i="84"/>
  <c r="B21" i="84" s="1"/>
  <c r="B20" i="84"/>
  <c r="C16" i="12"/>
  <c r="C21" i="12" s="1"/>
  <c r="Q48" i="81"/>
  <c r="J13" i="81"/>
  <c r="J23" i="81" s="1"/>
  <c r="J22" i="81"/>
  <c r="C75" i="81"/>
  <c r="Q70" i="81"/>
  <c r="C37" i="81"/>
  <c r="C30" i="81" s="1"/>
  <c r="C39" i="81" s="1"/>
  <c r="C56" i="81"/>
  <c r="C65" i="81" s="1"/>
  <c r="C64" i="81"/>
  <c r="C61" i="81"/>
  <c r="C59" i="81" s="1"/>
  <c r="L57" i="80"/>
  <c r="L60" i="80" s="1"/>
  <c r="L46" i="80" s="1"/>
  <c r="R27" i="6"/>
  <c r="R6" i="1"/>
  <c r="C19" i="68"/>
  <c r="D37" i="68"/>
  <c r="C37" i="68" s="1"/>
  <c r="C33" i="68" s="1"/>
  <c r="C39" i="68" s="1"/>
  <c r="C43" i="68" s="1"/>
  <c r="C23" i="69"/>
  <c r="C19" i="69"/>
  <c r="C24" i="69" s="1"/>
  <c r="D37" i="69"/>
  <c r="C37" i="69" s="1"/>
  <c r="C33" i="69" s="1"/>
  <c r="C22" i="12"/>
  <c r="C30" i="12" s="1"/>
  <c r="C28" i="12" s="1"/>
  <c r="C39" i="11"/>
  <c r="C42" i="11"/>
  <c r="C43" i="40"/>
  <c r="C42" i="40"/>
  <c r="K46" i="36"/>
  <c r="AC7" i="21"/>
  <c r="V48" i="21" s="1"/>
  <c r="I48" i="21" s="1"/>
  <c r="W7" i="21"/>
  <c r="E47" i="40"/>
  <c r="F47" i="40" s="1"/>
  <c r="E46" i="40"/>
  <c r="F46" i="40" s="1"/>
  <c r="M59" i="34"/>
  <c r="N59" i="34" s="1"/>
  <c r="O59" i="34" s="1"/>
  <c r="H7" i="34" s="1"/>
  <c r="J68" i="39"/>
  <c r="I70" i="39"/>
  <c r="M52" i="37"/>
  <c r="N52" i="37" s="1"/>
  <c r="O52" i="37" s="1"/>
  <c r="H7" i="37" s="1"/>
  <c r="L48" i="35"/>
  <c r="M48" i="35" s="1"/>
  <c r="N48" i="35" s="1"/>
  <c r="O48" i="35" s="1"/>
  <c r="H7" i="35" s="1"/>
  <c r="F7" i="35"/>
  <c r="AA7" i="21"/>
  <c r="R48" i="21" s="1"/>
  <c r="S7" i="21"/>
  <c r="AB7" i="21"/>
  <c r="T48" i="21" s="1"/>
  <c r="G48" i="21" s="1"/>
  <c r="U7" i="21"/>
  <c r="E2" i="76"/>
  <c r="B2" i="76"/>
  <c r="B3" i="43"/>
  <c r="J16" i="67"/>
  <c r="J25" i="67" s="1"/>
  <c r="C40" i="67"/>
  <c r="Q69" i="67"/>
  <c r="Q68" i="67" s="1"/>
  <c r="C58" i="67"/>
  <c r="C67" i="67" s="1"/>
  <c r="C68" i="67" s="1"/>
  <c r="C80" i="67"/>
  <c r="C79" i="67" s="1"/>
  <c r="M21" i="15"/>
  <c r="D19" i="82"/>
  <c r="D20" i="82"/>
  <c r="L51" i="67"/>
  <c r="F35" i="15"/>
  <c r="C56" i="15" l="1"/>
  <c r="C65" i="15" s="1"/>
  <c r="C75" i="15"/>
  <c r="Q70" i="15"/>
  <c r="C37" i="15"/>
  <c r="C61" i="15"/>
  <c r="C64" i="15"/>
  <c r="J22" i="15"/>
  <c r="J13" i="15"/>
  <c r="J23" i="15" s="1"/>
  <c r="J19" i="80"/>
  <c r="J17" i="80" s="1"/>
  <c r="C13" i="80"/>
  <c r="J14" i="80"/>
  <c r="J22" i="80" s="1"/>
  <c r="Q49" i="80"/>
  <c r="C36" i="80"/>
  <c r="D102" i="82"/>
  <c r="D21" i="82"/>
  <c r="D103" i="82"/>
  <c r="C75" i="80"/>
  <c r="C37" i="80"/>
  <c r="C56" i="80"/>
  <c r="C65" i="80" s="1"/>
  <c r="Q70" i="80"/>
  <c r="J13" i="80"/>
  <c r="J23" i="80" s="1"/>
  <c r="C64" i="80"/>
  <c r="C61" i="80"/>
  <c r="C59" i="80" s="1"/>
  <c r="F63" i="15"/>
  <c r="C62" i="15" s="1"/>
  <c r="C34" i="15"/>
  <c r="C31" i="15" s="1"/>
  <c r="C30" i="15" s="1"/>
  <c r="C39" i="15" s="1"/>
  <c r="J20" i="15"/>
  <c r="J17" i="15" s="1"/>
  <c r="R16" i="1"/>
  <c r="C58" i="81"/>
  <c r="C67" i="81" s="1"/>
  <c r="C68" i="81" s="1"/>
  <c r="J16" i="81"/>
  <c r="J25" i="81" s="1"/>
  <c r="Q69" i="81"/>
  <c r="Q68" i="81" s="1"/>
  <c r="C40" i="81"/>
  <c r="C71" i="81"/>
  <c r="C80" i="81"/>
  <c r="C79" i="81" s="1"/>
  <c r="Q66" i="80"/>
  <c r="Q57" i="80"/>
  <c r="C42" i="68"/>
  <c r="C41" i="68" s="1"/>
  <c r="C46" i="68"/>
  <c r="C45" i="68" s="1"/>
  <c r="C27" i="12"/>
  <c r="C25" i="12" s="1"/>
  <c r="C32" i="12" s="1"/>
  <c r="B2" i="12" s="1"/>
  <c r="B3" i="12" s="1"/>
  <c r="C39" i="69"/>
  <c r="C42" i="69"/>
  <c r="C20" i="69"/>
  <c r="C24" i="68"/>
  <c r="C20" i="68"/>
  <c r="C25" i="68" s="1"/>
  <c r="C46" i="11"/>
  <c r="C45" i="11" s="1"/>
  <c r="C43" i="11"/>
  <c r="C41" i="11" s="1"/>
  <c r="U7" i="35"/>
  <c r="AB7" i="35"/>
  <c r="T38" i="35" s="1"/>
  <c r="G38" i="35" s="1"/>
  <c r="G52" i="21"/>
  <c r="H52" i="21" s="1"/>
  <c r="G53" i="21"/>
  <c r="H53" i="21" s="1"/>
  <c r="E48" i="21"/>
  <c r="R49" i="21"/>
  <c r="J7" i="35"/>
  <c r="F7" i="37"/>
  <c r="J7" i="34"/>
  <c r="L46" i="36"/>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AA7" i="35"/>
  <c r="R38" i="35" s="1"/>
  <c r="S7" i="35"/>
  <c r="AB7" i="37"/>
  <c r="T42" i="37" s="1"/>
  <c r="G42" i="37" s="1"/>
  <c r="U7" i="37"/>
  <c r="K68" i="39"/>
  <c r="J70" i="39"/>
  <c r="U7" i="34"/>
  <c r="AB7" i="34"/>
  <c r="T49" i="34" s="1"/>
  <c r="G49" i="34" s="1"/>
  <c r="I52" i="21"/>
  <c r="J52" i="21" s="1"/>
  <c r="I53" i="21"/>
  <c r="J53" i="21" s="1"/>
  <c r="J7" i="37"/>
  <c r="F7" i="34"/>
  <c r="B3" i="76"/>
  <c r="Q67" i="67"/>
  <c r="L57" i="67"/>
  <c r="L60" i="67" s="1"/>
  <c r="C71" i="67"/>
  <c r="C45" i="67"/>
  <c r="C46" i="67" s="1"/>
  <c r="Q56" i="67"/>
  <c r="Q47" i="67"/>
  <c r="Q53" i="67" s="1"/>
  <c r="Q65" i="67"/>
  <c r="C43" i="67"/>
  <c r="D2" i="67"/>
  <c r="C83" i="67"/>
  <c r="C82" i="67" s="1"/>
  <c r="L51" i="81"/>
  <c r="L51" i="15"/>
  <c r="J16" i="15" l="1"/>
  <c r="J25" i="15" s="1"/>
  <c r="C59" i="15"/>
  <c r="C58" i="15" s="1"/>
  <c r="C67" i="15" s="1"/>
  <c r="C68" i="15" s="1"/>
  <c r="C71" i="15" s="1"/>
  <c r="C58" i="80"/>
  <c r="C67" i="80" s="1"/>
  <c r="C68" i="80" s="1"/>
  <c r="C71" i="80" s="1"/>
  <c r="C30" i="80"/>
  <c r="C39" i="80" s="1"/>
  <c r="Q69" i="80" s="1"/>
  <c r="Q68" i="80" s="1"/>
  <c r="J16" i="80"/>
  <c r="J25" i="80" s="1"/>
  <c r="C80" i="80"/>
  <c r="C79" i="80" s="1"/>
  <c r="L57" i="15"/>
  <c r="L60" i="15" s="1"/>
  <c r="L46" i="15" s="1"/>
  <c r="Q67" i="15"/>
  <c r="Q69" i="15"/>
  <c r="Q68" i="15" s="1"/>
  <c r="C80" i="15"/>
  <c r="C79" i="15" s="1"/>
  <c r="C40" i="15"/>
  <c r="C46" i="81"/>
  <c r="Q67" i="81"/>
  <c r="L57" i="81"/>
  <c r="L60" i="81" s="1"/>
  <c r="L46" i="81" s="1"/>
  <c r="Q47" i="81"/>
  <c r="Q53" i="81" s="1"/>
  <c r="B2" i="81"/>
  <c r="Q65" i="81"/>
  <c r="Q56" i="81"/>
  <c r="C43" i="81"/>
  <c r="C83" i="81"/>
  <c r="C82" i="81" s="1"/>
  <c r="C22" i="68"/>
  <c r="C49" i="11"/>
  <c r="C51" i="11" s="1"/>
  <c r="C52" i="11" s="1"/>
  <c r="B2" i="11" s="1"/>
  <c r="B3" i="11" s="1"/>
  <c r="C49" i="68"/>
  <c r="C51" i="68" s="1"/>
  <c r="C28" i="69"/>
  <c r="C27" i="69" s="1"/>
  <c r="C25" i="69"/>
  <c r="C22" i="69" s="1"/>
  <c r="C28" i="68"/>
  <c r="C27" i="68" s="1"/>
  <c r="C46" i="69"/>
  <c r="C45" i="69" s="1"/>
  <c r="C43" i="69"/>
  <c r="C41" i="69" s="1"/>
  <c r="H7" i="36"/>
  <c r="W7" i="37"/>
  <c r="AC7" i="37"/>
  <c r="V42" i="37" s="1"/>
  <c r="I42" i="37" s="1"/>
  <c r="L68" i="39"/>
  <c r="K70" i="39"/>
  <c r="G46" i="37"/>
  <c r="H46" i="37" s="1"/>
  <c r="G47" i="37"/>
  <c r="H47" i="37" s="1"/>
  <c r="E38" i="35"/>
  <c r="S7" i="34"/>
  <c r="AA7" i="34"/>
  <c r="R49" i="34" s="1"/>
  <c r="G53" i="34"/>
  <c r="H53" i="34" s="1"/>
  <c r="W7" i="34"/>
  <c r="AC7" i="34"/>
  <c r="V49" i="34" s="1"/>
  <c r="I49" i="34" s="1"/>
  <c r="W7" i="35"/>
  <c r="AC7" i="35"/>
  <c r="V38" i="35" s="1"/>
  <c r="I38" i="35" s="1"/>
  <c r="G43" i="35" s="1"/>
  <c r="H43" i="35" s="1"/>
  <c r="E52" i="21"/>
  <c r="F52" i="21" s="1"/>
  <c r="E53" i="21"/>
  <c r="F53" i="21" s="1"/>
  <c r="M46" i="36"/>
  <c r="N46" i="36" s="1"/>
  <c r="O46" i="36" s="1"/>
  <c r="F7" i="36"/>
  <c r="J7" i="36"/>
  <c r="AA7" i="37"/>
  <c r="R42" i="37" s="1"/>
  <c r="S7" i="37"/>
  <c r="C48" i="21"/>
  <c r="C49" i="21"/>
  <c r="B2" i="21" s="1"/>
  <c r="B3" i="21" s="1"/>
  <c r="G42" i="35"/>
  <c r="H42" i="35" s="1"/>
  <c r="Q66" i="67"/>
  <c r="Q75" i="67" s="1"/>
  <c r="Q57" i="67"/>
  <c r="Q62" i="67" s="1"/>
  <c r="B2" i="67"/>
  <c r="B3" i="67"/>
  <c r="AO8" i="1"/>
  <c r="L51" i="80"/>
  <c r="C19" i="83"/>
  <c r="C40" i="80" l="1"/>
  <c r="Q65" i="80" s="1"/>
  <c r="Q75" i="80" s="1"/>
  <c r="C102" i="83"/>
  <c r="G19" i="83"/>
  <c r="F34" i="83" s="1"/>
  <c r="D22" i="83"/>
  <c r="C21" i="83"/>
  <c r="R39" i="35"/>
  <c r="Q67" i="80"/>
  <c r="Q47" i="80"/>
  <c r="Q53" i="80" s="1"/>
  <c r="C83" i="80"/>
  <c r="C82" i="80" s="1"/>
  <c r="Q56" i="80"/>
  <c r="Q62" i="80" s="1"/>
  <c r="Q66" i="15"/>
  <c r="Q57" i="15"/>
  <c r="C31" i="68"/>
  <c r="C52" i="68" s="1"/>
  <c r="B2" i="68" s="1"/>
  <c r="B3" i="68" s="1"/>
  <c r="B2" i="15"/>
  <c r="Q47" i="15"/>
  <c r="Q53" i="15" s="1"/>
  <c r="C83" i="15"/>
  <c r="C82" i="15" s="1"/>
  <c r="Q65" i="15"/>
  <c r="Q75" i="15" s="1"/>
  <c r="C43" i="15"/>
  <c r="Q56" i="15"/>
  <c r="C46" i="15"/>
  <c r="B8" i="70"/>
  <c r="B3" i="81"/>
  <c r="Q66" i="81"/>
  <c r="Q75" i="81" s="1"/>
  <c r="Q57" i="81"/>
  <c r="Q62" i="81" s="1"/>
  <c r="C49" i="69"/>
  <c r="C51" i="69" s="1"/>
  <c r="C31" i="69"/>
  <c r="C56" i="11"/>
  <c r="C57" i="11" s="1"/>
  <c r="E42" i="37"/>
  <c r="R43" i="37"/>
  <c r="AC7" i="36"/>
  <c r="V36" i="36" s="1"/>
  <c r="I36" i="36" s="1"/>
  <c r="W7" i="36"/>
  <c r="E43" i="35"/>
  <c r="F43" i="35" s="1"/>
  <c r="E42" i="35"/>
  <c r="F42" i="35" s="1"/>
  <c r="M68" i="39"/>
  <c r="L70" i="39"/>
  <c r="S7" i="36"/>
  <c r="AA7" i="36"/>
  <c r="R36" i="36" s="1"/>
  <c r="I42" i="35"/>
  <c r="J42" i="35" s="1"/>
  <c r="I43" i="35"/>
  <c r="J43" i="35" s="1"/>
  <c r="I53" i="34"/>
  <c r="J53" i="34" s="1"/>
  <c r="G54" i="34"/>
  <c r="H54" i="34" s="1"/>
  <c r="R50" i="34"/>
  <c r="E49" i="34"/>
  <c r="I54" i="34" s="1"/>
  <c r="J54" i="34" s="1"/>
  <c r="C38" i="35"/>
  <c r="C39" i="35"/>
  <c r="B2" i="35" s="1"/>
  <c r="B3" i="35" s="1"/>
  <c r="I47" i="37"/>
  <c r="J47" i="37" s="1"/>
  <c r="I46" i="37"/>
  <c r="J46" i="37" s="1"/>
  <c r="U7" i="36"/>
  <c r="AB7" i="36"/>
  <c r="T36" i="36" s="1"/>
  <c r="G36" i="36" s="1"/>
  <c r="AO6" i="1"/>
  <c r="C19" i="9"/>
  <c r="C20" i="83"/>
  <c r="C46" i="80" l="1"/>
  <c r="B2" i="80"/>
  <c r="C43" i="80"/>
  <c r="C103" i="83"/>
  <c r="G20" i="83"/>
  <c r="C32" i="83"/>
  <c r="G21" i="83"/>
  <c r="B3" i="80"/>
  <c r="Q62" i="15"/>
  <c r="C57" i="68"/>
  <c r="C56" i="68" s="1"/>
  <c r="C21" i="9"/>
  <c r="C102" i="9"/>
  <c r="B6" i="70"/>
  <c r="C52" i="69"/>
  <c r="B2" i="69" s="1"/>
  <c r="B3" i="69" s="1"/>
  <c r="B3" i="15"/>
  <c r="G40" i="36"/>
  <c r="H40" i="36" s="1"/>
  <c r="G41" i="36"/>
  <c r="H41" i="36" s="1"/>
  <c r="C50" i="34"/>
  <c r="B2" i="34" s="1"/>
  <c r="B3" i="34" s="1"/>
  <c r="R24" i="31" s="1"/>
  <c r="C49" i="34"/>
  <c r="E36" i="36"/>
  <c r="R37" i="36"/>
  <c r="C42" i="37"/>
  <c r="C43" i="37"/>
  <c r="B2" i="37" s="1"/>
  <c r="B3" i="37" s="1"/>
  <c r="E54" i="34"/>
  <c r="F54" i="34" s="1"/>
  <c r="E53" i="34"/>
  <c r="F53" i="34" s="1"/>
  <c r="N68" i="39"/>
  <c r="M70" i="39"/>
  <c r="I41" i="36"/>
  <c r="J41" i="36" s="1"/>
  <c r="I40" i="36"/>
  <c r="J40" i="36" s="1"/>
  <c r="E47" i="37"/>
  <c r="F47" i="37" s="1"/>
  <c r="E46" i="37"/>
  <c r="F46" i="37" s="1"/>
  <c r="C19" i="82"/>
  <c r="AO7" i="1"/>
  <c r="D34" i="82"/>
  <c r="D35" i="9"/>
  <c r="D35" i="82"/>
  <c r="C20" i="9"/>
  <c r="C20" i="82"/>
  <c r="D34" i="9"/>
  <c r="C57" i="69" l="1"/>
  <c r="C56" i="69" s="1"/>
  <c r="B7" i="70"/>
  <c r="C102" i="82"/>
  <c r="C21" i="82"/>
  <c r="D22" i="82"/>
  <c r="G19" i="82"/>
  <c r="B2" i="70"/>
  <c r="B3" i="70" s="1"/>
  <c r="C35" i="83"/>
  <c r="D35" i="83" s="1"/>
  <c r="H118" i="83"/>
  <c r="D16" i="74" s="1"/>
  <c r="C34" i="83"/>
  <c r="C103" i="82"/>
  <c r="G20" i="82"/>
  <c r="C32" i="82"/>
  <c r="G21" i="82"/>
  <c r="S24" i="31"/>
  <c r="R25" i="31"/>
  <c r="S25" i="31" s="1"/>
  <c r="R33" i="31"/>
  <c r="S33" i="31" s="1"/>
  <c r="R29" i="31"/>
  <c r="S29" i="31" s="1"/>
  <c r="R36" i="31"/>
  <c r="S36" i="31" s="1"/>
  <c r="R32" i="31"/>
  <c r="S32" i="31" s="1"/>
  <c r="R28" i="31"/>
  <c r="S28" i="31" s="1"/>
  <c r="R27" i="31"/>
  <c r="S27" i="31" s="1"/>
  <c r="R35" i="31"/>
  <c r="S35" i="31" s="1"/>
  <c r="R31" i="31"/>
  <c r="S31" i="31" s="1"/>
  <c r="R34" i="31"/>
  <c r="S34" i="31" s="1"/>
  <c r="R30" i="31"/>
  <c r="S30" i="31" s="1"/>
  <c r="R26" i="31"/>
  <c r="S26" i="31" s="1"/>
  <c r="C103" i="9"/>
  <c r="C36" i="36"/>
  <c r="C37" i="36"/>
  <c r="B2" i="36" s="1"/>
  <c r="B3" i="36" s="1"/>
  <c r="O68" i="39"/>
  <c r="O70" i="39" s="1"/>
  <c r="N70" i="39"/>
  <c r="E40" i="36"/>
  <c r="F40" i="36" s="1"/>
  <c r="E41" i="36"/>
  <c r="F41" i="36" s="1"/>
  <c r="D34" i="83"/>
  <c r="E16" i="74" l="1"/>
  <c r="F16" i="74"/>
  <c r="D118" i="83"/>
  <c r="D119" i="83" s="1"/>
  <c r="F118" i="83"/>
  <c r="H119" i="83"/>
  <c r="C104" i="83"/>
  <c r="H101" i="83"/>
  <c r="I118" i="83"/>
  <c r="F119" i="83"/>
  <c r="G118" i="83"/>
  <c r="H118" i="82"/>
  <c r="D15" i="74" s="1"/>
  <c r="C35" i="82"/>
  <c r="F118" i="82" s="1"/>
  <c r="S22" i="31"/>
  <c r="H7" i="39"/>
  <c r="F7" i="39"/>
  <c r="J7" i="39"/>
  <c r="E15" i="74" l="1"/>
  <c r="F15" i="74"/>
  <c r="H102" i="83"/>
  <c r="E118" i="83"/>
  <c r="C105" i="83"/>
  <c r="H107" i="83"/>
  <c r="G16" i="74" s="1"/>
  <c r="M48" i="83"/>
  <c r="D45" i="83"/>
  <c r="C34" i="82"/>
  <c r="D118" i="82" s="1"/>
  <c r="D119" i="82" s="1"/>
  <c r="G118" i="82"/>
  <c r="F119" i="82"/>
  <c r="H119" i="82"/>
  <c r="H101" i="82"/>
  <c r="I118" i="82"/>
  <c r="C104" i="82"/>
  <c r="R22" i="31"/>
  <c r="B21" i="31" s="1"/>
  <c r="B20" i="31"/>
  <c r="AC7" i="39"/>
  <c r="V47" i="39" s="1"/>
  <c r="I47" i="39" s="1"/>
  <c r="W7" i="39"/>
  <c r="S7" i="39"/>
  <c r="AA7" i="39"/>
  <c r="R47" i="39" s="1"/>
  <c r="AB7" i="39"/>
  <c r="T47" i="39" s="1"/>
  <c r="G47" i="39" s="1"/>
  <c r="U7" i="39"/>
  <c r="D19" i="9"/>
  <c r="D20" i="9"/>
  <c r="C78" i="83" l="1"/>
  <c r="C73" i="83" s="1"/>
  <c r="C93" i="83"/>
  <c r="C86" i="83" s="1"/>
  <c r="C72" i="83"/>
  <c r="C79" i="83" s="1"/>
  <c r="D55" i="83"/>
  <c r="M53" i="83" s="1"/>
  <c r="D52" i="83"/>
  <c r="C85" i="83"/>
  <c r="C95" i="83" s="1"/>
  <c r="C64" i="83"/>
  <c r="C63" i="83" s="1"/>
  <c r="C67" i="83" s="1"/>
  <c r="C68" i="83" s="1"/>
  <c r="D54" i="83" s="1"/>
  <c r="D53" i="83"/>
  <c r="D122" i="83"/>
  <c r="D123" i="83" s="1"/>
  <c r="M49" i="83"/>
  <c r="H108" i="83"/>
  <c r="D45" i="82"/>
  <c r="M48" i="82"/>
  <c r="H107" i="82"/>
  <c r="G15" i="74" s="1"/>
  <c r="H102" i="82"/>
  <c r="E118" i="82"/>
  <c r="C105" i="82"/>
  <c r="D102" i="9"/>
  <c r="D21" i="9"/>
  <c r="G19" i="9"/>
  <c r="D22" i="9"/>
  <c r="D103" i="9"/>
  <c r="G20" i="9"/>
  <c r="E47" i="39"/>
  <c r="I52" i="39" s="1"/>
  <c r="J52" i="39" s="1"/>
  <c r="R48" i="39"/>
  <c r="G52" i="39"/>
  <c r="H52" i="39" s="1"/>
  <c r="G51" i="39"/>
  <c r="H51" i="39" s="1"/>
  <c r="I51" i="39"/>
  <c r="J51" i="39" s="1"/>
  <c r="L65" i="83" l="1"/>
  <c r="M65" i="83" s="1"/>
  <c r="L68" i="83"/>
  <c r="M68" i="83" s="1"/>
  <c r="L63" i="83"/>
  <c r="M63" i="83" s="1"/>
  <c r="L66" i="83"/>
  <c r="M66" i="83" s="1"/>
  <c r="L64" i="83"/>
  <c r="M64" i="83" s="1"/>
  <c r="L67" i="83"/>
  <c r="M67" i="83" s="1"/>
  <c r="C96" i="83"/>
  <c r="E96" i="83" s="1"/>
  <c r="E97" i="83" s="1"/>
  <c r="C80" i="83"/>
  <c r="E80" i="83" s="1"/>
  <c r="E81" i="83" s="1"/>
  <c r="C81" i="83"/>
  <c r="H108" i="82"/>
  <c r="M49" i="82"/>
  <c r="D122" i="82"/>
  <c r="D123" i="82" s="1"/>
  <c r="C85" i="82"/>
  <c r="D53" i="82"/>
  <c r="C78" i="82"/>
  <c r="C73" i="82" s="1"/>
  <c r="C72" i="82"/>
  <c r="D52" i="82"/>
  <c r="C64" i="82"/>
  <c r="C63" i="82" s="1"/>
  <c r="C67" i="82" s="1"/>
  <c r="C68" i="82" s="1"/>
  <c r="D54" i="82" s="1"/>
  <c r="C93" i="82"/>
  <c r="C86" i="82" s="1"/>
  <c r="D55" i="82"/>
  <c r="M53" i="82" s="1"/>
  <c r="G21" i="9"/>
  <c r="C32" i="9"/>
  <c r="C48" i="39"/>
  <c r="C47" i="39"/>
  <c r="E51" i="39"/>
  <c r="F51" i="39" s="1"/>
  <c r="E52" i="39"/>
  <c r="F52" i="39" s="1"/>
  <c r="C97" i="83" l="1"/>
  <c r="D58" i="83" s="1"/>
  <c r="D56" i="83" s="1"/>
  <c r="M54" i="83" s="1"/>
  <c r="N57" i="83" s="1"/>
  <c r="N58" i="83" s="1"/>
  <c r="M69" i="83"/>
  <c r="N69" i="83" s="1"/>
  <c r="C95" i="82"/>
  <c r="L66" i="82"/>
  <c r="M66" i="82" s="1"/>
  <c r="L67" i="82"/>
  <c r="M67" i="82" s="1"/>
  <c r="L68" i="82"/>
  <c r="M68" i="82" s="1"/>
  <c r="L64" i="82"/>
  <c r="M64" i="82" s="1"/>
  <c r="L65" i="82"/>
  <c r="M65" i="82" s="1"/>
  <c r="L63" i="82"/>
  <c r="M63" i="82" s="1"/>
  <c r="C79" i="82"/>
  <c r="H118" i="9"/>
  <c r="C35" i="9"/>
  <c r="F118"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P57" i="83" l="1"/>
  <c r="N59" i="83"/>
  <c r="N60" i="83" s="1"/>
  <c r="C34" i="9"/>
  <c r="D118" i="9" s="1"/>
  <c r="D4" i="52" s="1"/>
  <c r="B47" i="72" s="1"/>
  <c r="M69" i="82"/>
  <c r="N69" i="82" s="1"/>
  <c r="C80" i="82"/>
  <c r="E80" i="82" s="1"/>
  <c r="E81" i="82" s="1"/>
  <c r="C96" i="82"/>
  <c r="E96" i="82" s="1"/>
  <c r="E97" i="82" s="1"/>
  <c r="F119" i="9"/>
  <c r="F5" i="52" s="1"/>
  <c r="B53" i="72" s="1"/>
  <c r="F4" i="52"/>
  <c r="B51" i="72" s="1"/>
  <c r="G118" i="9"/>
  <c r="G4" i="52" s="1"/>
  <c r="B52" i="72" s="1"/>
  <c r="D14" i="74"/>
  <c r="H101" i="9"/>
  <c r="I118" i="9"/>
  <c r="C104" i="9"/>
  <c r="H119" i="9"/>
  <c r="H5" i="52" s="1"/>
  <c r="H4" i="52"/>
  <c r="N61" i="83" l="1"/>
  <c r="D119" i="9"/>
  <c r="D5" i="52" s="1"/>
  <c r="B49" i="72" s="1"/>
  <c r="C97" i="82"/>
  <c r="D58" i="82" s="1"/>
  <c r="D56" i="82" s="1"/>
  <c r="M54" i="82" s="1"/>
  <c r="N57" i="82" s="1"/>
  <c r="N58" i="82" s="1"/>
  <c r="C81" i="82"/>
  <c r="M48" i="9"/>
  <c r="D45" i="9"/>
  <c r="D5" i="53"/>
  <c r="H107" i="9"/>
  <c r="E118" i="9"/>
  <c r="E4" i="52" s="1"/>
  <c r="B48" i="72" s="1"/>
  <c r="I4" i="52"/>
  <c r="H102" i="9"/>
  <c r="D7" i="53" s="1"/>
  <c r="B21" i="72" s="1"/>
  <c r="C105" i="9"/>
  <c r="E14" i="74"/>
  <c r="B5" i="74"/>
  <c r="F14" i="74"/>
  <c r="P57" i="82" l="1"/>
  <c r="N59" i="82"/>
  <c r="N61" i="82" s="1"/>
  <c r="D5" i="74"/>
  <c r="C5" i="74"/>
  <c r="D13" i="53"/>
  <c r="M49" i="9"/>
  <c r="H108" i="9"/>
  <c r="D15" i="53" s="1"/>
  <c r="B31" i="72" s="1"/>
  <c r="D122" i="9"/>
  <c r="C72" i="9"/>
  <c r="C78" i="9"/>
  <c r="C73" i="9" s="1"/>
  <c r="C85" i="9"/>
  <c r="C93" i="9"/>
  <c r="C86" i="9" s="1"/>
  <c r="D52" i="9"/>
  <c r="D53" i="9"/>
  <c r="C64" i="9"/>
  <c r="C63" i="9" s="1"/>
  <c r="C67" i="9" s="1"/>
  <c r="C68" i="9" s="1"/>
  <c r="D54" i="9" s="1"/>
  <c r="D55" i="9"/>
  <c r="M53" i="9" s="1"/>
  <c r="B20" i="72"/>
  <c r="D6" i="53"/>
  <c r="B22" i="72" s="1"/>
  <c r="N60" i="82" l="1"/>
  <c r="C79" i="9"/>
  <c r="D123" i="9"/>
  <c r="D9" i="52" s="1"/>
  <c r="G14" i="74"/>
  <c r="B6" i="74" s="1"/>
  <c r="D8" i="52"/>
  <c r="L65" i="9"/>
  <c r="M65" i="9" s="1"/>
  <c r="L68" i="9"/>
  <c r="M68" i="9" s="1"/>
  <c r="L64" i="9"/>
  <c r="M64" i="9" s="1"/>
  <c r="L66" i="9"/>
  <c r="M66" i="9" s="1"/>
  <c r="L67" i="9"/>
  <c r="M67" i="9" s="1"/>
  <c r="L63" i="9"/>
  <c r="M63" i="9" s="1"/>
  <c r="M69" i="9" s="1"/>
  <c r="N69" i="9" s="1"/>
  <c r="C95" i="9"/>
  <c r="C80" i="9"/>
  <c r="E80" i="9" s="1"/>
  <c r="E81" i="9" s="1"/>
  <c r="D14" i="53"/>
  <c r="B32" i="72" s="1"/>
  <c r="B30" i="72"/>
  <c r="C81" i="9" l="1"/>
  <c r="C96" i="9"/>
  <c r="E96" i="9" s="1"/>
  <c r="E97" i="9" s="1"/>
  <c r="D6" i="74"/>
  <c r="C6" i="74"/>
  <c r="C97" i="9" l="1"/>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<sst xmlns="http://schemas.openxmlformats.org/spreadsheetml/2006/main" count="9247" uniqueCount="3286">
  <si>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</si>
  <si>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</si>
  <si>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</si>
  <si>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</si>
  <si>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</si>
  <si>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</si>
  <si>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</si>
  <si>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</si>
  <si>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</si>
  <si>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</si>
  <si>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</si>
  <si>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</si>
  <si>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</si>
  <si>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</si>
  <si>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</si>
  <si>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</si>
  <si>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</si>
  <si>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</si>
  <si>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</si>
  <si>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</si>
  <si>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</si>
  <si>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</si>
  <si>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</si>
  <si>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</si>
  <si>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</si>
  <si>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</si>
  <si>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</si>
  <si>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</si>
  <si>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</si>
  <si>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</si>
  <si>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</si>
  <si>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</si>
  <si>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</si>
  <si>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</si>
  <si>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</si>
  <si>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</si>
  <si>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</si>
  <si>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</si>
  <si>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</si>
  <si>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</si>
  <si>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</si>
  <si>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</si>
  <si>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</si>
  <si>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</si>
  <si>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</si>
  <si>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</si>
  <si>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</si>
  <si>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</si>
  <si>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</si>
  <si>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</si>
  <si>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</si>
  <si>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</si>
  <si>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</si>
  <si>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</si>
  <si>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</si>
  <si>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</si>
  <si>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</si>
  <si>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</si>
  <si>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</si>
  <si>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</si>
  <si>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</si>
  <si>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</si>
  <si>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</si>
  <si>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</si>
  <si>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</si>
  <si>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</si>
  <si>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</si>
  <si>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</si>
  <si>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</si>
  <si>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</si>
  <si>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</si>
  <si>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</si>
  <si>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</si>
  <si>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</si>
  <si>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</si>
  <si>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</si>
  <si>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</si>
  <si>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</si>
  <si>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</si>
  <si>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</si>
  <si>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</si>
  <si>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</si>
  <si>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</si>
  <si>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</si>
  <si>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</si>
  <si>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</si>
  <si>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</si>
  <si>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</si>
  <si>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</si>
  <si>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</si>
  <si>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</si>
  <si>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</si>
  <si>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</si>
  <si>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</si>
  <si>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</si>
  <si>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</si>
  <si>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</si>
  <si>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</si>
  <si>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</si>
  <si>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</si>
  <si>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</si>
  <si>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</si>
  <si>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</si>
  <si>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</si>
  <si>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</si>
  <si>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</si>
  <si>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</si>
  <si>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</si>
  <si>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</si>
  <si>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</si>
  <si>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</si>
  <si>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</si>
  <si>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</si>
  <si>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</si>
  <si>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</si>
  <si>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</si>
  <si>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</si>
  <si>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</si>
  <si>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</si>
  <si>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</si>
  <si>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</si>
  <si>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</si>
  <si>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</si>
  <si>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</si>
  <si>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</si>
  <si>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</si>
  <si>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</si>
  <si>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</si>
  <si>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</si>
  <si>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</si>
  <si>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</si>
  <si>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</si>
  <si>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</si>
  <si>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</si>
  <si>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</si>
  <si>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</si>
  <si>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</si>
  <si>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</si>
  <si>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</si>
  <si>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</si>
  <si>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</si>
  <si>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</si>
  <si>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</si>
  <si>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</si>
  <si>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</si>
  <si>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</si>
  <si>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</si>
  <si>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</si>
  <si>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</si>
  <si>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</si>
  <si>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</si>
  <si>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</si>
  <si>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</si>
  <si>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</si>
  <si>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</si>
  <si>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</si>
  <si>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</si>
  <si>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</si>
  <si>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</si>
  <si>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</si>
  <si>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</si>
  <si>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</si>
  <si>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</si>
  <si>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</si>
  <si>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</si>
  <si>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</si>
  <si>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</si>
  <si>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</si>
  <si>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</si>
  <si>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</si>
  <si>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</si>
  <si>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</si>
  <si>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</si>
  <si>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</si>
  <si>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</si>
  <si>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</si>
  <si>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</si>
  <si>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</si>
  <si>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</si>
  <si>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</si>
  <si>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</si>
  <si>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</si>
  <si>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</si>
  <si>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</si>
  <si>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</si>
  <si>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</si>
  <si>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</si>
  <si>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</si>
  <si>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</si>
  <si>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</si>
  <si>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</si>
  <si>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</si>
  <si>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</si>
  <si>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</si>
  <si>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</si>
  <si>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</si>
  <si>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</si>
  <si>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</si>
  <si>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</si>
  <si>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</si>
  <si>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</si>
  <si>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</si>
  <si>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</si>
  <si>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</si>
  <si>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</si>
  <si>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</si>
  <si>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</si>
  <si>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</si>
  <si>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</si>
  <si>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</si>
  <si>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</si>
  <si>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</si>
  <si>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</si>
  <si>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</si>
  <si>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</si>
  <si>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</si>
  <si>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</si>
  <si>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</si>
  <si>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</si>
  <si>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</si>
  <si>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</si>
  <si>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</si>
  <si>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</si>
  <si>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</si>
  <si>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</si>
  <si>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</si>
  <si>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</si>
  <si>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</si>
  <si>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</si>
  <si>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</si>
  <si>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</si>
  <si>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</si>
  <si>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</si>
  <si>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</si>
  <si>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</si>
  <si>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</si>
  <si>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</si>
  <si>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</si>
  <si>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</si>
  <si>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</si>
  <si>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</si>
  <si>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</si>
  <si>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</si>
  <si>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</si>
  <si>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</si>
  <si>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</si>
  <si>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</si>
  <si>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</si>
  <si>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</si>
  <si>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</si>
  <si>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</si>
  <si>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</si>
  <si>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</si>
  <si>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</si>
  <si>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</si>
  <si>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</si>
  <si>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</si>
  <si>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</si>
  <si>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</si>
  <si>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</si>
  <si>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</si>
  <si>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</si>
  <si>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</si>
  <si>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</si>
  <si>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</si>
  <si>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</si>
  <si>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</si>
  <si>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</si>
  <si>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</si>
  <si>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</si>
  <si>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</si>
  <si>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</si>
  <si>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</si>
  <si>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</si>
  <si>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</si>
  <si>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</si>
  <si>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</si>
  <si>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</si>
  <si>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</si>
  <si>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</si>
  <si>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</si>
  <si>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</si>
  <si>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</si>
  <si>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</si>
  <si>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</si>
  <si>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</si>
  <si>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</si>
  <si>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</si>
  <si>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</si>
  <si>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</si>
  <si>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</si>
  <si>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</si>
  <si>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</si>
  <si>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</si>
  <si>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</si>
  <si>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</si>
  <si>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</si>
  <si>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</si>
  <si>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</si>
  <si>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</si>
  <si>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</si>
  <si>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</si>
  <si>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</si>
  <si>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</si>
  <si>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</si>
  <si>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</si>
  <si>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</si>
  <si>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</si>
  <si>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</si>
  <si>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</si>
  <si>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</si>
  <si>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</si>
  <si>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</si>
  <si>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</si>
  <si>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</si>
  <si>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</si>
  <si>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</si>
  <si>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</si>
  <si>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</si>
  <si>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</si>
  <si>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</si>
  <si>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</si>
  <si>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</si>
  <si>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</si>
  <si>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</si>
  <si>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</si>
  <si>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</si>
  <si>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</si>
  <si>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</si>
  <si>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</si>
  <si>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</si>
  <si>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</si>
  <si>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</si>
  <si>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</si>
  <si>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</si>
  <si>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</si>
  <si>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</si>
  <si>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</si>
  <si>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</si>
  <si>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</si>
  <si>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</si>
  <si>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</si>
  <si>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</si>
  <si>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</si>
  <si>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</si>
  <si>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</si>
  <si>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</si>
  <si>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</si>
  <si>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</si>
  <si>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</si>
  <si>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</si>
  <si>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</si>
  <si>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</si>
  <si>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</si>
  <si>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</si>
  <si>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</si>
  <si>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</si>
  <si>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</si>
  <si>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</si>
  <si>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</si>
  <si>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</si>
  <si>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</si>
  <si>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</si>
  <si>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</si>
  <si>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</si>
  <si>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</si>
  <si>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</si>
  <si>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</si>
  <si>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</si>
  <si>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</si>
  <si>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</si>
  <si>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</si>
  <si>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</si>
  <si>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</si>
  <si>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</si>
  <si>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</si>
  <si>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</si>
  <si>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</si>
  <si>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</si>
  <si>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</si>
  <si>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</si>
  <si>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</si>
  <si>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</si>
  <si>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</si>
  <si>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</si>
  <si>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</si>
  <si>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</si>
  <si>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</si>
  <si>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</si>
  <si>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</si>
  <si>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</si>
  <si>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</si>
  <si>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</si>
  <si>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</si>
  <si>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</si>
  <si>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</si>
  <si>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</si>
  <si>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</si>
  <si>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</si>
  <si>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</si>
  <si>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</si>
  <si>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</si>
  <si>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</si>
  <si>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</si>
  <si>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</si>
  <si>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</si>
  <si>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</si>
  <si>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</si>
  <si>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</si>
  <si>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</si>
  <si>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</si>
  <si>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</si>
  <si>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</si>
  <si>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</si>
  <si>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</si>
  <si>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</si>
  <si>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</si>
  <si>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</si>
  <si>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</si>
  <si>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</si>
  <si>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</si>
  <si>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</si>
  <si>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</si>
  <si>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</si>
  <si>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</si>
  <si>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</si>
  <si>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</si>
  <si>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</si>
  <si>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</si>
  <si>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</si>
  <si>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</si>
  <si>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</si>
  <si>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</si>
  <si>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</si>
  <si>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</si>
  <si>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</si>
  <si>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</si>
  <si>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</si>
  <si>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</si>
  <si>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</si>
  <si>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</si>
  <si>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</si>
  <si>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</si>
  <si>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</si>
  <si>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</si>
  <si>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</si>
  <si>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</si>
  <si>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</si>
  <si>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</si>
  <si>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</si>
  <si>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</si>
  <si>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</si>
  <si>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</si>
  <si>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</si>
  <si>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</si>
  <si>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</si>
  <si>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</si>
  <si>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</si>
  <si>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</si>
  <si>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</si>
  <si>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</si>
  <si>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</si>
  <si>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</si>
  <si>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</si>
  <si>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</si>
  <si>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</si>
  <si>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</si>
  <si>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</si>
  <si>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</si>
  <si>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</si>
  <si>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</si>
  <si>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</si>
  <si>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</si>
  <si>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</si>
  <si>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</si>
  <si>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</si>
  <si>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</si>
  <si>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</si>
  <si>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</si>
  <si>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</si>
  <si>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</si>
  <si>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</si>
  <si>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</si>
  <si>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</si>
  <si>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</si>
  <si>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</si>
  <si>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</si>
  <si>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</si>
  <si>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</si>
  <si>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</si>
  <si>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</si>
  <si>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</si>
  <si>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</si>
  <si>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</si>
  <si>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</si>
  <si>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</si>
  <si>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</si>
  <si>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</si>
  <si>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</si>
  <si>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</si>
  <si>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</si>
  <si>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</si>
  <si>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</si>
  <si>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</si>
  <si>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</si>
  <si>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</si>
  <si>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</si>
  <si>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</si>
  <si>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</si>
  <si>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</si>
  <si>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</si>
  <si>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</si>
  <si>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</si>
  <si>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</si>
  <si>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</si>
  <si>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</si>
  <si>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</si>
  <si>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</si>
  <si>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</si>
  <si>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</si>
  <si>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</si>
  <si>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</si>
  <si>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</si>
  <si>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</si>
  <si>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</si>
  <si>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</si>
  <si>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</si>
  <si>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</si>
  <si>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</si>
  <si>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</si>
  <si>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</si>
  <si>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</si>
  <si>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</si>
  <si>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</si>
  <si>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</si>
  <si>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</si>
  <si>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</si>
  <si>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</si>
  <si>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</si>
  <si>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</si>
  <si>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</si>
  <si>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</si>
  <si>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</si>
  <si>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</si>
  <si>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</si>
  <si>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</si>
  <si>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</si>
  <si>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</si>
  <si>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</si>
  <si>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</si>
  <si>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</si>
  <si>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</si>
  <si>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</si>
  <si>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</si>
  <si>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</si>
  <si>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</si>
  <si>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</si>
  <si>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</si>
  <si>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</si>
  <si>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</si>
  <si>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</si>
  <si>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</si>
  <si>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</si>
  <si>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</si>
  <si>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</si>
  <si>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</si>
  <si>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</si>
  <si>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</si>
  <si>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</si>
  <si>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</si>
  <si>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</si>
  <si>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</si>
  <si>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</si>
  <si>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</si>
  <si>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</si>
  <si>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</si>
  <si>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</si>
  <si>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</si>
  <si>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</si>
  <si>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</si>
  <si>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</si>
  <si>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</si>
  <si>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</si>
  <si>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</si>
  <si>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</si>
  <si>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</si>
  <si>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</si>
  <si>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</si>
  <si>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</si>
  <si>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</si>
  <si>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</si>
  <si>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</si>
  <si>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</si>
  <si>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</si>
  <si>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</si>
  <si>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</si>
  <si>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</si>
  <si>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</si>
  <si>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</si>
  <si>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</si>
  <si>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</si>
  <si>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</si>
  <si>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</si>
  <si>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</si>
  <si>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</si>
  <si>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</si>
  <si>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</si>
  <si>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</si>
  <si>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</si>
  <si>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</si>
  <si>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</si>
  <si>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</si>
  <si>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</si>
  <si>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</si>
  <si>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</si>
  <si>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</si>
  <si>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</si>
  <si>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</si>
  <si>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</si>
  <si>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</si>
  <si>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</si>
  <si>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</si>
  <si>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</si>
  <si>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</si>
  <si>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</si>
  <si>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</si>
  <si>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</si>
  <si>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</si>
  <si>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</si>
  <si>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</si>
  <si>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</si>
  <si>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</si>
  <si>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</si>
  <si>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</si>
  <si>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</si>
  <si>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</si>
  <si>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</si>
  <si>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</si>
  <si>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</si>
  <si>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</si>
  <si>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</si>
  <si>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</si>
  <si>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</si>
  <si>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</si>
  <si>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</si>
  <si>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</si>
  <si>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</si>
  <si>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</si>
  <si>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</si>
  <si>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</si>
  <si>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</si>
  <si>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</si>
  <si>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</si>
  <si>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</si>
  <si>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</si>
  <si>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</si>
  <si>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</si>
  <si>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</si>
  <si>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</si>
  <si>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</si>
  <si>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</si>
  <si>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</si>
  <si>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</si>
  <si>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</si>
  <si>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</si>
  <si>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</si>
  <si>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</si>
  <si>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</si>
  <si>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</si>
  <si>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</si>
  <si>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</si>
  <si>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</si>
  <si>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</si>
  <si>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</si>
  <si>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</si>
  <si>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</si>
  <si>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</si>
  <si>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</si>
  <si>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</si>
  <si>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</si>
  <si>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</si>
  <si>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</si>
  <si>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</si>
  <si>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</si>
  <si>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</si>
  <si>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</si>
  <si>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</si>
  <si>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</si>
  <si>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</si>
  <si>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</si>
  <si>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</si>
  <si>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</si>
  <si>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</si>
  <si>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</si>
  <si>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</si>
  <si>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</si>
  <si>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</si>
  <si>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</si>
  <si>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</si>
  <si>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</si>
  <si>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</si>
  <si>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</si>
  <si>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</si>
  <si>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</si>
  <si>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</si>
  <si>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</si>
  <si>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</si>
  <si>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</si>
  <si>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</si>
  <si>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</si>
  <si>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</si>
  <si>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</si>
  <si>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</si>
  <si>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</si>
  <si>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</si>
  <si>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</si>
  <si>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</si>
  <si>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</si>
  <si>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</si>
  <si>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</si>
  <si>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</si>
  <si>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</si>
  <si>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</si>
  <si>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</si>
  <si>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</si>
  <si>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</si>
  <si>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</si>
  <si>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</si>
  <si>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</si>
  <si>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</si>
  <si>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</si>
  <si>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</si>
  <si>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</si>
  <si>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</si>
  <si>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</si>
  <si>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</si>
  <si>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</si>
  <si>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</si>
  <si>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</si>
  <si>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</si>
  <si>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</si>
  <si>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</si>
  <si>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</si>
  <si>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</si>
  <si>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</si>
  <si>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</si>
  <si>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</si>
  <si>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</si>
  <si>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</si>
  <si>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</si>
  <si>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</si>
  <si>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</si>
  <si>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</si>
  <si>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</si>
  <si>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</si>
  <si>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</si>
  <si>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</si>
  <si>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</si>
  <si>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</si>
  <si>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</si>
  <si>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</si>
  <si>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</si>
  <si>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</si>
  <si>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</si>
  <si>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</si>
  <si>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</si>
  <si>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</si>
  <si>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</si>
  <si>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</si>
  <si>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</si>
  <si>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</si>
  <si>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</si>
  <si>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</si>
  <si>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</si>
  <si>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</si>
  <si>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</si>
  <si>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</si>
  <si>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</si>
  <si>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</si>
  <si>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</si>
  <si>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</si>
  <si>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</si>
  <si>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</si>
  <si>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</si>
  <si>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</si>
  <si>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</si>
  <si>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</si>
  <si>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</si>
  <si>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</si>
  <si>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</si>
  <si>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</si>
  <si>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</si>
  <si>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</si>
  <si>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</si>
  <si>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</si>
  <si>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</si>
  <si>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</si>
  <si>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</si>
  <si>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</si>
  <si>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</si>
  <si>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</si>
  <si>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</si>
  <si>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</si>
  <si>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</si>
  <si>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</si>
  <si>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</si>
  <si>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</si>
  <si>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</si>
  <si>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</si>
  <si>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</si>
  <si>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</si>
  <si>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</si>
  <si>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</si>
  <si>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</si>
  <si>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</si>
  <si>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</si>
  <si>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</si>
  <si>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</si>
  <si>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</si>
  <si>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</si>
  <si>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</si>
  <si>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</si>
  <si>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</si>
  <si>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</si>
  <si>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</si>
  <si>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</si>
  <si>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</si>
  <si>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</si>
  <si>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</si>
  <si>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</si>
  <si>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</si>
  <si>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</si>
  <si>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</si>
  <si>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</si>
  <si>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</si>
  <si>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</si>
  <si>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</si>
  <si>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</si>
  <si>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</si>
  <si>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</si>
  <si>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</si>
  <si>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</si>
  <si>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</si>
  <si>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</si>
  <si>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</si>
  <si>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</si>
  <si>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</si>
  <si>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</si>
  <si>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</si>
  <si>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</si>
  <si>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</si>
  <si>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</si>
  <si>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</si>
  <si>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</si>
  <si>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</si>
  <si>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</si>
  <si>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</si>
  <si>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</si>
  <si>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</si>
  <si>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</si>
  <si>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</si>
  <si>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</si>
  <si>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</si>
  <si>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</si>
  <si>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</si>
  <si>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</si>
  <si>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</si>
  <si>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</si>
  <si>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</si>
  <si>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</si>
  <si>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</si>
  <si>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</si>
  <si>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</si>
  <si>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</si>
  <si>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</si>
  <si>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</si>
  <si>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</si>
  <si>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</si>
  <si>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</si>
  <si>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</si>
  <si>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</si>
  <si>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</si>
  <si>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</si>
  <si>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</si>
  <si>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</si>
  <si>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</si>
  <si>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</si>
  <si>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</si>
  <si>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</si>
  <si>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</si>
  <si>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</si>
  <si>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</si>
  <si>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</si>
  <si>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</si>
  <si>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</si>
  <si>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</si>
  <si>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</si>
  <si>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</si>
  <si>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</si>
  <si>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</si>
  <si>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</si>
  <si>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</si>
  <si>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</si>
  <si>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</si>
  <si>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</si>
  <si>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</si>
  <si>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</si>
  <si>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</si>
  <si>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</si>
  <si>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</si>
  <si>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</si>
  <si>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</si>
  <si>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</si>
  <si>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</si>
  <si>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</si>
  <si>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</si>
  <si>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</si>
  <si>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</si>
  <si>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</si>
  <si>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</si>
  <si>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</si>
  <si>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</si>
  <si>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</si>
  <si>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</si>
  <si>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</si>
  <si>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</si>
  <si>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</si>
  <si>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</si>
  <si>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</si>
  <si>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</si>
  <si>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</si>
  <si>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</si>
  <si>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</si>
  <si>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</si>
  <si>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</si>
  <si>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</si>
  <si>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</si>
  <si>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</si>
  <si>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</si>
  <si>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</si>
  <si>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</si>
  <si>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</si>
  <si>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</si>
  <si>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</si>
  <si>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</si>
  <si>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</si>
  <si>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</si>
  <si>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</si>
  <si>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</si>
  <si>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</si>
  <si>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</si>
  <si>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</si>
  <si>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</si>
  <si>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</si>
  <si>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</si>
  <si>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</si>
  <si>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</si>
  <si>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</si>
  <si>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</si>
  <si>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</si>
  <si>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</si>
  <si>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</si>
  <si>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</si>
  <si>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</si>
  <si>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</si>
  <si>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</si>
  <si>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</si>
  <si>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</si>
  <si>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</si>
  <si>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</si>
  <si>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</si>
  <si>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</si>
  <si>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</si>
  <si>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</si>
  <si>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</si>
  <si>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</si>
  <si>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</si>
  <si>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</si>
  <si>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</si>
  <si>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</si>
  <si>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</si>
  <si>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</si>
  <si>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</si>
  <si>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</si>
  <si>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</si>
  <si>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</si>
  <si>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</si>
  <si>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</si>
  <si>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</si>
  <si>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</si>
  <si>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</si>
  <si>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</si>
  <si>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</si>
  <si>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</si>
  <si>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</si>
  <si>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</si>
  <si>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</si>
  <si>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</si>
  <si>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</si>
  <si>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</si>
  <si>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</si>
  <si>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</si>
  <si>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</si>
  <si>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</si>
  <si>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</si>
  <si>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</si>
  <si>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</si>
  <si>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</si>
  <si>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</si>
  <si>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</si>
  <si>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</si>
  <si>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</si>
  <si>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</si>
  <si>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</si>
  <si>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</si>
  <si>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</si>
  <si>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</si>
  <si>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</si>
  <si>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</si>
  <si>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</si>
  <si>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</si>
  <si>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</si>
  <si>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</si>
  <si>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</si>
  <si>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</si>
  <si>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</si>
  <si>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</si>
  <si>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</si>
  <si>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</si>
  <si>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</si>
  <si>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</si>
  <si>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</si>
  <si>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</si>
  <si>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</si>
  <si>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</si>
  <si>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</si>
  <si>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</si>
  <si>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</si>
  <si>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</si>
  <si>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</si>
  <si>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</si>
  <si>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</si>
  <si>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</si>
  <si>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</si>
  <si>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</si>
  <si>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</si>
  <si>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</si>
  <si>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</si>
  <si>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</si>
  <si>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</si>
  <si>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</si>
  <si>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</si>
  <si>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</si>
  <si>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</si>
  <si>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</si>
  <si>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</si>
  <si>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</si>
  <si>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</si>
  <si>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</si>
  <si>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</si>
  <si>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</si>
  <si>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</si>
  <si>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</si>
  <si>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</si>
  <si>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</si>
  <si>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</si>
  <si>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</si>
  <si>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</si>
  <si>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</si>
  <si>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</si>
  <si>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</si>
  <si>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</si>
  <si>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</si>
  <si>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</si>
  <si>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</si>
  <si>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</si>
  <si>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</si>
  <si>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</si>
  <si>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</si>
  <si>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</si>
  <si>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</si>
  <si>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</si>
  <si>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</si>
  <si>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</si>
  <si>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</si>
  <si>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</si>
  <si>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</si>
  <si>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</si>
  <si>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</si>
  <si>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</si>
  <si>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</si>
  <si>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</si>
  <si>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</si>
  <si>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</si>
  <si>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</si>
  <si>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</si>
  <si>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</si>
  <si>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</si>
  <si>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</si>
  <si>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</si>
  <si>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</si>
  <si>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</si>
  <si>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</si>
  <si>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</si>
  <si>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</si>
  <si>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</si>
  <si>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</si>
  <si>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</si>
  <si>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</si>
  <si>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</si>
  <si>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</si>
  <si>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</si>
  <si>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</si>
  <si>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</si>
  <si>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</si>
  <si>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</si>
  <si>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</si>
  <si>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</si>
  <si>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</si>
  <si>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</si>
  <si>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</si>
  <si>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</si>
  <si>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</si>
  <si>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</si>
  <si>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</si>
  <si>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</si>
  <si>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</si>
  <si>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</si>
  <si>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</si>
  <si>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</si>
  <si>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</si>
  <si>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</si>
  <si>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</si>
  <si>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</si>
  <si>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</si>
  <si>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</si>
  <si>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</si>
  <si>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</si>
  <si>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</si>
  <si>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</si>
  <si>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</si>
  <si>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</si>
  <si>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</si>
  <si>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</si>
  <si>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</si>
  <si>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</si>
  <si>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</si>
  <si>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</si>
  <si>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</si>
  <si>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</si>
  <si>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</si>
  <si>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</si>
  <si>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</si>
  <si>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</si>
  <si>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</si>
  <si>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</si>
  <si>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</si>
  <si>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</si>
  <si>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</si>
  <si>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</si>
  <si>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</si>
  <si>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</si>
  <si>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</si>
  <si>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</si>
  <si>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</si>
  <si>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</si>
  <si>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</si>
  <si>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</si>
  <si>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</si>
  <si>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</si>
  <si>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</si>
  <si>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</si>
  <si>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</si>
  <si>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</si>
  <si>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</si>
  <si>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</si>
  <si>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</si>
  <si>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</si>
  <si>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</si>
  <si>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</si>
  <si>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</si>
  <si>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</si>
  <si>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</si>
  <si>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</si>
  <si>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</si>
  <si>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</si>
  <si>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</si>
  <si>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</si>
  <si>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</si>
  <si>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</si>
  <si>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</si>
  <si>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</si>
  <si>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</si>
  <si>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</si>
  <si>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</si>
  <si>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</si>
  <si>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</si>
  <si>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</si>
  <si>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</si>
  <si>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</si>
  <si>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</si>
  <si>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</si>
  <si>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</si>
  <si>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</si>
  <si>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</si>
  <si>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</si>
  <si>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</si>
  <si>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</si>
  <si>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</si>
  <si>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</si>
  <si>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</si>
  <si>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</si>
  <si>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</si>
  <si>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</si>
  <si>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</si>
  <si>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</si>
  <si>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</si>
  <si>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</si>
  <si>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</si>
  <si>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</si>
  <si>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</si>
  <si>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</si>
  <si>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</si>
  <si>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</si>
  <si>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</si>
  <si>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</si>
  <si>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</si>
  <si>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</si>
  <si>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</si>
  <si>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</si>
  <si>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</si>
  <si>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</si>
  <si>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</si>
  <si>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</si>
  <si>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</si>
  <si>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</si>
  <si>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</si>
  <si>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</si>
  <si>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</si>
  <si>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</si>
  <si>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</si>
  <si>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</si>
  <si>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</si>
  <si>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</si>
  <si>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</si>
  <si>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</si>
  <si>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</si>
  <si>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</si>
  <si>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</si>
  <si>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</si>
  <si>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</si>
  <si>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</si>
  <si>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</si>
  <si>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</si>
  <si>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</si>
  <si>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</si>
  <si>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</si>
  <si>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</si>
  <si>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</si>
  <si>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</si>
  <si>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</si>
  <si>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</si>
  <si>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</si>
  <si>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</si>
  <si>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</si>
  <si>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</si>
  <si>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</si>
  <si>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</si>
  <si>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</si>
  <si>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</si>
  <si>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</si>
  <si>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</si>
  <si>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</si>
  <si>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</si>
  <si>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</si>
  <si>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</si>
  <si>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</si>
  <si>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</si>
  <si>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</si>
  <si>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</si>
  <si>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</si>
  <si>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</si>
  <si>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</si>
  <si>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</si>
  <si>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</si>
  <si>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</si>
  <si>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</si>
  <si>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</si>
  <si>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</si>
  <si>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</si>
  <si>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</si>
  <si>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</si>
  <si>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</si>
  <si>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</si>
  <si>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</si>
  <si>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</si>
  <si>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</si>
  <si>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</si>
  <si>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</si>
  <si>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</si>
  <si>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</si>
  <si>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</si>
  <si>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</si>
  <si>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</si>
  <si>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</si>
  <si>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</si>
  <si>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</si>
  <si>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</si>
  <si>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</si>
  <si>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</si>
  <si>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</si>
  <si>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</si>
  <si>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</si>
  <si>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</si>
  <si>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</si>
  <si>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</si>
  <si>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</si>
  <si>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</si>
  <si>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</si>
  <si>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</si>
  <si>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</si>
  <si>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</si>
  <si>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</si>
  <si>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</si>
  <si>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</si>
  <si>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</si>
  <si>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</si>
  <si>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</si>
  <si>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</si>
  <si>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</si>
  <si>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</si>
  <si>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</si>
  <si>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</si>
  <si>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</si>
  <si>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</si>
  <si>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</si>
  <si>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</si>
  <si>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</si>
  <si>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</si>
  <si>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</si>
  <si>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</si>
  <si>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</si>
  <si>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</si>
  <si>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</si>
  <si>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</si>
  <si>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</si>
  <si>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</si>
  <si>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</si>
  <si>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</si>
  <si>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</si>
  <si>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</si>
  <si>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</si>
  <si>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</si>
  <si>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</si>
  <si>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</si>
  <si>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</si>
  <si>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</si>
  <si>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</si>
  <si>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</si>
  <si>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</si>
  <si>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</si>
  <si>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</si>
  <si>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</si>
  <si>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</si>
  <si>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</si>
  <si>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</si>
  <si>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</si>
  <si>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</si>
  <si>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</si>
  <si>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</si>
  <si>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</si>
  <si>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</si>
  <si>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</si>
  <si>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</si>
  <si>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</si>
  <si>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</si>
  <si>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</si>
  <si>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</si>
  <si>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</si>
  <si>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</si>
  <si>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</si>
  <si>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</si>
  <si>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</si>
  <si>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</si>
  <si>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</si>
  <si>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</si>
  <si>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</si>
  <si>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</si>
  <si>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</si>
  <si>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</si>
  <si>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</si>
  <si>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</si>
  <si>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</si>
  <si>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</si>
  <si>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</si>
  <si>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</si>
  <si>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</si>
  <si>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</si>
  <si>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</si>
  <si>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</si>
  <si>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</si>
  <si>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</si>
  <si>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</si>
  <si>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</si>
  <si>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</si>
  <si>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</si>
  <si>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</si>
  <si>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</si>
  <si>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</si>
  <si>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</si>
  <si>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</si>
  <si>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</si>
  <si>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</si>
  <si>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</si>
  <si>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</si>
  <si>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</si>
  <si>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</si>
  <si>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</si>
  <si>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</si>
  <si>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</si>
  <si>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</si>
  <si>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</si>
  <si>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</si>
  <si>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</si>
  <si>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</si>
  <si>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</si>
  <si>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</si>
  <si>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</si>
  <si>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</si>
  <si>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</si>
  <si>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</si>
  <si>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</si>
  <si>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</si>
  <si>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</si>
  <si>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</si>
  <si>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</si>
  <si>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</si>
  <si>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</si>
  <si>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</si>
  <si>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</si>
  <si>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</si>
  <si>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</si>
  <si>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</si>
  <si>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</si>
  <si>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</si>
  <si>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</si>
  <si>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</si>
  <si>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</si>
  <si>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</si>
  <si>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</si>
  <si>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</si>
  <si>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</si>
  <si>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</si>
  <si>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</si>
  <si>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</si>
  <si>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</si>
  <si>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</si>
  <si>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</si>
  <si>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</si>
  <si>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</si>
  <si>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</si>
  <si>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</si>
  <si>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</si>
  <si>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</si>
  <si>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</si>
  <si>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</si>
  <si>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</si>
  <si>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</si>
  <si>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</si>
  <si>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</si>
  <si>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</si>
  <si>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</si>
  <si>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</si>
  <si>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</si>
  <si>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</si>
  <si>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</si>
  <si>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</si>
  <si>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</si>
  <si>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</si>
  <si>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</si>
  <si>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</si>
  <si>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</si>
  <si>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</si>
  <si>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</si>
  <si>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</si>
  <si>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</si>
  <si>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</si>
  <si>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</si>
  <si>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</si>
  <si>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</si>
  <si>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</si>
  <si>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</si>
  <si>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</si>
  <si>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</si>
  <si>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</si>
  <si>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</si>
  <si>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</si>
  <si>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</si>
  <si>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</si>
  <si>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</si>
  <si>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</si>
  <si>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</si>
  <si>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</si>
  <si>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</si>
  <si>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</si>
  <si>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</si>
  <si>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</si>
  <si>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</si>
  <si>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</si>
  <si>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</si>
  <si>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</si>
  <si>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</si>
  <si>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</si>
  <si>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</si>
  <si>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</si>
  <si>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</si>
  <si>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</si>
  <si>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</si>
  <si>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</si>
  <si>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</si>
  <si>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</si>
  <si>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</si>
  <si>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</si>
  <si>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</si>
  <si>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</si>
  <si>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</si>
  <si>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</si>
  <si>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</si>
  <si>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</si>
  <si>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</si>
  <si>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</si>
  <si>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</si>
  <si>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</si>
  <si>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</si>
  <si>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</si>
  <si>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</si>
  <si>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</si>
  <si>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</si>
  <si>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</si>
  <si>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</si>
  <si>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</si>
  <si>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</si>
  <si>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</si>
  <si>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</si>
  <si>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</si>
  <si>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</si>
  <si>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</si>
  <si>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</si>
  <si>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</si>
  <si>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</si>
  <si>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</si>
  <si>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</si>
  <si>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</si>
  <si>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</si>
  <si>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</si>
  <si>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</si>
  <si>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</si>
  <si>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</si>
  <si>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</si>
  <si>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</si>
  <si>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</si>
  <si>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</si>
  <si>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</si>
  <si>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</si>
  <si>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</si>
  <si>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</si>
  <si>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</si>
  <si>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</si>
  <si>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</si>
  <si>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</si>
  <si>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</si>
  <si>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</si>
  <si>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</si>
  <si>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</si>
  <si>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</si>
  <si>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</si>
  <si>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</si>
  <si>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</si>
  <si>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</si>
  <si>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</si>
  <si>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</si>
  <si>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</si>
  <si>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</si>
  <si>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</si>
  <si>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</si>
  <si>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</si>
  <si>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</si>
  <si>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</si>
  <si>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</si>
  <si>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</si>
  <si>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</si>
  <si>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</si>
  <si>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</si>
  <si>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</si>
  <si>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</si>
  <si>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</si>
  <si>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</si>
  <si>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</si>
  <si>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</si>
  <si>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</si>
  <si>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</si>
  <si>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</si>
  <si>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</si>
  <si>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</si>
  <si>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</si>
  <si>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</si>
  <si>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</si>
  <si>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</si>
  <si>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</si>
  <si>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</si>
  <si>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</si>
  <si>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</si>
  <si>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</si>
  <si>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</si>
  <si>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</si>
  <si>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</si>
  <si>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</si>
  <si>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</si>
  <si>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</si>
  <si>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</si>
  <si>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</si>
  <si>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</si>
  <si>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</si>
  <si>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</si>
  <si>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</si>
  <si>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</si>
  <si>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</si>
  <si>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</si>
  <si>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</si>
  <si>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</si>
  <si>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</si>
  <si>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</si>
  <si>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</si>
  <si>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</si>
  <si>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</si>
  <si>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</si>
  <si>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</si>
  <si>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</si>
  <si>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</si>
  <si>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</si>
  <si>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</si>
  <si>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</si>
  <si>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</si>
  <si>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</si>
  <si>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</si>
  <si>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</si>
  <si>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</si>
  <si>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</si>
  <si>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</si>
  <si>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</si>
  <si>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</si>
  <si>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</si>
  <si>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</si>
  <si>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</si>
  <si>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</si>
  <si>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</si>
  <si>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</si>
  <si>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</si>
  <si>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</si>
  <si>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</si>
  <si>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</si>
  <si>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</si>
  <si>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</si>
  <si>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</si>
  <si>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</si>
  <si>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</si>
  <si>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</si>
  <si>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</si>
  <si>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</si>
  <si>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</si>
  <si>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</si>
  <si>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</si>
  <si>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</si>
  <si>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</si>
  <si>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</si>
  <si>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</si>
  <si>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</si>
  <si>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</si>
  <si>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</si>
  <si>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</si>
  <si>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</si>
  <si>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</si>
  <si>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</si>
  <si>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</si>
  <si>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</si>
  <si>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</si>
  <si>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</si>
  <si>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</si>
  <si>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</si>
  <si>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</si>
  <si>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</si>
  <si>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</si>
  <si>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</si>
  <si>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</si>
  <si>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</si>
  <si>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</si>
  <si>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</si>
  <si>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</si>
  <si>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</si>
  <si>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</si>
  <si>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</si>
  <si>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</si>
  <si>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</si>
  <si>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</si>
  <si>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</si>
  <si>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</si>
  <si>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</si>
  <si>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</si>
  <si>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</si>
  <si>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</si>
  <si>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</si>
  <si>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</si>
  <si>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</si>
  <si>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</si>
  <si>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</si>
  <si>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</si>
  <si>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</si>
  <si>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</si>
  <si>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</si>
  <si>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</si>
  <si>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</si>
  <si>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</si>
  <si>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</si>
  <si>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</si>
  <si>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</si>
  <si>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</si>
  <si>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</si>
  <si>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</si>
  <si>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</si>
  <si>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</si>
  <si>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</si>
  <si>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</si>
  <si>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</si>
  <si>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</si>
  <si>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</si>
  <si>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</si>
  <si>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</si>
  <si>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</si>
  <si>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</si>
  <si>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</si>
  <si>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</si>
  <si>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</si>
  <si>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</si>
  <si>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</si>
  <si>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</si>
  <si>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</si>
  <si>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</si>
  <si>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</si>
  <si>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</si>
  <si>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</si>
  <si>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</si>
  <si>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</si>
  <si>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</si>
  <si>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</si>
  <si>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</si>
  <si>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</si>
  <si>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</si>
  <si>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</si>
  <si>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</si>
  <si>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</si>
  <si>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</si>
  <si>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</si>
  <si>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</si>
  <si>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</si>
  <si>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</si>
  <si>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</si>
  <si>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</si>
  <si>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</si>
  <si>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</si>
  <si>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</si>
  <si>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</si>
  <si>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</si>
  <si>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</si>
  <si>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</si>
  <si>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</si>
  <si>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</si>
  <si>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</si>
  <si>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</si>
  <si>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</si>
  <si>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</si>
  <si>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</si>
  <si>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</si>
  <si>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</si>
  <si>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</si>
  <si>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</si>
  <si>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</si>
  <si>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</si>
  <si>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</si>
  <si>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</si>
  <si>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</si>
  <si>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</si>
  <si>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</si>
  <si>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</si>
  <si>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</si>
  <si>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</si>
  <si>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</si>
  <si>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</si>
  <si>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</si>
  <si>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</si>
  <si>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</si>
  <si>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</si>
  <si>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</si>
  <si>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</si>
  <si>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</si>
  <si>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</si>
  <si>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</si>
  <si>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</si>
  <si>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</si>
  <si>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</si>
  <si>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</si>
  <si>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</si>
  <si>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</si>
  <si>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</si>
  <si>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</si>
  <si>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</si>
  <si>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</si>
  <si>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</si>
  <si>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</si>
  <si>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</si>
  <si>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</si>
  <si>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</si>
  <si>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</si>
  <si>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</si>
  <si>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</si>
  <si>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</si>
  <si>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</si>
  <si>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</si>
  <si>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</si>
  <si>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</si>
  <si>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</si>
  <si>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</si>
  <si>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</si>
  <si>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</si>
  <si>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</si>
  <si>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</si>
  <si>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</si>
  <si>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</si>
  <si>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</si>
  <si>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</si>
  <si>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</si>
  <si>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</si>
  <si>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</si>
  <si>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</si>
  <si>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</si>
  <si>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</si>
  <si>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</si>
  <si>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</si>
  <si>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</si>
  <si>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</si>
  <si>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</si>
  <si>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</si>
  <si>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</si>
  <si>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</si>
  <si>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</si>
  <si>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</si>
  <si>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</si>
  <si>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</si>
  <si>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</si>
  <si>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</si>
  <si>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</si>
  <si>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</si>
  <si>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</si>
  <si>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</si>
  <si>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</si>
  <si>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</si>
  <si>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</si>
  <si>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</si>
  <si>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</si>
  <si>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</si>
  <si>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</si>
  <si>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</si>
  <si>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</si>
  <si>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</si>
  <si>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</si>
  <si>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</si>
  <si>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</si>
  <si>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</si>
  <si>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</si>
  <si>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</si>
  <si>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</si>
  <si>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</si>
  <si>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</si>
  <si>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</si>
  <si>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</si>
  <si>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</si>
  <si>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</si>
  <si>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</si>
  <si>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</si>
  <si>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</si>
  <si>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</si>
  <si>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</si>
  <si>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</si>
  <si>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</si>
  <si>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</si>
  <si>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</si>
  <si>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</si>
  <si>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</si>
  <si>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</si>
  <si>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</si>
  <si>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</si>
  <si>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</si>
  <si>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</si>
  <si>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</si>
  <si>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</si>
  <si>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</si>
  <si>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</si>
  <si>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</si>
  <si>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</si>
  <si>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</si>
  <si>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</si>
  <si>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</si>
  <si>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</si>
  <si>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</si>
  <si>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</si>
  <si>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</si>
  <si>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</si>
  <si>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</si>
  <si>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</si>
  <si>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</si>
  <si>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</si>
  <si>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</si>
  <si>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</si>
  <si>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</si>
  <si>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</si>
  <si>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</si>
  <si>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</si>
  <si>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</si>
  <si>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</si>
  <si>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</si>
  <si>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</si>
  <si>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</si>
  <si>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</si>
  <si>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</si>
  <si>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</si>
  <si>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</si>
  <si>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</si>
  <si>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</si>
  <si>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</si>
  <si>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</si>
  <si>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</si>
  <si>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</si>
  <si>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</si>
  <si>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</si>
  <si>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</si>
  <si>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</si>
  <si>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</si>
  <si>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</si>
  <si>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</si>
  <si>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</si>
  <si>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</si>
  <si>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</si>
  <si>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</si>
  <si>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</si>
  <si>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</si>
  <si>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</si>
  <si>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</si>
  <si>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</si>
  <si>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</si>
  <si>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</si>
  <si>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</si>
  <si>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</si>
  <si>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</si>
  <si>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</si>
  <si>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</si>
  <si>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</si>
  <si>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</si>
  <si>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</si>
  <si>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</si>
  <si>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</si>
  <si>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</si>
  <si>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</si>
  <si>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</si>
  <si>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</si>
  <si>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</si>
  <si>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</si>
  <si>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</si>
  <si>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</si>
  <si>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</si>
  <si>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</si>
  <si>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</si>
  <si>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</si>
  <si>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</si>
  <si>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</si>
  <si>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</si>
  <si>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</si>
  <si>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</si>
  <si>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</si>
  <si>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</si>
  <si>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</si>
  <si>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</si>
  <si>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</si>
  <si>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</si>
  <si>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</si>
  <si>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</si>
  <si>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</si>
  <si>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</si>
  <si>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</si>
  <si>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</si>
  <si>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</si>
  <si>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</si>
  <si>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</si>
  <si>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</si>
  <si>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</si>
  <si>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</si>
  <si>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</si>
  <si>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</si>
  <si>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</si>
  <si>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</si>
  <si>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</si>
  <si>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</si>
  <si>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</si>
  <si>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</si>
  <si>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</si>
  <si>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</si>
  <si>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</si>
  <si>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</si>
  <si>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</si>
  <si>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</si>
  <si>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</si>
  <si>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</si>
  <si>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</si>
  <si>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</si>
  <si>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</si>
  <si>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</si>
  <si>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</si>
  <si>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</si>
  <si>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</si>
  <si>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</si>
  <si>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</si>
  <si>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</si>
  <si>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</si>
  <si>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</si>
  <si>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</si>
  <si>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</si>
  <si>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</si>
  <si>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</si>
  <si>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</si>
  <si>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</si>
  <si>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</si>
  <si>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</si>
  <si>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</si>
  <si>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</si>
  <si>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</si>
  <si>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</si>
  <si>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</si>
  <si>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</si>
  <si>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</si>
  <si>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</si>
  <si>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</si>
  <si>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</si>
  <si>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</si>
  <si>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</si>
  <si>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</si>
  <si>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</si>
  <si>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</si>
  <si>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</si>
  <si>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</si>
  <si>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</si>
  <si>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</si>
  <si>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</si>
  <si>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</si>
  <si>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</si>
  <si>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</si>
  <si>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</si>
  <si>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</si>
  <si>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</si>
  <si>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</si>
  <si>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</si>
  <si>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</si>
  <si>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</si>
  <si>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</si>
  <si>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</si>
  <si>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</si>
  <si>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</si>
  <si>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</si>
  <si>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</si>
  <si>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</si>
  <si>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</si>
  <si>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</si>
  <si>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</si>
  <si>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</si>
  <si>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</si>
  <si>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</si>
  <si>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</si>
  <si>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</si>
  <si>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</si>
  <si>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</si>
  <si>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</si>
  <si>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</si>
  <si>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</si>
  <si>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</si>
  <si>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</si>
  <si>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</si>
  <si>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</si>
  <si>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</si>
  <si>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</si>
  <si>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</si>
  <si>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</si>
  <si>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</si>
  <si>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</si>
  <si>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</si>
  <si>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</si>
  <si>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</si>
  <si>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</si>
  <si>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</si>
  <si>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</si>
  <si>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</si>
  <si>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</si>
  <si>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</si>
  <si>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</si>
  <si>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</si>
  <si>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</si>
  <si>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</si>
  <si>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</si>
  <si>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</si>
  <si>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</si>
  <si>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</si>
  <si>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</si>
  <si>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</si>
  <si>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</si>
  <si>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</si>
  <si>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</si>
  <si>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</si>
  <si>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</si>
  <si>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</si>
  <si>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</si>
  <si>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</si>
  <si>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</si>
  <si>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</si>
  <si>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</si>
  <si>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</si>
  <si>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</si>
  <si>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</si>
  <si>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</si>
  <si>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</si>
  <si>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</si>
  <si>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</si>
  <si>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</si>
  <si>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</si>
  <si>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</si>
  <si>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</si>
  <si>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</si>
  <si>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</si>
  <si>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</si>
  <si>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</si>
  <si>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</si>
  <si>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</si>
  <si>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</si>
  <si>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</si>
  <si>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</si>
  <si>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</si>
  <si>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</si>
  <si>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</si>
  <si>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</si>
  <si>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</si>
  <si>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</si>
  <si>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</si>
  <si>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</si>
  <si>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</si>
  <si>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</si>
  <si>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</si>
  <si>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</si>
  <si>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</si>
  <si>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</si>
  <si>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</si>
  <si>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</si>
  <si>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</si>
  <si>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</si>
  <si>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</si>
  <si>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</si>
  <si>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</si>
  <si>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</si>
  <si>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</si>
  <si>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</si>
  <si>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</si>
  <si>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</si>
  <si>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</si>
  <si>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</si>
  <si>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</si>
  <si>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</si>
  <si>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</si>
  <si>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</si>
  <si>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</si>
  <si>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</si>
  <si>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</si>
  <si>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</si>
  <si>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</si>
  <si>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</si>
  <si>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</si>
  <si>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</si>
  <si>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</si>
  <si>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</si>
  <si>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</si>
  <si>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</si>
  <si>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</si>
  <si>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</si>
  <si>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</si>
  <si>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</si>
  <si>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</si>
  <si>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</si>
  <si>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</si>
  <si>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</si>
  <si>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</si>
  <si>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</si>
  <si>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</si>
  <si>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</si>
  <si>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</si>
  <si>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</si>
  <si>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</si>
  <si>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</si>
  <si>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</si>
  <si>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</si>
  <si>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</si>
  <si>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</si>
  <si>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</si>
  <si>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</si>
  <si>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</si>
  <si>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</si>
  <si>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</si>
  <si>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</si>
  <si>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</si>
  <si>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</si>
  <si>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</si>
  <si>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</si>
  <si>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</si>
  <si>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</si>
  <si>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</si>
  <si>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</si>
  <si>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</si>
  <si>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</si>
  <si>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</si>
  <si>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</si>
  <si>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</si>
  <si>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</si>
  <si>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</si>
  <si>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</si>
  <si>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</si>
  <si>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</si>
  <si>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</si>
  <si>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</si>
  <si>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</si>
  <si>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</si>
  <si>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</si>
  <si>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</si>
  <si>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</si>
  <si>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</si>
  <si>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</si>
  <si>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</si>
  <si>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</si>
  <si>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</si>
  <si>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</si>
  <si>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</si>
  <si>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</si>
  <si>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</si>
  <si>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</si>
  <si>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</si>
  <si>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</si>
  <si>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</si>
  <si>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</si>
  <si>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</si>
  <si>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</si>
  <si>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</si>
  <si>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</si>
  <si>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</si>
  <si>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</si>
  <si>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</si>
  <si>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</si>
  <si>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</si>
  <si>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</si>
  <si>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</si>
  <si>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</si>
  <si>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</si>
  <si>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</si>
  <si>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</si>
  <si>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</si>
  <si>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</si>
  <si>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</si>
  <si>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</si>
  <si>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</si>
  <si>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</si>
  <si>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</si>
  <si>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</si>
  <si>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</si>
  <si>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</si>
  <si>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</si>
  <si>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</si>
  <si>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</si>
  <si>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</si>
  <si>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</si>
  <si>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</si>
  <si>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</si>
  <si>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</si>
  <si>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</si>
  <si>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</si>
  <si>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</si>
  <si>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</si>
  <si>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</si>
  <si>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</si>
  <si>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</si>
  <si>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</si>
  <si>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</si>
  <si>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</si>
  <si>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</si>
  <si>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</si>
  <si>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</si>
  <si>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</si>
  <si>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</si>
  <si>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</si>
  <si>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</si>
  <si>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</si>
  <si>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</si>
  <si>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</si>
  <si>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</si>
  <si>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</si>
  <si>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</si>
  <si>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</si>
  <si>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</si>
  <si>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</si>
  <si>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</si>
  <si>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</si>
  <si>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</si>
  <si>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</si>
  <si>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</si>
  <si>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</si>
  <si>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</si>
  <si>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</si>
  <si>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</si>
  <si>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</si>
  <si>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</si>
  <si>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</si>
  <si>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</si>
  <si>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</si>
  <si>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</si>
  <si>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</si>
  <si>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</si>
  <si>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</si>
  <si>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</si>
  <si>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</si>
  <si>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</si>
  <si>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</si>
  <si>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</si>
  <si>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</si>
  <si>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</si>
  <si>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</si>
  <si>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</si>
  <si>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</si>
  <si>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</si>
  <si>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</si>
  <si>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</si>
  <si>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</si>
  <si>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</si>
  <si>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</si>
  <si>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</si>
  <si>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</si>
  <si>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</si>
  <si>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</si>
  <si>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</si>
  <si>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</si>
  <si>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</si>
  <si>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</si>
  <si>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</si>
  <si>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</si>
  <si>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</si>
  <si>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</si>
  <si>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</si>
  <si>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</si>
  <si>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</si>
  <si>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</si>
  <si>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</si>
  <si>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</si>
  <si>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</si>
  <si>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</si>
  <si>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</si>
  <si>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</si>
  <si>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</si>
  <si>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</si>
  <si>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</si>
  <si>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</si>
  <si>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</si>
  <si>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</si>
  <si>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</si>
  <si>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</si>
  <si>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</si>
  <si>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</si>
  <si>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</si>
  <si>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</si>
  <si>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</si>
  <si>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</si>
  <si>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</si>
  <si>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</si>
  <si>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</si>
  <si>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</si>
  <si>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</si>
  <si>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</si>
  <si>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</si>
  <si>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</si>
  <si>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</si>
  <si>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</si>
  <si>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</si>
  <si>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</si>
  <si>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</si>
  <si>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</si>
  <si>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</si>
  <si>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</si>
  <si>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</si>
  <si>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</si>
  <si>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</si>
  <si>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</si>
  <si>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</si>
  <si>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</si>
  <si>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</si>
  <si>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</si>
  <si>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</si>
  <si>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</si>
  <si>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</si>
  <si>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</si>
  <si>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</si>
  <si>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</si>
  <si>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</si>
  <si>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</si>
  <si>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</si>
  <si>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</si>
  <si>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</si>
  <si>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</si>
  <si>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</si>
  <si>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</si>
  <si>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</si>
  <si>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</si>
  <si>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</si>
  <si>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</si>
  <si>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</si>
  <si>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</si>
  <si>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</si>
  <si>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</si>
  <si>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</si>
  <si>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</si>
  <si>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</si>
  <si>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</si>
  <si>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</si>
  <si>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</si>
  <si>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</si>
  <si>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</si>
  <si>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</si>
  <si>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</si>
  <si>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</si>
  <si>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</si>
  <si>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</si>
  <si>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</si>
  <si>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</si>
  <si>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</si>
  <si>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</si>
  <si>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</si>
  <si>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</si>
  <si>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</si>
  <si>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</si>
  <si>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</si>
  <si>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</si>
  <si>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</si>
  <si>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</si>
  <si>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</si>
  <si>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</si>
  <si>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</si>
  <si>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</si>
  <si>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</si>
  <si>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</si>
  <si>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</si>
  <si>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</si>
  <si>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</si>
  <si>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</si>
  <si>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</si>
  <si>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</si>
  <si>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</si>
  <si>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</si>
  <si>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</si>
  <si>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</si>
  <si>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</si>
  <si>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</si>
  <si>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</si>
  <si>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</si>
  <si>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</si>
  <si>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</si>
  <si>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</si>
  <si>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</si>
  <si>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</si>
  <si>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</si>
  <si>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</si>
  <si>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</si>
  <si>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</si>
  <si>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</si>
  <si>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</si>
  <si>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</si>
  <si>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</si>
  <si>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</si>
  <si>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</si>
  <si>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</si>
  <si>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</si>
  <si>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</si>
  <si>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</si>
  <si>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</si>
  <si>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</si>
  <si>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</si>
  <si>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</si>
  <si>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</si>
  <si>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</si>
  <si>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</si>
  <si>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</si>
  <si>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</si>
  <si>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</si>
  <si>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</si>
  <si>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</si>
  <si>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</si>
  <si>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</si>
  <si>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</si>
  <si>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</si>
  <si>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</si>
  <si>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</si>
  <si>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</si>
  <si>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</si>
  <si>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</si>
  <si>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</si>
  <si>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</si>
  <si>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</si>
  <si>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</si>
  <si>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</si>
  <si>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</si>
  <si>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</si>
  <si>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</si>
  <si>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</si>
  <si>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</si>
  <si>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</si>
  <si>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</si>
  <si>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</si>
  <si>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</si>
  <si>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</si>
  <si>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</si>
  <si>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</si>
  <si>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</si>
  <si>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</si>
  <si>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</si>
  <si>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</si>
  <si>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</si>
  <si>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</si>
  <si>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</si>
  <si>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</si>
  <si>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</si>
  <si>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</si>
  <si>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</si>
  <si>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</si>
  <si>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</si>
  <si>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</si>
  <si>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</si>
  <si>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</si>
  <si>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</si>
  <si>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</si>
  <si>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</si>
  <si>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</si>
  <si>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</si>
  <si>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</si>
  <si>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</si>
  <si>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</si>
  <si>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</si>
  <si>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</si>
  <si>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</si>
  <si>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</si>
  <si>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</si>
  <si>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</si>
  <si>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</si>
  <si>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</si>
  <si>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</si>
  <si>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</si>
  <si>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</si>
  <si>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</si>
  <si>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</si>
  <si>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</si>
  <si>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</si>
  <si>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</si>
  <si>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</si>
  <si>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</si>
  <si>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</si>
  <si>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</si>
  <si>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</si>
  <si>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</si>
  <si>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</si>
  <si>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</si>
  <si>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</si>
  <si>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</si>
  <si>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</si>
  <si>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</si>
  <si>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</si>
  <si>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</si>
  <si>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</si>
  <si>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</si>
  <si>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</si>
  <si>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</si>
  <si>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</si>
  <si>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</si>
  <si>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</si>
  <si>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</si>
  <si>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</si>
  <si>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</si>
  <si>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</si>
  <si>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</si>
  <si>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</si>
  <si>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</si>
  <si>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</si>
  <si>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</si>
  <si>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</si>
  <si>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</si>
  <si>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</si>
  <si>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</si>
  <si>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</si>
  <si>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</si>
  <si>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</si>
  <si>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</si>
  <si>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</si>
  <si>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</si>
  <si>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</si>
  <si>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</si>
  <si>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</si>
  <si>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</si>
  <si>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</si>
  <si>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</si>
  <si>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</si>
  <si>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</si>
  <si>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</si>
  <si>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</si>
  <si>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</si>
  <si>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</si>
  <si>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</si>
  <si>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</si>
  <si>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</si>
  <si>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</si>
  <si>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</si>
  <si>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</si>
  <si>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</si>
  <si>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</si>
  <si>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</si>
  <si>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</si>
  <si>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</si>
  <si>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</si>
  <si>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</si>
  <si>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</si>
  <si>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</si>
  <si>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</si>
  <si>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</si>
  <si>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</si>
  <si>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</si>
  <si>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</si>
  <si>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</si>
  <si>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</si>
  <si>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</si>
  <si>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</si>
  <si>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</si>
  <si>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</si>
  <si>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</si>
  <si>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</si>
  <si>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</si>
  <si>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</si>
  <si>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</si>
  <si>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</si>
  <si>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</si>
  <si>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</si>
  <si>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</si>
  <si>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</si>
  <si>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</si>
  <si>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</si>
  <si>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</si>
  <si>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</si>
  <si>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</si>
  <si>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</si>
  <si>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</si>
  <si>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</si>
  <si>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</si>
  <si>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</si>
  <si>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</si>
  <si>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</si>
  <si>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</si>
  <si>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</si>
  <si>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</si>
  <si>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</si>
  <si>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</si>
  <si>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</si>
  <si>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</si>
  <si>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</si>
  <si>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</si>
  <si>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</si>
  <si>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</si>
  <si>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</si>
  <si>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</si>
  <si>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</si>
  <si>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</si>
  <si>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</si>
  <si>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</si>
  <si>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</si>
  <si>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</si>
  <si>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</si>
  <si>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</si>
  <si>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</si>
  <si>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</si>
  <si>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</si>
  <si>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</si>
  <si>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</si>
  <si>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</si>
  <si>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</si>
  <si>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</si>
  <si>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</si>
  <si>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</si>
  <si>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</si>
  <si>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</si>
  <si>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</si>
  <si>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</si>
  <si>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</si>
  <si>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</si>
  <si>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</si>
  <si>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</si>
  <si>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</si>
  <si>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</si>
  <si>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</si>
  <si>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</si>
  <si>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</si>
  <si>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</si>
  <si>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</si>
  <si>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</si>
  <si>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</si>
  <si>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</si>
  <si>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</si>
  <si>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</si>
  <si>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</si>
  <si>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</si>
  <si>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</si>
  <si>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</si>
  <si>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</si>
  <si>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</si>
  <si>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</si>
  <si>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</si>
  <si>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</si>
  <si>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</si>
  <si>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</si>
  <si>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</si>
  <si>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</si>
  <si>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</si>
  <si>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</si>
  <si>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</si>
  <si>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</si>
  <si>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</si>
  <si>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</si>
  <si>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</si>
  <si>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</si>
  <si>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</si>
  <si>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</si>
  <si>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</si>
  <si>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</si>
  <si>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</si>
  <si>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</si>
  <si>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</si>
  <si>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</si>
  <si>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</si>
  <si>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</si>
  <si>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</si>
  <si>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</si>
  <si>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</si>
  <si>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</si>
  <si>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</si>
  <si>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</si>
  <si>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</si>
  <si>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</si>
  <si>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</si>
  <si>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</si>
  <si>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</si>
  <si>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</si>
  <si>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</si>
  <si>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</si>
  <si>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</si>
  <si>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</si>
  <si>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</si>
  <si>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</si>
  <si>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</si>
  <si>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</si>
  <si>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</si>
  <si>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</si>
  <si>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</si>
  <si>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</si>
  <si>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</si>
  <si>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</si>
  <si>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</si>
  <si>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</si>
  <si>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</si>
  <si>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</si>
  <si>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</si>
  <si>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</si>
  <si>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</si>
  <si>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</si>
  <si>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</si>
  <si>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</si>
  <si>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</si>
  <si>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</si>
  <si>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</si>
  <si>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</si>
  <si>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</si>
  <si>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</si>
  <si>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</si>
  <si>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</si>
  <si>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</si>
  <si>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</si>
  <si>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</si>
  <si>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</si>
  <si>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</si>
  <si>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</si>
  <si>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</si>
  <si>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</si>
  <si>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</si>
  <si>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</si>
  <si>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</si>
  <si>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</si>
  <si>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</si>
  <si>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</si>
  <si>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</si>
  <si>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</si>
  <si>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</si>
  <si>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</si>
  <si>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</si>
  <si>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</si>
  <si>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</si>
  <si>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</si>
  <si>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</si>
  <si>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</si>
  <si>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</si>
  <si>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</si>
  <si>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</si>
  <si>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</si>
  <si>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</si>
  <si>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</si>
  <si>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</si>
  <si>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</si>
  <si>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</si>
  <si>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</si>
  <si>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</si>
  <si>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</si>
  <si>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</si>
  <si>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</si>
  <si>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</si>
  <si>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</si>
  <si>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</si>
  <si>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</si>
  <si>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</si>
  <si>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</si>
  <si>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</si>
  <si>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</si>
  <si>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</si>
  <si>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</si>
  <si>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</si>
  <si>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</si>
  <si>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</si>
  <si>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</si>
  <si>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</si>
  <si>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</si>
  <si>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</si>
  <si>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</si>
  <si>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</si>
  <si>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</si>
  <si>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</si>
  <si>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</si>
  <si>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</si>
  <si>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</si>
  <si>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</si>
  <si>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</si>
  <si>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</si>
  <si>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</si>
  <si>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</si>
  <si>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</si>
  <si>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</si>
  <si>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</si>
  <si>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</si>
  <si>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</si>
  <si>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</si>
  <si>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</si>
  <si>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</si>
  <si>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</si>
  <si>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</si>
  <si>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</si>
  <si>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</si>
  <si>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</si>
  <si>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</si>
  <si>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</si>
  <si>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</si>
  <si>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</si>
  <si>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</si>
  <si>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</si>
  <si>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</si>
  <si>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</si>
  <si>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</si>
  <si>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</si>
  <si>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</si>
  <si>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</si>
  <si>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</si>
  <si>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</si>
  <si>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</si>
  <si>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</si>
  <si>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</si>
  <si>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</si>
  <si>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</si>
  <si>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</si>
  <si>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</si>
  <si>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</si>
  <si>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</si>
  <si>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</si>
  <si>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</si>
  <si>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</si>
  <si>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</si>
  <si>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</si>
  <si>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</si>
  <si>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</si>
  <si>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</si>
  <si>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</si>
  <si>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</si>
  <si>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</si>
  <si>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</si>
  <si>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</si>
  <si>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</si>
  <si>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</si>
  <si>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</si>
  <si>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</si>
  <si>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</si>
  <si>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</si>
  <si>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</si>
  <si>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</si>
  <si>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</si>
  <si>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</si>
  <si>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</si>
  <si>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</si>
  <si>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</si>
  <si>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</si>
  <si>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</si>
  <si>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</si>
  <si>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</si>
  <si>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</si>
  <si>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</si>
  <si>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</si>
  <si>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</si>
  <si>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</si>
  <si>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</si>
  <si>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</si>
  <si>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</si>
  <si>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</si>
  <si>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</si>
  <si>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</si>
  <si>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</si>
  <si>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</si>
  <si>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</si>
  <si>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</si>
  <si>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</si>
  <si>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</si>
  <si>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</si>
  <si>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</si>
  <si>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</si>
  <si>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</si>
  <si>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</si>
  <si>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</si>
  <si>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</si>
  <si>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</si>
  <si>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</si>
  <si>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</si>
  <si>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</si>
  <si>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</si>
  <si>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</si>
  <si>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</si>
  <si>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</si>
  <si>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</si>
  <si>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</si>
  <si>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</si>
  <si>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</si>
  <si>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</si>
  <si>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</si>
  <si>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</si>
  <si>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</si>
  <si>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</si>
  <si>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</si>
  <si>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</si>
  <si>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</si>
  <si>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</si>
  <si>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</si>
  <si>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</si>
  <si>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</si>
  <si>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</si>
  <si>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</si>
  <si>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</si>
  <si>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</si>
  <si>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</si>
  <si>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</si>
  <si>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</si>
  <si>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</si>
  <si>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</si>
  <si>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</si>
  <si>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</si>
  <si>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</si>
  <si>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</si>
  <si>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</si>
  <si>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</si>
  <si>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</si>
  <si>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</si>
  <si>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</si>
  <si>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</si>
  <si>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</si>
  <si>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</si>
  <si>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</si>
  <si>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</si>
  <si>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</si>
  <si>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</si>
  <si>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</si>
  <si>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</si>
  <si>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</si>
  <si>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</si>
  <si>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</si>
  <si>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</si>
  <si>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</si>
  <si>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</si>
  <si>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</si>
  <si>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</si>
  <si>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</si>
  <si>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</si>
  <si>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</si>
  <si>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</si>
  <si>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</si>
  <si>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</si>
  <si>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</si>
  <si>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</si>
  <si>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</si>
  <si>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</si>
  <si>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</si>
  <si>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</si>
  <si>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</si>
  <si>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</si>
  <si>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</si>
  <si>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</si>
  <si>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</si>
  <si>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</si>
  <si>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</si>
  <si>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</si>
  <si>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</si>
  <si>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</si>
  <si>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</si>
  <si>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</si>
  <si>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</si>
  <si>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</si>
  <si>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</si>
  <si>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</si>
  <si>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</si>
  <si>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</si>
  <si>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</si>
  <si>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</si>
  <si>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</si>
  <si>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</si>
  <si>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</si>
  <si>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</si>
  <si>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</si>
  <si>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</si>
  <si>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</si>
  <si>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吴薇</t>
  </si>
  <si>
    <t>北京富兴金地置业有限公司</t>
  </si>
  <si>
    <t>浦发银行清华园支行</t>
  </si>
  <si>
    <t>房地产抵押价值</t>
  </si>
  <si>
    <t>抵押</t>
  </si>
  <si>
    <t>北京市</t>
  </si>
  <si>
    <r>
      <rPr>
        <sz val="12"/>
        <color theme="9" tint="-0.249977111117893"/>
        <rFont val="宋体"/>
        <family val="3"/>
        <charset val="134"/>
      </rPr>
      <t>北京经济技术开发区天华北街</t>
    </r>
    <r>
      <rPr>
        <sz val="12"/>
        <color theme="9" tint="-0.249977111117893"/>
        <rFont val="Arial"/>
        <family val="2"/>
      </rPr>
      <t>11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幢等部分办公、商业用房房地产抵押价值评估</t>
    </r>
  </si>
  <si>
    <t>企业</t>
  </si>
  <si>
    <t>出让</t>
  </si>
  <si>
    <t>办公、商业、地下商业、车位</t>
  </si>
  <si>
    <r>
      <rPr>
        <sz val="12"/>
        <color theme="9" tint="-0.249977111117893"/>
        <rFont val="宋体"/>
        <family val="3"/>
        <charset val="134"/>
      </rPr>
      <t>商业</t>
    </r>
    <r>
      <rPr>
        <sz val="12"/>
        <color theme="9" tint="-0.249977111117893"/>
        <rFont val="Arial"/>
        <family val="2"/>
      </rPr>
      <t>28.58</t>
    </r>
    <r>
      <rPr>
        <sz val="12"/>
        <color theme="9" tint="-0.249977111117893"/>
        <rFont val="宋体"/>
        <family val="3"/>
        <charset val="134"/>
      </rPr>
      <t>年、办公</t>
    </r>
    <r>
      <rPr>
        <sz val="12"/>
        <color theme="9" tint="-0.249977111117893"/>
        <rFont val="Arial"/>
        <family val="2"/>
      </rPr>
      <t>38.59</t>
    </r>
    <r>
      <rPr>
        <sz val="12"/>
        <color theme="9" tint="-0.249977111117893"/>
        <rFont val="宋体"/>
        <family val="3"/>
        <charset val="134"/>
      </rPr>
      <t>年，车位</t>
    </r>
    <r>
      <rPr>
        <sz val="12"/>
        <color theme="9" tint="-0.249977111117893"/>
        <rFont val="Arial"/>
        <family val="2"/>
      </rPr>
      <t>38.59</t>
    </r>
    <r>
      <rPr>
        <sz val="12"/>
        <color theme="9" tint="-0.249977111117893"/>
        <rFont val="宋体"/>
        <family val="3"/>
        <charset val="134"/>
      </rPr>
      <t>年</t>
    </r>
  </si>
  <si>
    <t>是</t>
  </si>
  <si>
    <t>否</t>
  </si>
  <si>
    <t>复印件</t>
  </si>
  <si>
    <t>综合项目（商业、办公）</t>
  </si>
  <si>
    <t>现房</t>
  </si>
  <si>
    <t>通路</t>
  </si>
  <si>
    <t>通电</t>
  </si>
  <si>
    <t>通讯</t>
  </si>
  <si>
    <t>通上水</t>
  </si>
  <si>
    <t>通下水</t>
  </si>
  <si>
    <t>燃气</t>
  </si>
  <si>
    <t>地上</t>
  </si>
  <si>
    <t>办公楼</t>
  </si>
  <si>
    <t>地下</t>
  </si>
  <si>
    <t>底商</t>
  </si>
  <si>
    <t>车库</t>
  </si>
  <si>
    <t>楼号</t>
  </si>
  <si>
    <t>部位</t>
  </si>
  <si>
    <t>建筑面积（平方米）</t>
  </si>
  <si>
    <t>分摊土地面积（平方米）</t>
  </si>
  <si>
    <t>全部</t>
  </si>
  <si>
    <t xml:space="preserve">- </t>
  </si>
  <si>
    <t>地下一层</t>
  </si>
  <si>
    <t>地下商业</t>
  </si>
  <si>
    <t>地下二层</t>
  </si>
  <si>
    <t>办公</t>
    <phoneticPr fontId="3" type="noConversion"/>
  </si>
  <si>
    <t>商业</t>
    <phoneticPr fontId="3" type="noConversion"/>
  </si>
  <si>
    <t>车库</t>
    <phoneticPr fontId="3" type="noConversion"/>
  </si>
  <si>
    <t>成新度</t>
  </si>
  <si>
    <t>北京天朗时代文化艺术有限公司</t>
  </si>
  <si>
    <t>每二年递增5%</t>
  </si>
  <si>
    <t>8年</t>
  </si>
  <si>
    <t>2017.02.26-2025.02.25</t>
  </si>
  <si>
    <t>租户</t>
    <phoneticPr fontId="3" type="noConversion"/>
  </si>
  <si>
    <t>合同面积</t>
    <phoneticPr fontId="3" type="noConversion"/>
  </si>
  <si>
    <t>单价</t>
    <phoneticPr fontId="3" type="noConversion"/>
  </si>
  <si>
    <t>年租金</t>
    <phoneticPr fontId="3" type="noConversion"/>
  </si>
  <si>
    <t>递增</t>
    <phoneticPr fontId="3" type="noConversion"/>
  </si>
  <si>
    <t>租期</t>
    <phoneticPr fontId="3" type="noConversion"/>
  </si>
  <si>
    <t>起始时间</t>
    <phoneticPr fontId="3" type="noConversion"/>
  </si>
  <si>
    <t>一号楼</t>
    <phoneticPr fontId="3" type="noConversion"/>
  </si>
  <si>
    <t>建筑面积</t>
    <phoneticPr fontId="3" type="noConversion"/>
  </si>
  <si>
    <t>富兴集团</t>
    <phoneticPr fontId="3" type="noConversion"/>
  </si>
  <si>
    <t>5.2元/日/平方</t>
    <phoneticPr fontId="3" type="noConversion"/>
  </si>
  <si>
    <t>第四年起递增5%</t>
    <phoneticPr fontId="3" type="noConversion"/>
  </si>
  <si>
    <t>40年</t>
    <phoneticPr fontId="3" type="noConversion"/>
  </si>
  <si>
    <t>2015.08.01-2055.07.31</t>
    <phoneticPr fontId="3" type="noConversion"/>
  </si>
  <si>
    <t>二号楼商业</t>
    <phoneticPr fontId="3" type="noConversion"/>
  </si>
  <si>
    <t>渤海银行（北京分行）</t>
    <phoneticPr fontId="3" type="noConversion"/>
  </si>
  <si>
    <t>271.49元/月/平方</t>
    <phoneticPr fontId="3" type="noConversion"/>
  </si>
  <si>
    <t>每二年递增5%</t>
    <phoneticPr fontId="3" type="noConversion"/>
  </si>
  <si>
    <t>10年</t>
    <phoneticPr fontId="3" type="noConversion"/>
  </si>
  <si>
    <t>2015.11.01-2025.12.31</t>
    <phoneticPr fontId="3" type="noConversion"/>
  </si>
  <si>
    <t>北京华商泰诚建设工程有限公司（简餐)</t>
    <phoneticPr fontId="3" type="noConversion"/>
  </si>
  <si>
    <t>239元/月/平方</t>
    <phoneticPr fontId="3" type="noConversion"/>
  </si>
  <si>
    <t>8年</t>
    <phoneticPr fontId="3" type="noConversion"/>
  </si>
  <si>
    <t>2016.10.01-2024.09.30</t>
    <phoneticPr fontId="3" type="noConversion"/>
  </si>
  <si>
    <t>1--06</t>
    <phoneticPr fontId="3" type="noConversion"/>
  </si>
  <si>
    <t>赵丽</t>
    <phoneticPr fontId="3" type="noConversion"/>
  </si>
  <si>
    <t>147元/月/平方</t>
    <phoneticPr fontId="3" type="noConversion"/>
  </si>
  <si>
    <t>第二年递增7%</t>
    <phoneticPr fontId="3" type="noConversion"/>
  </si>
  <si>
    <t>5年</t>
    <phoneticPr fontId="3" type="noConversion"/>
  </si>
  <si>
    <t>2018.06.15-2023.6.14</t>
    <phoneticPr fontId="3" type="noConversion"/>
  </si>
  <si>
    <t>1--07</t>
    <phoneticPr fontId="3" type="noConversion"/>
  </si>
  <si>
    <t>北京百晟商贸有限公司（美容）</t>
    <phoneticPr fontId="3" type="noConversion"/>
  </si>
  <si>
    <t>147.96元/月/平方</t>
    <phoneticPr fontId="3" type="noConversion"/>
  </si>
  <si>
    <t>每二年递增8%</t>
    <phoneticPr fontId="3" type="noConversion"/>
  </si>
  <si>
    <t>2016.07.10-2021.07.09</t>
    <phoneticPr fontId="3" type="noConversion"/>
  </si>
  <si>
    <t>157.5元/月/平方</t>
    <phoneticPr fontId="3" type="noConversion"/>
  </si>
  <si>
    <t>3--21</t>
    <phoneticPr fontId="3" type="noConversion"/>
  </si>
  <si>
    <t>北京外国语大学外研培训中心（北外青少）</t>
    <phoneticPr fontId="3" type="noConversion"/>
  </si>
  <si>
    <t>127.75元/月/平方</t>
    <phoneticPr fontId="3" type="noConversion"/>
  </si>
  <si>
    <t>6年</t>
    <phoneticPr fontId="3" type="noConversion"/>
  </si>
  <si>
    <t>2016.04.01-2022.03.31</t>
    <phoneticPr fontId="3" type="noConversion"/>
  </si>
  <si>
    <t>3--25</t>
    <phoneticPr fontId="3" type="noConversion"/>
  </si>
  <si>
    <t>北京汇乐优学教育咨询有限公司（贝乐英语）</t>
    <phoneticPr fontId="3" type="noConversion"/>
  </si>
  <si>
    <t>137.35元/月/平方</t>
    <phoneticPr fontId="3" type="noConversion"/>
  </si>
  <si>
    <t>每三年递增5%</t>
    <phoneticPr fontId="3" type="noConversion"/>
  </si>
  <si>
    <t>2015.11.01-2022.01.31</t>
    <phoneticPr fontId="3" type="noConversion"/>
  </si>
  <si>
    <t>3--26</t>
    <phoneticPr fontId="3" type="noConversion"/>
  </si>
  <si>
    <t>5--27</t>
    <phoneticPr fontId="3" type="noConversion"/>
  </si>
  <si>
    <t>北京世纪优加投资管理有限公司</t>
    <phoneticPr fontId="3" type="noConversion"/>
  </si>
  <si>
    <t>综合均价68.25元/月</t>
    <phoneticPr fontId="3" type="noConversion"/>
  </si>
  <si>
    <t>2017.1.20-2027.1.19</t>
    <phoneticPr fontId="3" type="noConversion"/>
  </si>
  <si>
    <t>合计</t>
    <phoneticPr fontId="3" type="noConversion"/>
  </si>
  <si>
    <t>三号楼商业</t>
    <phoneticPr fontId="3" type="noConversion"/>
  </si>
  <si>
    <t>北京熙甲昂业投资管理有限公司（全聚德）</t>
    <phoneticPr fontId="3" type="noConversion"/>
  </si>
  <si>
    <t>一层7元/日/平方      二层5.1元/日/平方    三层3.2元/日/平方    四层3元/日/平方</t>
    <phoneticPr fontId="3" type="noConversion"/>
  </si>
  <si>
    <t>第四年起递增10.66%</t>
    <phoneticPr fontId="3" type="noConversion"/>
  </si>
  <si>
    <t>9年</t>
    <phoneticPr fontId="3" type="noConversion"/>
  </si>
  <si>
    <t>2015.06.15-2024.06.14</t>
    <phoneticPr fontId="3" type="noConversion"/>
  </si>
  <si>
    <t>负一层商业</t>
    <phoneticPr fontId="3" type="noConversion"/>
  </si>
  <si>
    <t>物美集团（物美超市）</t>
    <phoneticPr fontId="3" type="noConversion"/>
  </si>
  <si>
    <t>2.25元/天/平方</t>
    <phoneticPr fontId="3" type="noConversion"/>
  </si>
  <si>
    <t>15年</t>
    <phoneticPr fontId="3" type="noConversion"/>
  </si>
  <si>
    <t>2014.12.31-2029.12.30</t>
    <phoneticPr fontId="3" type="noConversion"/>
  </si>
  <si>
    <t>负二层车库</t>
    <phoneticPr fontId="3" type="noConversion"/>
  </si>
  <si>
    <t>北京佳洁鸿运物业管理有限公司</t>
    <phoneticPr fontId="3" type="noConversion"/>
  </si>
  <si>
    <t>32元/月/平方</t>
    <phoneticPr fontId="3" type="noConversion"/>
  </si>
  <si>
    <t>2016.03.01-2021.2.29</t>
    <phoneticPr fontId="3" type="noConversion"/>
  </si>
  <si>
    <t>3--21</t>
  </si>
  <si>
    <t>3--25</t>
  </si>
  <si>
    <t>3--26</t>
  </si>
  <si>
    <t>5--27</t>
  </si>
  <si>
    <t>收益法办公</t>
  </si>
  <si>
    <t>收益法办公</t>
    <phoneticPr fontId="16" type="noConversion"/>
  </si>
  <si>
    <t>收益法商业</t>
  </si>
  <si>
    <t>收益法商业</t>
    <phoneticPr fontId="16" type="noConversion"/>
  </si>
  <si>
    <t>收益法车库</t>
  </si>
  <si>
    <t>收益法车库</t>
    <phoneticPr fontId="16" type="noConversion"/>
  </si>
  <si>
    <t>典型户型修正办公</t>
  </si>
  <si>
    <t>典型户型修正办公</t>
    <phoneticPr fontId="16" type="noConversion"/>
  </si>
  <si>
    <t>典型户型修正商业</t>
  </si>
  <si>
    <t>典型户型修正商业</t>
    <phoneticPr fontId="16" type="noConversion"/>
  </si>
  <si>
    <t>自定义</t>
  </si>
  <si>
    <t>按租金收入计税</t>
  </si>
  <si>
    <t>钢混</t>
  </si>
  <si>
    <t>非生产用房</t>
  </si>
  <si>
    <t>售价</t>
  </si>
  <si>
    <t>高速路</t>
  </si>
  <si>
    <t>快速路</t>
  </si>
  <si>
    <t>主干道</t>
  </si>
  <si>
    <t>次干道</t>
  </si>
  <si>
    <t>支路</t>
  </si>
  <si>
    <t>高区</t>
  </si>
  <si>
    <t>中区</t>
  </si>
  <si>
    <t>低区</t>
  </si>
  <si>
    <t>标准写字楼</t>
  </si>
  <si>
    <t>异形建筑</t>
  </si>
  <si>
    <t>精装修</t>
  </si>
  <si>
    <t>普通装修</t>
  </si>
  <si>
    <t>简装</t>
  </si>
  <si>
    <t>毛坯</t>
  </si>
  <si>
    <t>甲级</t>
  </si>
  <si>
    <t>乙级</t>
  </si>
  <si>
    <t>丙级</t>
  </si>
  <si>
    <t>专业</t>
  </si>
  <si>
    <t>普通</t>
  </si>
  <si>
    <t>七通</t>
  </si>
  <si>
    <t>六通</t>
  </si>
  <si>
    <t>五通</t>
  </si>
  <si>
    <t>四通</t>
  </si>
  <si>
    <t>三通</t>
  </si>
  <si>
    <t>超高层高</t>
  </si>
  <si>
    <t>标准层高</t>
  </si>
  <si>
    <t>大族广场</t>
  </si>
  <si>
    <t>荣华国际</t>
  </si>
  <si>
    <t>林肯公园</t>
  </si>
  <si>
    <t>富兴国际</t>
    <phoneticPr fontId="3" type="noConversion"/>
  </si>
  <si>
    <t>办公</t>
    <phoneticPr fontId="32" type="noConversion"/>
  </si>
  <si>
    <t>30-40（含）</t>
  </si>
  <si>
    <t>40-50（含）</t>
  </si>
  <si>
    <t>较好</t>
  </si>
  <si>
    <t>好</t>
  </si>
  <si>
    <t>楼号：1号楼</t>
  </si>
  <si>
    <t>序号</t>
  </si>
  <si>
    <t>房号或部位号</t>
  </si>
  <si>
    <t>建筑面积</t>
  </si>
  <si>
    <t>土地分摊面积</t>
  </si>
  <si>
    <t>总计</t>
  </si>
  <si>
    <t>钢混</t>
    <phoneticPr fontId="32" type="noConversion"/>
  </si>
  <si>
    <t>高区</t>
    <phoneticPr fontId="25" type="noConversion"/>
  </si>
  <si>
    <t>中区</t>
    <phoneticPr fontId="25" type="noConversion"/>
  </si>
  <si>
    <t>低区</t>
    <phoneticPr fontId="25" type="noConversion"/>
  </si>
  <si>
    <t>收益比率</t>
  </si>
  <si>
    <r>
      <rPr>
        <sz val="11"/>
        <color theme="9" tint="-0.249977111117893"/>
        <rFont val="宋体"/>
        <family val="3"/>
        <charset val="134"/>
      </rPr>
      <t>估价对象名称</t>
    </r>
  </si>
  <si>
    <t>上海沙龙</t>
  </si>
  <si>
    <t>荣京道</t>
  </si>
  <si>
    <t>BDA国际广场</t>
  </si>
  <si>
    <t>商业</t>
    <phoneticPr fontId="31" type="noConversion"/>
  </si>
  <si>
    <t>20-30（含）</t>
  </si>
  <si>
    <t>多面临街</t>
  </si>
  <si>
    <t>双面临街</t>
  </si>
  <si>
    <t>单面临街</t>
  </si>
  <si>
    <t>不临街</t>
  </si>
  <si>
    <t>1-2</t>
  </si>
  <si>
    <t>3-4</t>
  </si>
  <si>
    <t>4</t>
  </si>
  <si>
    <t>5</t>
  </si>
  <si>
    <t>-1</t>
  </si>
  <si>
    <t>集中式商业</t>
  </si>
  <si>
    <t>商业街</t>
  </si>
  <si>
    <t>独栋商业</t>
  </si>
  <si>
    <t>办公底商</t>
  </si>
  <si>
    <t>住宅底商</t>
  </si>
  <si>
    <t>钢混</t>
    <phoneticPr fontId="31" type="noConversion"/>
  </si>
  <si>
    <t>可明火</t>
  </si>
  <si>
    <t>不可明火</t>
  </si>
  <si>
    <t>一般</t>
  </si>
  <si>
    <t>大</t>
  </si>
  <si>
    <t>较大</t>
  </si>
  <si>
    <t>较少</t>
  </si>
  <si>
    <t>少</t>
  </si>
  <si>
    <t>商业</t>
    <phoneticPr fontId="143" type="noConversion"/>
  </si>
  <si>
    <t>临街</t>
    <phoneticPr fontId="143" type="noConversion"/>
  </si>
  <si>
    <t>1号楼</t>
  </si>
  <si>
    <t>2号楼</t>
  </si>
  <si>
    <t>1~2</t>
    <phoneticPr fontId="143" type="noConversion"/>
  </si>
  <si>
    <t>1~2</t>
    <phoneticPr fontId="143" type="noConversion"/>
  </si>
  <si>
    <t>1--06</t>
  </si>
  <si>
    <t>不临街</t>
    <phoneticPr fontId="143" type="noConversion"/>
  </si>
  <si>
    <t>1--07</t>
  </si>
  <si>
    <t>3~4</t>
    <phoneticPr fontId="143" type="noConversion"/>
  </si>
  <si>
    <t>负1</t>
    <phoneticPr fontId="143" type="noConversion"/>
  </si>
  <si>
    <t>3~4</t>
    <phoneticPr fontId="143" type="noConversion"/>
  </si>
  <si>
    <t>3号楼</t>
  </si>
  <si>
    <t>1~2</t>
    <phoneticPr fontId="143" type="noConversion"/>
  </si>
  <si>
    <t>1~2</t>
    <phoneticPr fontId="143" type="noConversion"/>
  </si>
  <si>
    <t>4幢</t>
  </si>
  <si>
    <t>住总万科橙</t>
  </si>
  <si>
    <t>万科金域东郡</t>
  </si>
  <si>
    <r>
      <rPr>
        <sz val="11"/>
        <color theme="9" tint="-0.249977111117893"/>
        <rFont val="宋体"/>
        <family val="3"/>
        <charset val="134"/>
      </rPr>
      <t>项目位置</t>
    </r>
  </si>
  <si>
    <t>车库</t>
    <phoneticPr fontId="32" type="noConversion"/>
  </si>
  <si>
    <t>住宅</t>
  </si>
  <si>
    <t>住宅</t>
    <phoneticPr fontId="32" type="noConversion"/>
  </si>
  <si>
    <t>立体车位</t>
  </si>
  <si>
    <t>平面车位</t>
  </si>
  <si>
    <t>比较法-车位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</si>
</sst>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sz val="11"/>
      <name val="仿宋"/>
      <family val="3"/>
      <charset val="134"/>
    </font>
    <font>
      <sz val="9"/>
      <name val="仿宋"/>
      <family val="3"/>
      <charset val="134"/>
    </font>
    <font>
      <sz val="10.5"/>
      <name val="微软雅黑"/>
      <family val="2"/>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auto="1"/>
      </left>
      <right style="medium">
        <color rgb="FF000000"/>
      </right>
      <top style="medium">
        <color auto="1"/>
      </top>
      <bottom style="medium">
        <color auto="1"/>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alignment vertical="center"/>
    </xf>
    <xf numFmtId="43" fontId="137" fillId="0" borderId="0" applyFont="0" applyFill="0" applyBorder="0" applyAlignment="0" applyProtection="0">
      <alignment vertical="center"/>
    </xf>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6" fillId="7" borderId="151" xfId="0" applyFont="1" applyFill="1" applyBorder="1" applyAlignment="1" applyProtection="1">
      <alignment vertical="center" wrapText="1"/>
      <protection locked="0"/>
    </xf>
    <xf numFmtId="0" fontId="196"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54" fillId="0" borderId="0" xfId="4" applyNumberFormat="1" applyFont="1" applyFill="1" applyAlignment="1">
      <alignment horizontal="center"/>
    </xf>
    <xf numFmtId="176" fontId="254" fillId="0" borderId="0" xfId="4" applyNumberFormat="1" applyFont="1" applyFill="1" applyAlignment="1">
      <alignment horizontal="center"/>
    </xf>
    <xf numFmtId="0" fontId="254" fillId="0" borderId="1" xfId="4" applyNumberFormat="1" applyFont="1" applyFill="1" applyBorder="1" applyAlignment="1">
      <alignment horizontal="center"/>
    </xf>
    <xf numFmtId="176" fontId="254" fillId="0" borderId="1" xfId="4" applyNumberFormat="1" applyFont="1" applyFill="1" applyBorder="1" applyAlignment="1">
      <alignment horizontal="center"/>
    </xf>
    <xf numFmtId="58" fontId="254" fillId="0" borderId="1" xfId="4" applyNumberFormat="1" applyFont="1" applyFill="1" applyBorder="1" applyAlignment="1">
      <alignment horizontal="center"/>
    </xf>
    <xf numFmtId="176" fontId="255" fillId="0" borderId="1" xfId="4" applyNumberFormat="1" applyFont="1" applyFill="1" applyBorder="1" applyAlignment="1">
      <alignment horizontal="center"/>
    </xf>
    <xf numFmtId="0" fontId="47" fillId="0" borderId="44"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10">
      <alignment vertical="center"/>
    </xf>
    <xf numFmtId="0" fontId="194" fillId="0" borderId="81" xfId="10" applyFont="1" applyBorder="1" applyAlignment="1">
      <alignment horizontal="center" vertical="center" wrapText="1"/>
    </xf>
    <xf numFmtId="0" fontId="194" fillId="13" borderId="43" xfId="10" applyFont="1" applyFill="1" applyBorder="1" applyAlignment="1">
      <alignment horizontal="center" vertical="center" wrapText="1"/>
    </xf>
    <xf numFmtId="0" fontId="194" fillId="13" borderId="43" xfId="10" applyFont="1" applyFill="1" applyBorder="1" applyAlignment="1">
      <alignment horizontal="center" vertical="center"/>
    </xf>
    <xf numFmtId="0" fontId="194" fillId="13" borderId="81" xfId="10" applyFont="1" applyFill="1" applyBorder="1" applyAlignment="1">
      <alignment horizontal="center" vertical="center"/>
    </xf>
    <xf numFmtId="0" fontId="137" fillId="0" borderId="44" xfId="1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49" fontId="50" fillId="0" borderId="9"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7" fillId="0" borderId="82" xfId="10" applyNumberFormat="1" applyFont="1" applyBorder="1" applyAlignment="1">
      <alignment horizontal="center" vertical="center" wrapText="1"/>
    </xf>
    <xf numFmtId="0" fontId="257" fillId="0" borderId="65" xfId="10" applyNumberFormat="1" applyFont="1" applyBorder="1" applyAlignment="1">
      <alignment horizontal="center" vertical="center" wrapText="1"/>
    </xf>
    <xf numFmtId="0" fontId="183" fillId="0" borderId="0" xfId="10" applyNumberFormat="1" applyFont="1" applyAlignment="1">
      <alignment horizontal="center" vertical="center"/>
    </xf>
    <xf numFmtId="0" fontId="257" fillId="0" borderId="81" xfId="10" applyNumberFormat="1" applyFont="1" applyBorder="1" applyAlignment="1">
      <alignment horizontal="center" vertical="center" wrapText="1"/>
    </xf>
    <xf numFmtId="0" fontId="257" fillId="0" borderId="43" xfId="10" applyNumberFormat="1" applyFont="1" applyBorder="1" applyAlignment="1">
      <alignment horizontal="center" vertical="center" wrapText="1"/>
    </xf>
    <xf numFmtId="49" fontId="50" fillId="10" borderId="9" xfId="0" applyNumberFormat="1" applyFont="1" applyFill="1" applyBorder="1" applyAlignment="1" applyProtection="1">
      <alignment horizontal="center" vertical="center" wrapText="1"/>
      <protection locked="0"/>
    </xf>
    <xf numFmtId="177" fontId="99" fillId="0" borderId="0" xfId="1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27" xfId="10" applyNumberFormat="1" applyFont="1" applyBorder="1" applyAlignment="1">
      <alignment horizontal="center" vertical="center" wrapText="1"/>
    </xf>
    <xf numFmtId="0" fontId="257" fillId="0" borderId="80" xfId="10" applyNumberFormat="1" applyFont="1" applyBorder="1" applyAlignment="1">
      <alignment horizontal="center" vertical="center" wrapText="1"/>
    </xf>
    <xf numFmtId="0" fontId="257" fillId="0" borderId="81" xfId="10" applyNumberFormat="1" applyFont="1" applyBorder="1" applyAlignment="1">
      <alignment horizontal="center" vertical="center" wrapText="1"/>
    </xf>
    <xf numFmtId="176" fontId="254" fillId="0" borderId="13" xfId="4" applyNumberFormat="1" applyFont="1" applyFill="1" applyBorder="1" applyAlignment="1">
      <alignment horizontal="center" vertical="center"/>
    </xf>
    <xf numFmtId="176" fontId="254" fillId="0" borderId="2" xfId="4" applyNumberFormat="1" applyFont="1" applyFill="1" applyBorder="1" applyAlignment="1">
      <alignment horizontal="center" vertical="center"/>
    </xf>
    <xf numFmtId="176" fontId="254" fillId="0" borderId="1" xfId="4" applyNumberFormat="1" applyFont="1" applyFill="1" applyBorder="1" applyAlignment="1">
      <alignment horizontal="center" vertical="center"/>
    </xf>
    <xf numFmtId="176" fontId="254" fillId="0" borderId="15" xfId="4" applyNumberFormat="1" applyFont="1" applyFill="1" applyBorder="1" applyAlignment="1">
      <alignment horizontal="center" vertical="center"/>
    </xf>
    <xf numFmtId="176" fontId="256" fillId="0" borderId="13" xfId="4" applyNumberFormat="1" applyFont="1" applyFill="1" applyBorder="1" applyAlignment="1">
      <alignment horizontal="center" vertical="center" wrapText="1"/>
    </xf>
    <xf numFmtId="176" fontId="256" fillId="0" borderId="15" xfId="4" applyNumberFormat="1" applyFont="1" applyFill="1" applyBorder="1" applyAlignment="1">
      <alignment horizontal="center" vertical="center" wrapText="1"/>
    </xf>
    <xf numFmtId="176" fontId="256" fillId="0" borderId="2" xfId="4" applyNumberFormat="1" applyFont="1" applyFill="1" applyBorder="1" applyAlignment="1">
      <alignment horizontal="center" vertical="center" wrapText="1"/>
    </xf>
    <xf numFmtId="176" fontId="256" fillId="0" borderId="13" xfId="4" applyNumberFormat="1" applyFont="1" applyFill="1" applyBorder="1" applyAlignment="1">
      <alignment horizontal="center" vertical="center"/>
    </xf>
    <xf numFmtId="176" fontId="256" fillId="0" borderId="15" xfId="4" applyNumberFormat="1" applyFont="1" applyFill="1" applyBorder="1" applyAlignment="1">
      <alignment horizontal="center" vertical="center"/>
    </xf>
    <xf numFmtId="176" fontId="256" fillId="0" borderId="2" xfId="4" applyNumberFormat="1" applyFont="1" applyFill="1" applyBorder="1" applyAlignment="1">
      <alignment horizontal="center" vertical="center"/>
    </xf>
    <xf numFmtId="0" fontId="194" fillId="13" borderId="156" xfId="10" applyFont="1" applyFill="1" applyBorder="1" applyAlignment="1">
      <alignment horizontal="left" vertical="center"/>
    </xf>
    <xf numFmtId="0" fontId="258" fillId="0" borderId="157" xfId="0" applyFont="1" applyBorder="1" applyAlignment="1">
      <alignment vertical="center" wrapText="1"/>
    </xf>
    <xf numFmtId="0" fontId="258" fillId="0" borderId="158" xfId="0" applyFont="1" applyBorder="1" applyAlignment="1">
      <alignment vertical="center" wrapText="1"/>
    </xf>
    <xf numFmtId="0" fontId="258" fillId="0" borderId="159"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4 2" xfId="17"/>
    <cellStyle name="常规 5" xfId="5"/>
    <cellStyle name="常规 6" xfId="6"/>
    <cellStyle name="常规 6 2" xfId="9"/>
    <cellStyle name="常规 6 2 2" xfId="16"/>
    <cellStyle name="常规 6 2 3" xfId="13"/>
    <cellStyle name="常规 7" xfId="7"/>
    <cellStyle name="常规 8" xfId="11"/>
    <cellStyle name="常规 9" xfId="12"/>
    <cellStyle name="千位分隔 2 2 2" xfId="18"/>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15</xdr:col>
      <xdr:colOff>152400</xdr:colOff>
      <xdr:row>28</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85800"/>
          <a:ext cx="10477500" cy="4229100"/>
        </a:xfrm>
        <a:prstGeom prst="rect">
          <a:avLst/>
        </a:prstGeom>
        <a:noFill/>
        <a:ln w="9525">
          <a:noFill/>
        </a:ln>
      </xdr:spPr>
    </xdr:pic>
    <xdr:clientData/>
  </xdr:twoCellAnchor>
  <xdr:twoCellAnchor editAs="oneCell">
    <xdr:from>
      <xdr:col>0</xdr:col>
      <xdr:colOff>0</xdr:colOff>
      <xdr:row>30</xdr:row>
      <xdr:rowOff>0</xdr:rowOff>
    </xdr:from>
    <xdr:to>
      <xdr:col>15</xdr:col>
      <xdr:colOff>228600</xdr:colOff>
      <xdr:row>54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0553700" cy="4229100"/>
        </a:xfrm>
        <a:prstGeom prst="rect">
          <a:avLst/>
        </a:prstGeom>
        <a:noFill/>
        <a:ln w="9525">
          <a:noFill/>
        </a:ln>
      </xdr:spPr>
    </xdr:pic>
    <xdr:clientData/>
  </xdr:twoCellAnchor>
  <xdr:twoCellAnchor editAs="oneCell">
    <xdr:from>
      <xdr:col>0</xdr:col>
      <xdr:colOff>0</xdr:colOff>
      <xdr:row>56</xdr:row>
      <xdr:rowOff>0</xdr:rowOff>
    </xdr:from>
    <xdr:to>
      <xdr:col>15</xdr:col>
      <xdr:colOff>83820</xdr:colOff>
      <xdr:row>79</xdr:row>
      <xdr:rowOff>144780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0408920" cy="4088130"/>
        </a:xfrm>
        <a:prstGeom prst="rect">
          <a:avLst/>
        </a:prstGeom>
        <a:noFill/>
        <a:ln w="9525">
          <a:noFill/>
        </a:ln>
      </xdr:spPr>
    </xdr:pic>
    <xdr:clientData/>
  </xdr:twoCellAnchor>
  <xdr:twoCellAnchor editAs="oneCell">
    <xdr:from>
      <xdr:col>0</xdr:col>
      <xdr:colOff>0</xdr:colOff>
      <xdr:row>81</xdr:row>
      <xdr:rowOff>0</xdr:rowOff>
    </xdr:from>
    <xdr:to>
      <xdr:col>11</xdr:col>
      <xdr:colOff>594360</xdr:colOff>
      <xdr:row>87</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8176260" cy="1074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00;&#20852;&#22269;&#38469;&#20013;&#24515;&#21150;&#20844;-&#29579;&#28165;&#38597;20190526-2211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797;&#20214;%20&#23500;&#20852;&#22269;&#38469;&#20013;&#2451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典型户型修正"/>
      <sheetName val="收益法（汇总）"/>
      <sheetName val="收益法办公"/>
      <sheetName val="收益法 (元)"/>
      <sheetName val="酒店收入计算"/>
      <sheetName val="比较法-住宅"/>
      <sheetName val="收益法短租约"/>
      <sheetName val="收益法长租约"/>
      <sheetName val="收益法超市"/>
      <sheetName val="收益法车库"/>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清单"/>
      <sheetName val="富兴国际出租情况"/>
      <sheetName val="短租约"/>
      <sheetName val="长租约"/>
      <sheetName val="办公楼、超市、车库租约"/>
      <sheetName val="测绘报告"/>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收益法超市</v>
          </cell>
        </row>
        <row r="18">
          <cell r="A18" t="str">
            <v>办公楼</v>
          </cell>
          <cell r="B18" t="str">
            <v>收益法车库</v>
          </cell>
        </row>
        <row r="19">
          <cell r="A19" t="str">
            <v>宿舍</v>
          </cell>
          <cell r="B19" t="str">
            <v>收益法短租约</v>
          </cell>
        </row>
        <row r="20">
          <cell r="A20" t="str">
            <v>食堂</v>
          </cell>
          <cell r="B20" t="str">
            <v>收益法长租约</v>
          </cell>
        </row>
        <row r="21">
          <cell r="A21" t="str">
            <v>车库</v>
          </cell>
          <cell r="B21" t="str">
            <v>典型户型修正</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1号办公楼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较少</v>
          </cell>
          <cell r="G90" t="str">
            <v>少</v>
          </cell>
        </row>
        <row r="92">
          <cell r="B92" t="str">
            <v>楼层</v>
          </cell>
          <cell r="C92" t="str">
            <v>1层</v>
          </cell>
        </row>
        <row r="100">
          <cell r="B100" t="str">
            <v>商业类型</v>
          </cell>
          <cell r="C100" t="str">
            <v>集中式商业</v>
          </cell>
          <cell r="D100" t="str">
            <v>商业街</v>
          </cell>
          <cell r="E100" t="str">
            <v>独栋商业</v>
          </cell>
          <cell r="F100" t="str">
            <v>办公底商</v>
          </cell>
          <cell r="G100" t="str">
            <v>住宅底商</v>
          </cell>
        </row>
        <row r="105">
          <cell r="B105" t="str">
            <v>建筑结构</v>
          </cell>
          <cell r="C105" t="str">
            <v>钢混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简装</v>
          </cell>
          <cell r="F122" t="str">
            <v>毛坯</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简装</v>
          </cell>
          <cell r="F83" t="str">
            <v>毛坯</v>
          </cell>
        </row>
        <row r="88">
          <cell r="B88" t="str">
            <v>物业等级</v>
          </cell>
          <cell r="C88" t="str">
            <v>专业</v>
          </cell>
          <cell r="D88" t="str">
            <v>普通</v>
          </cell>
        </row>
        <row r="93">
          <cell r="B93" t="str">
            <v>车位类型</v>
          </cell>
          <cell r="C93" t="str">
            <v>办公车位</v>
          </cell>
          <cell r="D93" t="str">
            <v>住宅车位</v>
          </cell>
        </row>
        <row r="95">
          <cell r="B95" t="str">
            <v>是否直接入户</v>
          </cell>
          <cell r="C95" t="str">
            <v>是</v>
          </cell>
          <cell r="D95" t="str">
            <v>否</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refreshError="1"/>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办公"/>
      <sheetName val="收益法 (元)"/>
      <sheetName val="酒店收入计算"/>
      <sheetName val="比较法-住宅"/>
      <sheetName val="收益法短租约"/>
      <sheetName val="收益法长租约"/>
      <sheetName val="收益法超市"/>
      <sheetName val="比较法-车位"/>
      <sheetName val="收益法车库"/>
      <sheetName val="比较法-办公"/>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清单"/>
      <sheetName val="富兴国际出租情况"/>
      <sheetName val="短租约"/>
      <sheetName val="长租约"/>
      <sheetName val="办公楼、超市、车库租约"/>
      <sheetName val="成本法（废）"/>
      <sheetName val="区片价"/>
      <sheetName val="因素修正幅度"/>
      <sheetName val="存贷款利率"/>
      <sheetName val="区片价（范围）"/>
      <sheetName val="车库测绘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收益法超市</v>
          </cell>
        </row>
        <row r="18">
          <cell r="A18" t="str">
            <v>办公楼</v>
          </cell>
          <cell r="B18" t="str">
            <v>收益法车库</v>
          </cell>
        </row>
        <row r="19">
          <cell r="A19" t="str">
            <v>宿舍</v>
          </cell>
          <cell r="B19" t="str">
            <v>收益法短租约</v>
          </cell>
        </row>
        <row r="20">
          <cell r="A20" t="str">
            <v>食堂</v>
          </cell>
          <cell r="B20" t="str">
            <v>收益法长租约</v>
          </cell>
        </row>
        <row r="21">
          <cell r="A21" t="str">
            <v>车库</v>
          </cell>
          <cell r="B21" t="str">
            <v>典型户型修正</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1号办公楼</v>
          </cell>
        </row>
        <row r="20">
          <cell r="C20" t="str">
            <v>短租约</v>
          </cell>
        </row>
        <row r="21">
          <cell r="C21" t="str">
            <v>长租约</v>
          </cell>
        </row>
        <row r="22">
          <cell r="C22" t="str">
            <v>地下超市</v>
          </cell>
        </row>
        <row r="23">
          <cell r="C23"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ow r="14">
          <cell r="B14">
            <v>12246.83</v>
          </cell>
        </row>
      </sheetData>
      <sheetData sheetId="17">
        <row r="19">
          <cell r="G19">
            <v>3638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efreshError="1"/>
      <sheetData sheetId="28" refreshError="1"/>
      <sheetData sheetId="29">
        <row r="51">
          <cell r="A51" t="str">
            <v>交易情况</v>
          </cell>
          <cell r="C51" t="str">
            <v>正常</v>
          </cell>
        </row>
        <row r="53">
          <cell r="B53" t="str">
            <v>用途</v>
          </cell>
          <cell r="C53" t="str">
            <v>车库</v>
          </cell>
        </row>
        <row r="71">
          <cell r="B71" t="str">
            <v>楼层</v>
          </cell>
        </row>
        <row r="79">
          <cell r="B79" t="str">
            <v>配套类型（地上主用途）</v>
          </cell>
          <cell r="C79" t="str">
            <v>办公</v>
          </cell>
          <cell r="D79" t="str">
            <v>住宅</v>
          </cell>
        </row>
        <row r="83">
          <cell r="B83" t="str">
            <v>公共部分装修</v>
          </cell>
          <cell r="C83" t="str">
            <v>精装修</v>
          </cell>
          <cell r="D83" t="str">
            <v>普通装修</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0" refreshError="1"/>
      <sheetData sheetId="31">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2">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较少</v>
          </cell>
          <cell r="G90" t="str">
            <v>少</v>
          </cell>
        </row>
        <row r="92">
          <cell r="B92" t="str">
            <v>楼层</v>
          </cell>
          <cell r="C92" t="str">
            <v>1层</v>
          </cell>
        </row>
        <row r="100">
          <cell r="B100" t="str">
            <v>商业类型</v>
          </cell>
          <cell r="C100" t="str">
            <v>集中式商业</v>
          </cell>
          <cell r="D100" t="str">
            <v>商业街</v>
          </cell>
          <cell r="E100" t="str">
            <v>独栋商业</v>
          </cell>
          <cell r="F100" t="str">
            <v>办公底商</v>
          </cell>
          <cell r="G100" t="str">
            <v>住宅底商</v>
          </cell>
        </row>
        <row r="105">
          <cell r="B105" t="str">
            <v>建筑结构</v>
          </cell>
          <cell r="C105" t="str">
            <v>钢混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简装</v>
          </cell>
          <cell r="F122" t="str">
            <v>毛坯</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refreshError="1"/>
      <sheetData sheetId="40" refreshError="1"/>
      <sheetData sheetId="41" refreshError="1"/>
      <sheetData sheetId="42">
        <row r="5">
          <cell r="B5" t="str">
            <v>子母车位</v>
          </cell>
          <cell r="C5" t="str">
            <v>是</v>
          </cell>
          <cell r="D5" t="str">
            <v>否</v>
          </cell>
          <cell r="T5">
            <v>10</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比较法-办公"/>
      <sheetName val="典型户型修正办公"/>
      <sheetName val="结果表车库"/>
      <sheetName val="收益法车位"/>
      <sheetName val="比较法-车位"/>
      <sheetName val="典型户型修正车位"/>
      <sheetName val="结果表商业"/>
      <sheetName val="比较法-商业"/>
      <sheetName val="典型户型修正商业"/>
      <sheetName val="收益法（汇总）"/>
      <sheetName val="收益法短租约"/>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长租约"/>
      <sheetName val="收益法地下商业"/>
      <sheetName val="清单"/>
      <sheetName val="原始租约"/>
      <sheetName val="短租约"/>
      <sheetName val="长租约"/>
      <sheetName val="地下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收益法短租约</v>
          </cell>
        </row>
        <row r="19">
          <cell r="A19" t="str">
            <v>宿舍</v>
          </cell>
          <cell r="B19" t="str">
            <v>收益法车位</v>
          </cell>
        </row>
        <row r="20">
          <cell r="A20" t="str">
            <v>食堂</v>
          </cell>
          <cell r="B20" t="str">
            <v>收益法长租约</v>
          </cell>
        </row>
        <row r="21">
          <cell r="A21" t="str">
            <v>车库</v>
          </cell>
          <cell r="B21" t="str">
            <v>收益法地下商业</v>
          </cell>
        </row>
        <row r="22">
          <cell r="A22" t="str">
            <v>戊类库房</v>
          </cell>
          <cell r="B22" t="str">
            <v>典型户型修正商业</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21">
          <cell r="C21" t="str">
            <v>短租约</v>
          </cell>
        </row>
        <row r="22">
          <cell r="C22" t="str">
            <v>长租约</v>
          </cell>
        </row>
        <row r="23">
          <cell r="C23" t="str">
            <v>地下商业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9">
          <cell r="G19">
            <v>43677</v>
          </cell>
        </row>
        <row r="102">
          <cell r="H102">
            <v>21948</v>
          </cell>
        </row>
      </sheetData>
      <sheetData sheetId="18" refreshError="1"/>
      <sheetData sheetId="19" refreshError="1"/>
      <sheetData sheetId="20" refreshError="1"/>
      <sheetData sheetId="21" refreshError="1"/>
      <sheetData sheetId="22" refreshError="1"/>
      <sheetData sheetId="23">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5" refreshError="1"/>
      <sheetData sheetId="26" refreshError="1"/>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efreshError="1"/>
      <sheetData sheetId="29" refreshError="1"/>
      <sheetData sheetId="30">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较少</v>
          </cell>
          <cell r="G90" t="str">
            <v>少</v>
          </cell>
        </row>
        <row r="92">
          <cell r="B92" t="str">
            <v>楼层</v>
          </cell>
          <cell r="C92">
            <v>1</v>
          </cell>
          <cell r="D92" t="str">
            <v>1-2</v>
          </cell>
          <cell r="E92">
            <v>2</v>
          </cell>
          <cell r="F92">
            <v>3</v>
          </cell>
          <cell r="G92" t="str">
            <v>3-4</v>
          </cell>
          <cell r="H92" t="str">
            <v>4</v>
          </cell>
          <cell r="I92" t="str">
            <v>5</v>
          </cell>
          <cell r="J92" t="str">
            <v>-1</v>
          </cell>
        </row>
        <row r="100">
          <cell r="B100" t="str">
            <v>商业类型</v>
          </cell>
          <cell r="C100" t="str">
            <v>集中式商业</v>
          </cell>
          <cell r="D100" t="str">
            <v>商业街</v>
          </cell>
          <cell r="E100" t="str">
            <v>独栋商业</v>
          </cell>
          <cell r="F100" t="str">
            <v>办公底商</v>
          </cell>
          <cell r="G100" t="str">
            <v>住宅底商</v>
          </cell>
        </row>
        <row r="105">
          <cell r="B105" t="str">
            <v>建筑结构</v>
          </cell>
          <cell r="C105" t="str">
            <v>钢混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简装</v>
          </cell>
          <cell r="F122" t="str">
            <v>毛坯</v>
          </cell>
        </row>
      </sheetData>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efreshError="1"/>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北京市北京经济技术开发区天华北街11号院1号楼，2号楼，3号楼，4幢等部分办公、商业用房房地产抵押价值评估房地产抵押价值预评估</v>
      </c>
    </row>
    <row r="3" spans="1:2" s="1591" customFormat="1">
      <c r="A3" s="1589" t="s">
        <v>1217</v>
      </c>
      <c r="B3" s="1590" t="str">
        <f>'预评函-封皮'!B40</f>
        <v>北京富兴金地置业有限公司</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受贵公司委托，我公司对北京市北京经济技术开发区天华北街11号院1号楼，2号楼，3号楼，4幢等部分办公、商业用房房地产抵押价值评估房地产抵押价值进行了预评估。</v>
      </c>
    </row>
    <row r="7" spans="1:2" s="1591" customFormat="1">
      <c r="A7" s="1589" t="s">
        <v>1260</v>
      </c>
      <c r="B7" s="1590" t="str">
        <f>'预评函-1'!A7</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11508.72平方米，建筑面积为51884.22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11508.72平方米，规划建筑面积为51884.22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为估价委托人在向浦发银行清华园支行办理贷款手续过程中，确定房地产抵押贷款额度提供参考依据而评估房地产抵押价值。</v>
      </c>
    </row>
    <row r="12" spans="1:2" s="1591" customFormat="1">
      <c r="A12" s="1589" t="s">
        <v>1222</v>
      </c>
      <c r="B12" s="1590" t="str">
        <f>'预评函-1'!A15</f>
        <v>2019年5月17日（评估专业人员实地查勘之日）</v>
      </c>
    </row>
    <row r="13" spans="1:2" s="1591" customFormat="1">
      <c r="A13" s="1589" t="s">
        <v>1223</v>
      </c>
      <c r="B13" s="1590" t="str">
        <f>'预评函-1'!A18</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4" spans="1:2" s="1591" customFormat="1">
      <c r="A14" s="1589" t="s">
        <v>1224</v>
      </c>
      <c r="B14" s="1590" t="str">
        <f>'预评函-1'!A19</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64092</v>
      </c>
    </row>
    <row r="21" spans="1:2" s="1591" customFormat="1">
      <c r="A21" s="1589" t="s">
        <v>1231</v>
      </c>
      <c r="B21" s="1590">
        <f ca="1">'预评函-2'!D7</f>
        <v>32473</v>
      </c>
    </row>
    <row r="22" spans="1:2" s="1591" customFormat="1">
      <c r="A22" s="1589" t="s">
        <v>1232</v>
      </c>
      <c r="B22" s="1590" t="str">
        <f ca="1">'预评函-2'!D6</f>
        <v>陆亿肆仟零玖拾贰万元整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64092</v>
      </c>
    </row>
    <row r="31" spans="1:2" s="1591" customFormat="1">
      <c r="A31" s="1589" t="s">
        <v>1270</v>
      </c>
      <c r="B31" s="1590">
        <f ca="1">'预评函-2'!D15</f>
        <v>12353</v>
      </c>
    </row>
    <row r="32" spans="1:2" s="1591" customFormat="1">
      <c r="A32" s="1589" t="s">
        <v>1237</v>
      </c>
      <c r="B32" s="1590" t="str">
        <f ca="1">'预评函-2'!D14</f>
        <v>陆亿肆仟零玖拾贰万元整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北京市北京经济技术开发区天华北街11号院1号楼，2号楼，3号楼，4幢等部分办公、商业用房房地产抵押价值评估房地产</v>
      </c>
    </row>
    <row r="42" spans="1:2" s="1591" customFormat="1">
      <c r="A42" s="1589" t="s">
        <v>1284</v>
      </c>
      <c r="B42" s="1590" t="str">
        <f>'预评函-3'!B2</f>
        <v>建筑面积</v>
      </c>
    </row>
    <row r="43" spans="1:2" s="1591" customFormat="1">
      <c r="A43" s="1589" t="s">
        <v>1285</v>
      </c>
      <c r="B43" s="1590">
        <f>'预评函-3'!B4</f>
        <v>51884.22</v>
      </c>
    </row>
    <row r="44" spans="1:2" s="1591" customFormat="1">
      <c r="A44" s="1589" t="s">
        <v>1269</v>
      </c>
      <c r="B44" s="1590" t="str">
        <f>'预评函-3'!C2</f>
        <v>(分摊)土地面积</v>
      </c>
    </row>
    <row r="45" spans="1:2" s="1591" customFormat="1">
      <c r="A45" s="1589" t="s">
        <v>1241</v>
      </c>
      <c r="B45" s="1590">
        <f>'预评函-3'!C4</f>
        <v>11508.72</v>
      </c>
    </row>
    <row r="46" spans="1:2" s="1591" customFormat="1">
      <c r="A46" s="1589" t="s">
        <v>1267</v>
      </c>
      <c r="B46" s="1590" t="str">
        <f>'预评函-3'!D2</f>
        <v>出让国有建设用地使用权价值</v>
      </c>
    </row>
    <row r="47" spans="1:2" s="1591" customFormat="1">
      <c r="A47" s="1589" t="s">
        <v>1242</v>
      </c>
      <c r="B47" s="1590">
        <f ca="1">'预评函-3'!D4</f>
        <v>49992</v>
      </c>
    </row>
    <row r="48" spans="1:2" s="1591" customFormat="1">
      <c r="A48" s="1589" t="s">
        <v>1243</v>
      </c>
      <c r="B48" s="1590">
        <f ca="1">'预评函-3'!E4</f>
        <v>25329</v>
      </c>
    </row>
    <row r="49" spans="1:2" s="1591" customFormat="1">
      <c r="A49" s="1589" t="s">
        <v>1244</v>
      </c>
      <c r="B49" s="1590" t="str">
        <f ca="1">'预评函-3'!D5</f>
        <v>肆亿玖仟玖佰玖拾贰万元整</v>
      </c>
    </row>
    <row r="50" spans="1:2" s="1591" customFormat="1">
      <c r="A50" s="1589" t="s">
        <v>1268</v>
      </c>
      <c r="B50" s="1590" t="str">
        <f>'预评函-3'!F2</f>
        <v>在建建筑物价值</v>
      </c>
    </row>
    <row r="51" spans="1:2" s="1591" customFormat="1">
      <c r="A51" s="1589" t="s">
        <v>1245</v>
      </c>
      <c r="B51" s="1590">
        <f ca="1">'预评函-3'!F4</f>
        <v>14100</v>
      </c>
    </row>
    <row r="52" spans="1:2" s="1591" customFormat="1">
      <c r="A52" s="1589" t="s">
        <v>1246</v>
      </c>
      <c r="B52" s="1590">
        <f ca="1">'预评函-3'!G4</f>
        <v>7144</v>
      </c>
    </row>
    <row r="53" spans="1:2" s="1591" customFormat="1">
      <c r="A53" s="1589" t="s">
        <v>1274</v>
      </c>
      <c r="B53" s="1590" t="str">
        <f ca="1">'预评函-3'!F5</f>
        <v>壹亿肆仟壹佰万元整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（1）根据估价对象《房屋所有权证》复印件、《国有土地使用权》复印件，截至价值时点，估价对象已设定抵押。上述抵押权设定日期为，权利人为，权利范围为，权利价值为。</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3173</v>
      </c>
      <c r="C17" s="2013"/>
    </row>
    <row r="18" spans="1:3">
      <c r="A18" s="2012" t="s">
        <v>1763</v>
      </c>
      <c r="B18" s="2012" t="s">
        <v>3175</v>
      </c>
      <c r="C18" s="2013"/>
    </row>
    <row r="19" spans="1:3">
      <c r="A19" s="2012" t="s">
        <v>1764</v>
      </c>
      <c r="B19" s="2012" t="s">
        <v>3177</v>
      </c>
      <c r="C19" s="2013"/>
    </row>
    <row r="20" spans="1:3">
      <c r="A20" s="2012" t="s">
        <v>1765</v>
      </c>
      <c r="B20" s="2012" t="s">
        <v>3179</v>
      </c>
      <c r="C20" s="2013"/>
    </row>
    <row r="21" spans="1:3">
      <c r="A21" s="2012" t="s">
        <v>1766</v>
      </c>
      <c r="B21" s="2012" t="s">
        <v>3181</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为估价委托人在向浦发银行清华园支行办理贷款手续过程中，确定房地产抵押贷款额度提供参考依据而评估房地产抵押价值。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兴金地置业有限公司拟使用北京市北京经济技术开发区天华北街11号院1号楼，2号楼，3号楼，4幢等部分办公、商业用房房地产抵押价值评估房地产作为抵押担保物，向浦发银行清华园支行办理贷款手续。浦发银行清华园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XX年(多用途剩余年限尾数不同时，可只体现小数点后一位)，假定未设立法定优先受偿款下的房地产市场价值。</v>
      </c>
    </row>
    <row r="54" spans="1:4">
      <c r="A54" s="3048"/>
      <c r="B54" s="2020" t="s">
        <v>861</v>
      </c>
      <c r="C54" s="2017" t="s">
        <v>1277</v>
      </c>
    </row>
    <row r="55" spans="1:4">
      <c r="A55" s="3048"/>
      <c r="B55" s="2020" t="s">
        <v>862</v>
      </c>
      <c r="C55" s="2017" t="s">
        <v>1278</v>
      </c>
    </row>
    <row r="56" spans="1:4">
      <c r="A56" s="3048"/>
      <c r="B56" s="2020" t="s">
        <v>863</v>
      </c>
      <c r="C56" s="2017" t="s">
        <v>1282</v>
      </c>
    </row>
    <row r="57" spans="1:4">
      <c r="A57" s="304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7" sqref="G37"/>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1772</v>
      </c>
      <c r="B1" s="3049" t="str">
        <f>IF(B10="北京市","北京市",C10)&amp;F10&amp;IF(结果表办公!G1="在建","出让国有建设用地使用权及在建建筑物",IF(结果表办公!G1="土地","出让国有建设用地使用权",))&amp;B9&amp;"预评估"</f>
        <v>北京市北京经济技术开发区天华北街11号院1号楼，2号楼，3号楼，4幢等部分办公、商业用房房地产抵押价值评估房地产抵押价值预评估</v>
      </c>
      <c r="C1" s="3050"/>
      <c r="D1" s="3050"/>
      <c r="E1" s="3050"/>
      <c r="F1" s="3050"/>
      <c r="G1" s="3050"/>
      <c r="H1" s="3050"/>
      <c r="I1" s="3051"/>
      <c r="J1" s="2024"/>
      <c r="K1" s="2025"/>
      <c r="L1" s="2026"/>
      <c r="M1" s="2026"/>
      <c r="N1" s="2027"/>
      <c r="O1" s="2028"/>
      <c r="P1" s="2027"/>
      <c r="Q1" s="2027"/>
      <c r="R1" s="2027"/>
      <c r="S1" s="2029" t="str">
        <f>IF(B10="北京市","北京市",C10)&amp;F10&amp;IF(结果表办公!G1="在建","出让国有建设用地使用权及在建建筑物房地产抵押价值",IF(结果表办公!G1="土地","出让国有建设用地使用权抵押价值",B9))</f>
        <v>北京市北京经济技术开发区天华北街11号院1号楼，2号楼，3号楼，4幢等部分办公、商业用房房地产抵押价值评估房地产抵押价值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IF(B10="北京市","北京市",C10)&amp;F10&amp;IF(结果表办公!G1="在建","出让国有建设用地使用权及在建建筑物房地产",IF(结果表办公!G1="土地","出让国有建设用地使用权","房地产"))</f>
        <v>北京市北京经济技术开发区天华北街11号院1号楼，2号楼，3号楼，4幢等部分办公、商业用房房地产抵押价值评估房地产</v>
      </c>
    </row>
    <row r="3" spans="1:19" ht="18" customHeight="1">
      <c r="A3" s="2033" t="s">
        <v>1774</v>
      </c>
      <c r="B3" s="2034">
        <v>43602</v>
      </c>
      <c r="C3" s="2035" t="s">
        <v>1775</v>
      </c>
      <c r="D3" s="2034">
        <v>43602</v>
      </c>
      <c r="E3" s="2024"/>
      <c r="F3" s="2024"/>
      <c r="G3" s="2024"/>
      <c r="H3" s="2024"/>
      <c r="I3" s="2024"/>
      <c r="J3" s="2024"/>
      <c r="K3" s="2025"/>
      <c r="L3" s="2026"/>
      <c r="M3" s="2026"/>
      <c r="N3" s="2027"/>
      <c r="O3" s="2028"/>
      <c r="P3" s="2027"/>
      <c r="Q3" s="2027"/>
      <c r="R3" s="2027"/>
      <c r="S3" s="2029"/>
    </row>
    <row r="4" spans="1:19" ht="18" customHeight="1" thickBot="1">
      <c r="A4" s="2036" t="s">
        <v>1776</v>
      </c>
      <c r="B4" s="2037" t="s">
        <v>3056</v>
      </c>
      <c r="C4" s="1035">
        <f ca="1">SUMIF(注册房地产估价师,B4,估价师及机构信息!B3:B24)</f>
        <v>1120070131</v>
      </c>
      <c r="D4" s="2037" t="s">
        <v>3057</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1777</v>
      </c>
      <c r="B5" s="2967" t="s">
        <v>3058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968" t="s">
        <v>3059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1779</v>
      </c>
      <c r="B7" s="2967" t="s">
        <v>3058</v>
      </c>
      <c r="C7" s="2046"/>
      <c r="D7" s="2047"/>
      <c r="E7" s="2032"/>
      <c r="F7" s="2040"/>
      <c r="G7" s="2040"/>
      <c r="H7" s="2040"/>
      <c r="I7" s="2040"/>
      <c r="J7" s="2040"/>
      <c r="K7" s="2049"/>
      <c r="L7" s="2026"/>
      <c r="M7" s="2026"/>
      <c r="N7" s="2027"/>
      <c r="O7" s="2028"/>
      <c r="P7" s="2027"/>
      <c r="Q7" s="2027"/>
      <c r="R7" s="2027"/>
    </row>
    <row r="8" spans="1:19" ht="18" customHeight="1">
      <c r="A8" s="2045" t="s">
        <v>1780</v>
      </c>
      <c r="B8" s="2050" t="s">
        <v>3061</v>
      </c>
      <c r="C8" s="2051"/>
      <c r="D8" s="3052" t="s">
        <v>1781</v>
      </c>
      <c r="E8" s="2052" t="s">
        <v>3060</v>
      </c>
      <c r="F8" s="2053"/>
      <c r="G8" s="2024"/>
      <c r="H8" s="2024"/>
      <c r="I8" s="2024"/>
      <c r="J8" s="2040"/>
      <c r="K8" s="2041"/>
      <c r="L8" s="2026"/>
      <c r="M8" s="2026"/>
      <c r="N8" s="2027"/>
      <c r="O8" s="2028"/>
      <c r="P8" s="2027"/>
      <c r="Q8" s="2027"/>
      <c r="R8" s="2027"/>
    </row>
    <row r="9" spans="1:19" ht="18" customHeight="1" thickBot="1">
      <c r="A9" s="2038" t="s">
        <v>1782</v>
      </c>
      <c r="B9" s="2054" t="s">
        <v>3060</v>
      </c>
      <c r="C9" s="2055"/>
      <c r="D9" s="3053"/>
      <c r="E9" s="2054" t="s">
        <v>70</v>
      </c>
      <c r="F9" s="2056"/>
      <c r="G9" s="2057"/>
      <c r="H9" s="2057"/>
      <c r="I9" s="2057"/>
      <c r="J9" s="2040"/>
      <c r="K9" s="2049"/>
      <c r="L9" s="2026"/>
      <c r="M9" s="2026"/>
      <c r="N9" s="2027"/>
      <c r="O9" s="2028"/>
      <c r="P9" s="2027"/>
      <c r="Q9" s="2027"/>
      <c r="R9" s="2027"/>
    </row>
    <row r="10" spans="1:19" ht="18" customHeight="1" thickTop="1" thickBot="1">
      <c r="A10" s="2058" t="s">
        <v>1783</v>
      </c>
      <c r="B10" s="2059" t="s">
        <v>3062</v>
      </c>
      <c r="C10" s="2060"/>
      <c r="D10" s="2044"/>
      <c r="E10" s="2061" t="s">
        <v>1784</v>
      </c>
      <c r="F10" s="2969" t="s">
        <v>3063</v>
      </c>
      <c r="G10" s="2062"/>
      <c r="H10" s="2063"/>
      <c r="I10" s="2044"/>
      <c r="J10" s="2040"/>
      <c r="K10" s="2049"/>
      <c r="L10" s="2026"/>
      <c r="M10" s="2026"/>
      <c r="N10" s="2027"/>
      <c r="O10" s="2028"/>
      <c r="P10" s="2027"/>
      <c r="Q10" s="2027"/>
      <c r="R10" s="2027"/>
    </row>
    <row r="11" spans="1:19" ht="18" customHeight="1" thickTop="1">
      <c r="A11" s="2064" t="s">
        <v>1785</v>
      </c>
      <c r="B11" s="2065" t="s">
        <v>3064</v>
      </c>
      <c r="C11" s="2967" t="s">
        <v>3058</v>
      </c>
      <c r="D11" s="2066"/>
      <c r="E11" s="2040"/>
      <c r="F11" s="2040"/>
      <c r="G11" s="2040"/>
      <c r="H11" s="2040"/>
      <c r="I11" s="2040"/>
      <c r="J11" s="2040"/>
      <c r="K11" s="2049"/>
      <c r="L11" s="2026"/>
      <c r="M11" s="2026"/>
      <c r="N11" s="2027"/>
      <c r="O11" s="2028"/>
      <c r="P11" s="2027"/>
      <c r="Q11" s="2027"/>
      <c r="R11" s="2027"/>
    </row>
    <row r="12" spans="1:19" ht="18" customHeight="1">
      <c r="A12" s="2067" t="s">
        <v>1786</v>
      </c>
      <c r="B12" s="2065" t="s">
        <v>3065</v>
      </c>
      <c r="C12" s="2068" t="s">
        <v>1787</v>
      </c>
      <c r="D12" s="2069" t="s">
        <v>1788</v>
      </c>
      <c r="E12" s="2069" t="s">
        <v>1789</v>
      </c>
      <c r="F12" s="2069" t="s">
        <v>1790</v>
      </c>
      <c r="G12" s="2069" t="s">
        <v>1791</v>
      </c>
      <c r="H12" s="2069" t="s">
        <v>1792</v>
      </c>
      <c r="I12" s="2069" t="s">
        <v>1793</v>
      </c>
      <c r="J12" s="2040"/>
      <c r="K12" s="2049"/>
      <c r="L12" s="2026"/>
      <c r="M12" s="2026"/>
      <c r="N12" s="2027"/>
      <c r="O12" s="2028"/>
      <c r="P12" s="2027"/>
      <c r="Q12" s="2027"/>
      <c r="R12" s="2027"/>
    </row>
    <row r="13" spans="1:19" ht="18" customHeight="1">
      <c r="A13" s="2070"/>
      <c r="B13" s="2071"/>
      <c r="C13" s="2072" t="s">
        <v>1794</v>
      </c>
      <c r="D13" s="2073"/>
      <c r="E13" s="2073">
        <v>54036</v>
      </c>
      <c r="F13" s="2073">
        <v>57689</v>
      </c>
      <c r="G13" s="2073">
        <v>57689</v>
      </c>
      <c r="H13" s="2073"/>
      <c r="I13" s="1045"/>
      <c r="J13" s="2040"/>
      <c r="K13" s="2049"/>
      <c r="L13" s="2026"/>
      <c r="M13" s="2026"/>
      <c r="N13" s="2027"/>
      <c r="O13" s="2028"/>
      <c r="P13" s="2027"/>
      <c r="Q13" s="2027"/>
      <c r="R13" s="2027"/>
    </row>
    <row r="14" spans="1:19" ht="18" customHeight="1">
      <c r="A14" s="2070"/>
      <c r="B14" s="2071"/>
      <c r="C14" s="2072" t="s">
        <v>1795</v>
      </c>
      <c r="D14" s="1048"/>
      <c r="E14" s="1048">
        <v>40</v>
      </c>
      <c r="F14" s="1048">
        <v>50</v>
      </c>
      <c r="G14" s="1048">
        <v>50</v>
      </c>
      <c r="H14" s="1048"/>
      <c r="I14" s="1048"/>
      <c r="J14" s="2040"/>
      <c r="K14" s="2074"/>
      <c r="L14" s="2026"/>
      <c r="M14" s="2026"/>
      <c r="N14" s="2027"/>
      <c r="O14" s="2028"/>
      <c r="P14" s="2027"/>
      <c r="Q14" s="2027"/>
      <c r="R14" s="2027"/>
    </row>
    <row r="15" spans="1:19" ht="18" customHeight="1">
      <c r="A15" s="2058"/>
      <c r="B15" s="2075"/>
      <c r="C15" s="2072" t="s">
        <v>1796</v>
      </c>
      <c r="D15" s="1047" t="str">
        <f>IF(B12="出让",IF(D13="","",ROUNDDOWN(MIN((D13-$D$3)/365,D14),2)),D14)</f>
        <v/>
      </c>
      <c r="E15" s="1047">
        <f>IF(B12="出让",IF(E13="","",ROUNDDOWN(MIN((E13-$D$3)/365,E14),2)),E14)</f>
        <v>28.58</v>
      </c>
      <c r="F15" s="1047">
        <f>IF(B12="出让",IF(F13="","",ROUNDDOWN(MIN((F13-$D$3)/365,F14),2)),F14)</f>
        <v>38.590000000000003</v>
      </c>
      <c r="G15" s="1047">
        <f>IF(B12="出让",IF(G13="","",ROUNDDOWN(MIN((G13-$D$3)/365,G14),2)),G14)</f>
        <v>38.590000000000003</v>
      </c>
      <c r="H15" s="1047" t="str">
        <f>IF(B12="出让",IF(H13="","",ROUNDDOWN(MIN((H13-$D$3)/365,H14),2)),H14)</f>
        <v/>
      </c>
      <c r="I15" s="1047" t="str">
        <f>IF(B12="出让",IF(I13="","",ROUNDDOWN(MIN((I13-$D$3)/365,I14),2)),I14)</f>
        <v/>
      </c>
      <c r="J15" s="2040"/>
      <c r="K15" s="2076"/>
      <c r="L15" s="2077"/>
      <c r="M15" s="2077"/>
      <c r="N15" s="2078"/>
      <c r="O15" s="2077"/>
      <c r="P15" s="2078"/>
      <c r="Q15" s="2027"/>
      <c r="R15" s="2027"/>
    </row>
    <row r="16" spans="1:19" ht="30.75" customHeight="1">
      <c r="A16" s="2061" t="s">
        <v>1797</v>
      </c>
      <c r="B16" s="3059" t="s">
        <v>3066</v>
      </c>
      <c r="C16" s="3060"/>
      <c r="D16" s="3061"/>
      <c r="E16" s="2079" t="s">
        <v>1798</v>
      </c>
      <c r="F16" s="3062" t="s">
        <v>3067</v>
      </c>
      <c r="G16" s="3063"/>
      <c r="H16" s="3063"/>
      <c r="I16" s="3064"/>
      <c r="J16" s="2027"/>
      <c r="K16" s="2076"/>
      <c r="L16" s="2077"/>
      <c r="M16" s="2077"/>
      <c r="N16" s="2078"/>
      <c r="O16" s="2077"/>
      <c r="P16" s="2078"/>
      <c r="Q16" s="2027"/>
      <c r="R16" s="2027"/>
    </row>
    <row r="17" spans="1:22" ht="18" customHeight="1">
      <c r="A17" s="2080" t="s">
        <v>1799</v>
      </c>
      <c r="B17" s="2033" t="s">
        <v>1800</v>
      </c>
      <c r="C17" s="1052">
        <f>'数据-汇总表'!E3</f>
        <v>51884.22</v>
      </c>
      <c r="D17" s="2081" t="s">
        <v>1801</v>
      </c>
      <c r="E17" s="3065" t="s">
        <v>1802</v>
      </c>
      <c r="F17" s="3066"/>
      <c r="G17" s="3066"/>
      <c r="H17" s="3066"/>
      <c r="I17" s="3067"/>
      <c r="J17" s="2027"/>
      <c r="K17" s="2082"/>
      <c r="L17" s="2077"/>
      <c r="M17" s="2077"/>
      <c r="N17" s="2078"/>
      <c r="O17" s="2077"/>
      <c r="P17" s="2078"/>
      <c r="Q17" s="2027"/>
      <c r="R17" s="2027"/>
      <c r="S17" s="2027"/>
      <c r="T17" s="2027"/>
      <c r="U17" s="2027"/>
      <c r="V17" s="2027"/>
    </row>
    <row r="18" spans="1:22" ht="36" customHeight="1" thickBot="1">
      <c r="A18" s="2083" t="s">
        <v>1803</v>
      </c>
      <c r="B18" s="2036" t="s">
        <v>1804</v>
      </c>
      <c r="C18" s="1442">
        <f>'数据-汇总表'!D3</f>
        <v>11508.72</v>
      </c>
      <c r="D18" s="2084" t="s">
        <v>1801</v>
      </c>
      <c r="E18" s="3068" t="s">
        <v>1805</v>
      </c>
      <c r="F18" s="3069"/>
      <c r="G18" s="3069"/>
      <c r="H18" s="3069"/>
      <c r="I18" s="3070"/>
      <c r="J18" s="2027"/>
      <c r="K18" s="2082"/>
      <c r="L18" s="2077"/>
      <c r="M18" s="2077"/>
      <c r="N18" s="2078"/>
      <c r="O18" s="2077"/>
      <c r="P18" s="2078"/>
      <c r="Q18" s="2027"/>
      <c r="R18" s="2027"/>
      <c r="S18" s="2027"/>
      <c r="T18" s="2027"/>
      <c r="U18" s="2027"/>
      <c r="V18" s="2027"/>
    </row>
    <row r="19" spans="1:22" ht="37.5" customHeight="1" thickTop="1" thickBot="1">
      <c r="A19" s="373" t="s">
        <v>1806</v>
      </c>
      <c r="B19" s="352" t="s">
        <v>1807</v>
      </c>
      <c r="C19" s="2085" t="s">
        <v>3068</v>
      </c>
      <c r="D19" s="2086" t="s">
        <v>1808</v>
      </c>
      <c r="E19" s="2087" t="s">
        <v>3068</v>
      </c>
      <c r="F19" s="2088" t="str">
        <f>IF(AND(C19="是",E19="否"),"是否提供他项权证或相关说明","")</f>
        <v/>
      </c>
      <c r="G19" s="2089" t="s">
        <v>3069</v>
      </c>
      <c r="H19" s="2040"/>
      <c r="I19" s="2040"/>
      <c r="J19" s="2040"/>
      <c r="K19" s="2049"/>
      <c r="L19" s="2026"/>
      <c r="M19" s="2026"/>
      <c r="N19" s="2078"/>
      <c r="O19" s="2077"/>
      <c r="P19" s="2078"/>
      <c r="Q19" s="2027"/>
      <c r="R19" s="2027"/>
      <c r="S19" s="2027"/>
      <c r="T19" s="2027"/>
      <c r="U19" s="2027"/>
      <c r="V19" s="2027"/>
    </row>
    <row r="20" spans="1:22" ht="18" customHeight="1">
      <c r="A20" s="2090" t="s">
        <v>1809</v>
      </c>
      <c r="B20" s="3055" t="s">
        <v>1810</v>
      </c>
      <c r="C20" s="3056"/>
      <c r="D20" s="3057" t="s">
        <v>1811</v>
      </c>
      <c r="E20" s="3058"/>
      <c r="F20" s="2091" t="s">
        <v>1812</v>
      </c>
      <c r="G20" s="2040"/>
      <c r="H20" s="2040"/>
      <c r="I20" s="2040"/>
      <c r="J20" s="2040"/>
      <c r="K20" s="3054" t="s">
        <v>1813</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8"/>
      <c r="O20" s="2077"/>
      <c r="P20" s="2078"/>
      <c r="Q20" s="2027"/>
      <c r="R20" s="2027"/>
      <c r="S20" s="2027"/>
      <c r="T20" s="2027"/>
      <c r="U20" s="2027"/>
      <c r="V20" s="2027"/>
    </row>
    <row r="21" spans="1:22" ht="24.75" customHeight="1">
      <c r="A21" s="2090"/>
      <c r="B21" s="2092" t="s">
        <v>1814</v>
      </c>
      <c r="C21" s="2093" t="s">
        <v>3070</v>
      </c>
      <c r="D21" s="2094" t="s">
        <v>1816</v>
      </c>
      <c r="E21" s="2095" t="s">
        <v>1815</v>
      </c>
      <c r="F21" s="2096"/>
      <c r="G21" s="2040"/>
      <c r="H21" s="2040"/>
      <c r="I21" s="2040"/>
      <c r="J21" s="2040"/>
      <c r="K21" s="305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8"/>
      <c r="O21" s="2077"/>
      <c r="P21" s="2078"/>
      <c r="Q21" s="2027"/>
      <c r="R21" s="2027"/>
      <c r="S21" s="2027"/>
      <c r="T21" s="2027"/>
      <c r="U21" s="2027"/>
      <c r="V21" s="2027"/>
    </row>
    <row r="22" spans="1:22" ht="24.75" customHeight="1" thickBot="1">
      <c r="A22" s="2090"/>
      <c r="B22" s="2097" t="s">
        <v>1817</v>
      </c>
      <c r="C22" s="2093" t="s">
        <v>1818</v>
      </c>
      <c r="D22" s="2024"/>
      <c r="E22" s="2024"/>
      <c r="F22" s="2098"/>
      <c r="G22" s="2040"/>
      <c r="H22" s="2040"/>
      <c r="I22" s="2040"/>
      <c r="J22" s="2040"/>
      <c r="K22" s="3054"/>
      <c r="L22" s="746"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1819</v>
      </c>
      <c r="B23" s="183" t="s">
        <v>1820</v>
      </c>
      <c r="C23" s="2100"/>
      <c r="D23" s="2101" t="s">
        <v>1820</v>
      </c>
      <c r="E23" s="2102"/>
      <c r="F23" s="2098"/>
      <c r="G23" s="2040"/>
      <c r="H23" s="2040"/>
      <c r="I23" s="2040"/>
      <c r="J23" s="2040"/>
      <c r="K23" s="2103"/>
      <c r="L23" s="746"/>
      <c r="M23" s="2026"/>
      <c r="N23" s="2078"/>
      <c r="O23" s="2077"/>
      <c r="P23" s="2078"/>
      <c r="Q23" s="2027"/>
      <c r="R23" s="2027"/>
      <c r="S23" s="2027"/>
      <c r="T23" s="2027"/>
      <c r="U23" s="2027"/>
      <c r="V23" s="2027"/>
    </row>
    <row r="24" spans="1:22" ht="18" customHeight="1">
      <c r="A24" s="2104"/>
      <c r="B24" s="183" t="s">
        <v>1821</v>
      </c>
      <c r="C24" s="2105"/>
      <c r="D24" s="2099" t="s">
        <v>1821</v>
      </c>
      <c r="E24" s="2106"/>
      <c r="F24" s="2098"/>
      <c r="G24" s="2040"/>
      <c r="H24" s="2040"/>
      <c r="I24" s="2040"/>
      <c r="J24" s="2040"/>
      <c r="K24" s="2103"/>
      <c r="L24" s="746"/>
      <c r="M24" s="2026"/>
      <c r="N24" s="2078"/>
      <c r="O24" s="2077"/>
      <c r="P24" s="2078"/>
      <c r="Q24" s="2027"/>
      <c r="R24" s="2027"/>
      <c r="S24" s="2027"/>
      <c r="T24" s="2027"/>
      <c r="U24" s="2027"/>
      <c r="V24" s="2027"/>
    </row>
    <row r="25" spans="1:22" ht="18" customHeight="1">
      <c r="A25" s="2104"/>
      <c r="B25" s="183" t="s">
        <v>1822</v>
      </c>
      <c r="C25" s="2105"/>
      <c r="D25" s="2099" t="s">
        <v>1822</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1823</v>
      </c>
      <c r="C26" s="2109"/>
      <c r="D26" s="2110" t="s">
        <v>1824</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72" t="s">
        <v>1825</v>
      </c>
      <c r="B27" s="2058" t="s">
        <v>1826</v>
      </c>
      <c r="C27" s="2113" t="s">
        <v>3071</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72"/>
      <c r="B28" s="2033" t="s">
        <v>1827</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72"/>
      <c r="B29" s="2033" t="s">
        <v>1828</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73"/>
      <c r="B30" s="2033" t="s">
        <v>1829</v>
      </c>
      <c r="C30" s="3074"/>
      <c r="D30" s="3075"/>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76" t="s">
        <v>1830</v>
      </c>
      <c r="B31" s="2120" t="s">
        <v>3072</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77"/>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77"/>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1831</v>
      </c>
      <c r="B34" s="2127" t="s">
        <v>3073</v>
      </c>
      <c r="C34" s="2127" t="s">
        <v>3074</v>
      </c>
      <c r="D34" s="2127" t="s">
        <v>3075</v>
      </c>
      <c r="E34" s="2127" t="s">
        <v>3076</v>
      </c>
      <c r="F34" s="2127" t="s">
        <v>3077</v>
      </c>
      <c r="G34" s="2127" t="s">
        <v>3078</v>
      </c>
      <c r="H34" s="2127"/>
      <c r="I34" s="2040"/>
      <c r="J34" s="2040"/>
      <c r="K34" s="1793">
        <f>COUNTIF(B34:H34,"——")</f>
        <v>0</v>
      </c>
      <c r="L34" s="2068" t="s">
        <v>1832</v>
      </c>
      <c r="M34" s="2068" t="s">
        <v>1833</v>
      </c>
      <c r="N34" s="2068" t="s">
        <v>1834</v>
      </c>
      <c r="O34" s="2068" t="s">
        <v>1835</v>
      </c>
      <c r="P34" s="2068" t="s">
        <v>1836</v>
      </c>
      <c r="Q34" s="2068" t="s">
        <v>1837</v>
      </c>
      <c r="R34" s="2068" t="s">
        <v>1838</v>
      </c>
      <c r="S34" s="3071" t="s">
        <v>1839</v>
      </c>
      <c r="T34" s="2128" t="str">
        <f>NUMBERSTRING(7-K34,1)&amp;"通"</f>
        <v>七通</v>
      </c>
      <c r="U34" s="2027"/>
      <c r="V34" s="2027"/>
    </row>
    <row r="35" spans="1:22" ht="18" customHeight="1">
      <c r="A35" s="2129"/>
      <c r="B35" s="3078" t="s">
        <v>1840</v>
      </c>
      <c r="C35" s="3078"/>
      <c r="D35" s="3078"/>
      <c r="E35" s="3078"/>
      <c r="F35" s="2130">
        <f>C10</f>
        <v>0</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1"/>
      <c r="T35" s="48" t="str">
        <f>IF(T34="一通",L35,IF(T34="二通",M35,IF(T34="三通",N35,IF(T34="四通",O35,IF(T34="五通",P35,IF(T34="六通",Q35,R35))))))</f>
        <v>通路、通电、通讯、通上水、通下水、燃气、</v>
      </c>
      <c r="U35" s="2027"/>
      <c r="V35" s="2027"/>
    </row>
    <row r="36" spans="1:22" ht="18" customHeight="1">
      <c r="A36" s="2131"/>
      <c r="B36" s="2130" t="s">
        <v>1841</v>
      </c>
      <c r="C36" s="2130" t="s">
        <v>1842</v>
      </c>
      <c r="D36" s="2130" t="s">
        <v>1843</v>
      </c>
      <c r="E36" s="2130" t="s">
        <v>1844</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1845</v>
      </c>
      <c r="B37" s="2134" t="s">
        <v>528</v>
      </c>
      <c r="C37" s="2134" t="s">
        <v>528</v>
      </c>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1846</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1848</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1849</v>
      </c>
      <c r="B42" s="1793" t="s">
        <v>1850</v>
      </c>
      <c r="C42" s="1793" t="s">
        <v>1851</v>
      </c>
      <c r="D42" s="1793" t="s">
        <v>1852</v>
      </c>
      <c r="E42" s="1793" t="s">
        <v>1853</v>
      </c>
      <c r="F42" s="1793" t="s">
        <v>1854</v>
      </c>
      <c r="G42" s="1793" t="s">
        <v>1855</v>
      </c>
      <c r="H42" s="1793" t="s">
        <v>1856</v>
      </c>
      <c r="I42" s="1793" t="s">
        <v>1857</v>
      </c>
      <c r="J42" s="2146" t="s">
        <v>1858</v>
      </c>
      <c r="K42" s="2069" t="s">
        <v>1859</v>
      </c>
      <c r="L42" s="2069" t="s">
        <v>1860</v>
      </c>
      <c r="M42" s="2069" t="s">
        <v>1861</v>
      </c>
      <c r="N42" s="1793" t="s">
        <v>1862</v>
      </c>
      <c r="O42" s="1793" t="s">
        <v>1863</v>
      </c>
      <c r="P42" s="1793" t="s">
        <v>1864</v>
      </c>
      <c r="Q42" s="2068" t="s">
        <v>1865</v>
      </c>
      <c r="R42" s="2068" t="s">
        <v>1866</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7" sqref="D3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1869</v>
      </c>
      <c r="B2" s="11" t="s">
        <v>1870</v>
      </c>
      <c r="C2" s="11" t="s">
        <v>1871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1872</v>
      </c>
      <c r="AZ2" s="1268" t="s">
        <v>1873</v>
      </c>
      <c r="BA2" s="11" t="s">
        <v>1874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11508.72</v>
      </c>
      <c r="B3" s="14">
        <f>IF(C3="否",G5-AT5,G5)</f>
        <v>51884.22</v>
      </c>
      <c r="C3" s="2162" t="s">
        <v>1875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1876</v>
      </c>
      <c r="B5" s="1801"/>
      <c r="C5" s="1801"/>
      <c r="D5" s="1804"/>
      <c r="E5" s="16" t="s">
        <v>1</v>
      </c>
      <c r="F5" s="16">
        <f>SUM(F13:F587)</f>
        <v>0</v>
      </c>
      <c r="G5" s="16">
        <f>SUM(G13:G587)</f>
        <v>51884.22</v>
      </c>
      <c r="H5" s="16">
        <f t="shared" ref="H5:AT5" si="0">SUM(H13:H656)</f>
        <v>51884.22</v>
      </c>
      <c r="I5" s="16">
        <f t="shared" si="0"/>
        <v>19736.88</v>
      </c>
      <c r="J5" s="16">
        <f t="shared" si="0"/>
        <v>0</v>
      </c>
      <c r="K5" s="16">
        <f t="shared" si="0"/>
        <v>8306.4</v>
      </c>
      <c r="L5" s="16">
        <f t="shared" si="0"/>
        <v>0</v>
      </c>
      <c r="M5" s="16">
        <f t="shared" si="0"/>
        <v>11594.11</v>
      </c>
      <c r="N5" s="16">
        <f t="shared" si="0"/>
        <v>0</v>
      </c>
      <c r="O5" s="16">
        <f t="shared" si="0"/>
        <v>12246.83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51884.22</v>
      </c>
      <c r="BA5" s="18">
        <f t="shared" si="1"/>
        <v>51884.22</v>
      </c>
      <c r="BB5" s="18">
        <f t="shared" si="1"/>
        <v>19736.88</v>
      </c>
      <c r="BC5" s="18">
        <f t="shared" si="1"/>
        <v>8306.4</v>
      </c>
      <c r="BD5" s="18">
        <f t="shared" si="1"/>
        <v>11594.11</v>
      </c>
      <c r="BE5" s="18">
        <f t="shared" si="1"/>
        <v>12246.83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1877</v>
      </c>
      <c r="B6" s="2168"/>
      <c r="C6" s="2168"/>
      <c r="D6" s="2169"/>
      <c r="E6" s="16">
        <f>H6+AC6+AT6</f>
        <v>11508.720000000001</v>
      </c>
      <c r="F6" s="16" t="s">
        <v>1</v>
      </c>
      <c r="G6" s="16" t="s">
        <v>2</v>
      </c>
      <c r="H6" s="20">
        <f>SUMIF(I$12:AB$12,"总值",I6:AB6)</f>
        <v>11508.720000000001</v>
      </c>
      <c r="I6" s="16">
        <f t="shared" ref="I6:AB6" si="2">ROUND($A$3*I5/$B$3,2)</f>
        <v>4377.9399999999996</v>
      </c>
      <c r="J6" s="16">
        <f t="shared" si="2"/>
        <v>0</v>
      </c>
      <c r="K6" s="16">
        <f t="shared" si="2"/>
        <v>1842.49</v>
      </c>
      <c r="L6" s="16">
        <f t="shared" si="2"/>
        <v>0</v>
      </c>
      <c r="M6" s="16">
        <f t="shared" si="2"/>
        <v>2571.75</v>
      </c>
      <c r="N6" s="16">
        <f t="shared" si="2"/>
        <v>0</v>
      </c>
      <c r="O6" s="16">
        <f t="shared" si="2"/>
        <v>2716.54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1877</v>
      </c>
      <c r="AW6" s="2168"/>
      <c r="AX6" s="2168"/>
      <c r="AY6" s="21">
        <f>IF(AY3&gt;0,AY3,ROUND($A$3*AZ5/$B$3,2))</f>
        <v>11508.72</v>
      </c>
      <c r="AZ6" s="16" t="s">
        <v>3</v>
      </c>
      <c r="BA6" s="16">
        <f>ROUND($AY$6*BA5/$AZ$5,2)</f>
        <v>11508.72</v>
      </c>
      <c r="BB6" s="16">
        <f>ROUND($AY$6*BB5/$AZ$5,2)</f>
        <v>4377.9399999999996</v>
      </c>
      <c r="BC6" s="16">
        <f t="shared" ref="BC6:BH6" si="4">ROUND($AY$6*BC5/$AZ$5,2)</f>
        <v>1842.49</v>
      </c>
      <c r="BD6" s="16">
        <f t="shared" si="4"/>
        <v>2571.75</v>
      </c>
      <c r="BE6" s="16">
        <f t="shared" si="4"/>
        <v>2716.54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1878</v>
      </c>
      <c r="B7" s="2103" t="s">
        <v>1879</v>
      </c>
      <c r="C7" s="2103" t="s">
        <v>1880</v>
      </c>
      <c r="D7" s="2103" t="s">
        <v>1881</v>
      </c>
      <c r="E7" s="2103" t="s">
        <v>1882</v>
      </c>
      <c r="F7" s="2103" t="s">
        <v>1883</v>
      </c>
      <c r="G7" s="2172" t="s">
        <v>1884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1885</v>
      </c>
      <c r="AV7" s="23" t="s">
        <v>1886</v>
      </c>
      <c r="AW7" s="2160" t="s">
        <v>1887</v>
      </c>
      <c r="AX7" s="23" t="s">
        <v>1880</v>
      </c>
      <c r="AY7" s="1801" t="s">
        <v>1888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1889</v>
      </c>
      <c r="H8" s="2178" t="s">
        <v>1890</v>
      </c>
      <c r="I8" s="2179"/>
      <c r="J8" s="1816"/>
      <c r="K8" s="1816"/>
      <c r="L8" s="1816"/>
      <c r="M8" s="1816"/>
      <c r="N8" s="1816"/>
      <c r="O8" s="1816"/>
      <c r="P8" s="1816"/>
      <c r="Q8" s="1816"/>
      <c r="R8" s="1816"/>
      <c r="S8" s="1816"/>
      <c r="T8" s="1816"/>
      <c r="U8" s="1816"/>
      <c r="V8" s="2180"/>
      <c r="W8" s="1816"/>
      <c r="X8" s="1816"/>
      <c r="Y8" s="1816"/>
      <c r="Z8" s="1816"/>
      <c r="AA8" s="2180"/>
      <c r="AB8" s="2181"/>
      <c r="AC8" s="979" t="s">
        <v>1891</v>
      </c>
      <c r="AD8" s="2182"/>
      <c r="AE8" s="2174"/>
      <c r="AF8" s="1816"/>
      <c r="AG8" s="1816"/>
      <c r="AH8" s="1816"/>
      <c r="AI8" s="1816"/>
      <c r="AJ8" s="1816"/>
      <c r="AK8" s="1816"/>
      <c r="AL8" s="1816"/>
      <c r="AM8" s="1816"/>
      <c r="AN8" s="1816"/>
      <c r="AO8" s="1816"/>
      <c r="AP8" s="1816"/>
      <c r="AQ8" s="1816"/>
      <c r="AR8" s="1816"/>
      <c r="AS8" s="1816"/>
      <c r="AT8" s="1290" t="s">
        <v>1892</v>
      </c>
      <c r="AU8" s="2176" t="s">
        <v>1893</v>
      </c>
      <c r="AV8" s="1290"/>
      <c r="AW8" s="2159"/>
      <c r="AX8" s="1290"/>
      <c r="AY8" s="2160"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1896</v>
      </c>
      <c r="I9" s="2185" t="s">
        <v>3079</v>
      </c>
      <c r="J9" s="979"/>
      <c r="K9" s="2185" t="s">
        <v>3079</v>
      </c>
      <c r="L9" s="979"/>
      <c r="M9" s="2185" t="s">
        <v>3081</v>
      </c>
      <c r="N9" s="979"/>
      <c r="O9" s="2185" t="s">
        <v>3081</v>
      </c>
      <c r="P9" s="979"/>
      <c r="Q9" s="2185"/>
      <c r="R9" s="979"/>
      <c r="S9" s="2185"/>
      <c r="T9" s="979"/>
      <c r="U9" s="2185"/>
      <c r="V9" s="979"/>
      <c r="W9" s="2185"/>
      <c r="X9" s="2186"/>
      <c r="Y9" s="2185"/>
      <c r="Z9" s="979"/>
      <c r="AA9" s="2185"/>
      <c r="AB9" s="979"/>
      <c r="AC9" s="2177"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87"/>
      <c r="AT9" s="2176"/>
      <c r="AU9" s="2176" t="s">
        <v>1899</v>
      </c>
      <c r="AV9" s="1290"/>
      <c r="AW9" s="2159"/>
      <c r="AX9" s="1290"/>
      <c r="AY9" s="28"/>
      <c r="AZ9" s="28" t="s">
        <v>1889</v>
      </c>
      <c r="BA9" s="2188" t="s">
        <v>1900</v>
      </c>
      <c r="BB9" s="2189"/>
      <c r="BC9" s="1336"/>
      <c r="BD9" s="1336"/>
      <c r="BE9" s="1336"/>
      <c r="BF9" s="1336"/>
      <c r="BG9" s="1336"/>
      <c r="BH9" s="1336"/>
      <c r="BI9" s="1336"/>
      <c r="BJ9" s="1336"/>
      <c r="BK9" s="2190"/>
      <c r="BL9" s="15" t="s">
        <v>1901</v>
      </c>
      <c r="BM9" s="1816"/>
      <c r="BN9" s="2179"/>
      <c r="BO9" s="1816"/>
      <c r="BP9" s="1816"/>
      <c r="BQ9" s="1816"/>
      <c r="BR9" s="1816"/>
      <c r="BS9" s="1816"/>
      <c r="BT9" s="26"/>
    </row>
    <row r="10" spans="1:72" s="2183" customFormat="1" ht="12.75">
      <c r="A10" s="2176"/>
      <c r="B10" s="2176"/>
      <c r="C10" s="2176"/>
      <c r="D10" s="2176"/>
      <c r="E10" s="2176"/>
      <c r="F10" s="2176"/>
      <c r="G10" s="1290"/>
      <c r="H10" s="28"/>
      <c r="I10" s="2185" t="s">
        <v>27</v>
      </c>
      <c r="J10" s="979"/>
      <c r="K10" s="2191" t="s">
        <v>1373</v>
      </c>
      <c r="L10" s="979"/>
      <c r="M10" s="2191" t="s">
        <v>1373</v>
      </c>
      <c r="N10" s="979"/>
      <c r="O10" s="2191" t="s">
        <v>3083</v>
      </c>
      <c r="P10" s="979"/>
      <c r="Q10" s="2191"/>
      <c r="R10" s="979"/>
      <c r="S10" s="2191"/>
      <c r="T10" s="979"/>
      <c r="U10" s="2191"/>
      <c r="V10" s="979"/>
      <c r="W10" s="2191"/>
      <c r="X10" s="979"/>
      <c r="Y10" s="2191"/>
      <c r="Z10" s="979"/>
      <c r="AA10" s="2191"/>
      <c r="AB10" s="979"/>
      <c r="AC10" s="1290"/>
      <c r="AD10" s="15" t="s">
        <v>1902</v>
      </c>
      <c r="AE10" s="2192"/>
      <c r="AF10" s="15" t="s">
        <v>1902</v>
      </c>
      <c r="AG10" s="2192"/>
      <c r="AH10" s="15" t="s">
        <v>1903</v>
      </c>
      <c r="AI10" s="2192"/>
      <c r="AJ10" s="15" t="s">
        <v>1903</v>
      </c>
      <c r="AK10" s="2192"/>
      <c r="AL10" s="15" t="s">
        <v>1904</v>
      </c>
      <c r="AM10" s="1296"/>
      <c r="AN10" s="15" t="s">
        <v>1904</v>
      </c>
      <c r="AO10" s="1296"/>
      <c r="AP10" s="15" t="s">
        <v>1905</v>
      </c>
      <c r="AQ10" s="1296"/>
      <c r="AR10" s="15" t="s">
        <v>1905</v>
      </c>
      <c r="AS10" s="1296"/>
      <c r="AT10" s="2176"/>
      <c r="AU10" s="2176"/>
      <c r="AV10" s="1290"/>
      <c r="AW10" s="2159"/>
      <c r="AX10" s="1290"/>
      <c r="AY10" s="28"/>
      <c r="AZ10" s="28"/>
      <c r="BA10" s="2193" t="s">
        <v>1896</v>
      </c>
      <c r="BB10" s="219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3080</v>
      </c>
      <c r="J11" s="2197"/>
      <c r="K11" s="2196" t="s">
        <v>3082</v>
      </c>
      <c r="L11" s="2197"/>
      <c r="M11" s="2196" t="s">
        <v>3082</v>
      </c>
      <c r="N11" s="2197"/>
      <c r="O11" s="2196" t="s">
        <v>3083</v>
      </c>
      <c r="P11" s="2197"/>
      <c r="Q11" s="2196"/>
      <c r="R11" s="2197"/>
      <c r="S11" s="2196"/>
      <c r="T11" s="2197"/>
      <c r="U11" s="2196"/>
      <c r="V11" s="2197"/>
      <c r="W11" s="2196"/>
      <c r="X11" s="2197"/>
      <c r="Y11" s="2196"/>
      <c r="Z11" s="2197"/>
      <c r="AA11" s="2196"/>
      <c r="AB11" s="2197"/>
      <c r="AC11" s="1290"/>
      <c r="AD11" s="2198" t="s">
        <v>1906</v>
      </c>
      <c r="AE11" s="1817"/>
      <c r="AF11" s="2198" t="s">
        <v>1906</v>
      </c>
      <c r="AG11" s="1817"/>
      <c r="AH11" s="2198" t="s">
        <v>1907</v>
      </c>
      <c r="AI11" s="2199"/>
      <c r="AJ11" s="2198" t="s">
        <v>1907</v>
      </c>
      <c r="AK11" s="1817"/>
      <c r="AL11" s="1815"/>
      <c r="AM11" s="1817"/>
      <c r="AN11" s="1815"/>
      <c r="AO11" s="1817"/>
      <c r="AP11" s="1815"/>
      <c r="AQ11" s="1817"/>
      <c r="AR11" s="1815"/>
      <c r="AS11" s="1817"/>
      <c r="AT11" s="2159"/>
      <c r="AU11" s="2176"/>
      <c r="AV11" s="1290"/>
      <c r="AW11" s="2159"/>
      <c r="AX11" s="1290"/>
      <c r="AY11" s="28"/>
      <c r="AZ11" s="28"/>
      <c r="BA11" s="28"/>
      <c r="BB11" s="2181" t="str">
        <f>I10</f>
        <v>办公</v>
      </c>
      <c r="BC11" s="2181" t="str">
        <f>K10</f>
        <v>商业</v>
      </c>
      <c r="BD11" s="2181" t="str">
        <f>M10</f>
        <v>商业</v>
      </c>
      <c r="BE11" s="2181" t="str">
        <f>O10</f>
        <v>车库</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3"/>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1" t="s">
        <v>1909</v>
      </c>
      <c r="AT12" s="2204"/>
      <c r="AU12" s="2201"/>
      <c r="AV12" s="31"/>
      <c r="AW12" s="2160"/>
      <c r="AX12" s="31"/>
      <c r="AY12" s="2205"/>
      <c r="AZ12" s="28"/>
      <c r="BA12" s="2193"/>
      <c r="BB12" s="24" t="str">
        <f>I11</f>
        <v>办公楼</v>
      </c>
      <c r="BC12" s="2206" t="str">
        <f>K11</f>
        <v>底商</v>
      </c>
      <c r="BD12" s="2206" t="str">
        <f>M11</f>
        <v>底商</v>
      </c>
      <c r="BE12" s="2181" t="str">
        <f>O11</f>
        <v>车库</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70" t="s">
        <v>3093</v>
      </c>
      <c r="D13" s="2207" t="s">
        <v>3068</v>
      </c>
      <c r="E13" s="16">
        <f>IF($C$3="是",ROUND($A$3*G13/$B$3,2),ROUND($A$3*(G13-AT13)/$B$3,2))</f>
        <v>4377.9399999999996</v>
      </c>
      <c r="F13" s="32"/>
      <c r="G13" s="33">
        <f>H13+AC13+AT13</f>
        <v>19736.88</v>
      </c>
      <c r="H13" s="20">
        <f>SUMIF(I$12:AB$12,"总值",I13:AB13)</f>
        <v>19736.88</v>
      </c>
      <c r="I13" s="2208">
        <f>清单!D2</f>
        <v>19736.88</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4">
        <f>ROUND($AY$6*AZ13/$AZ$5,2)</f>
        <v>4377.9399999999996</v>
      </c>
      <c r="AZ13" s="16">
        <f>BA13+BL13</f>
        <v>19736.88</v>
      </c>
      <c r="BA13" s="16">
        <f>SUM(BB13:BK13)</f>
        <v>19736.88</v>
      </c>
      <c r="BB13" s="16">
        <f>IF($D13="是",I13-J13,0)</f>
        <v>19736.88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71" t="s">
        <v>3094</v>
      </c>
      <c r="D14" s="2207" t="s">
        <v>3068</v>
      </c>
      <c r="E14" s="16">
        <f>IF($C$3="是",ROUND($A$3*G14/$B$3,2),ROUND($A$3*(G14-AT14)/$B$3,2))</f>
        <v>4414.24</v>
      </c>
      <c r="F14" s="32"/>
      <c r="G14" s="33">
        <f>H14+AC14+AT14</f>
        <v>19900.510000000002</v>
      </c>
      <c r="H14" s="20">
        <f>SUMIF(I$12:AB$12,"总值",I14:AB14)</f>
        <v>19900.510000000002</v>
      </c>
      <c r="I14" s="2208"/>
      <c r="J14" s="2208"/>
      <c r="K14" s="2208">
        <f>清单!D18+清单!D23</f>
        <v>8306.4</v>
      </c>
      <c r="L14" s="2208"/>
      <c r="M14" s="2208">
        <f>清单!D24</f>
        <v>11594.11</v>
      </c>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商业</v>
      </c>
      <c r="AY14" s="1804">
        <f>ROUND($AY$6*AZ14/$AZ$5,2)</f>
        <v>4414.24</v>
      </c>
      <c r="AZ14" s="16">
        <f>BA14+BL14</f>
        <v>19900.510000000002</v>
      </c>
      <c r="BA14" s="16">
        <f>SUM(BB14:BK14)</f>
        <v>19900.510000000002</v>
      </c>
      <c r="BB14" s="16">
        <f>IF($D14="是",I14-J14,0)</f>
        <v>0</v>
      </c>
      <c r="BC14" s="16">
        <f>IF($D14="是",K14-L14,0)</f>
        <v>8306.4</v>
      </c>
      <c r="BD14" s="16">
        <f>IF($D14="是",M14-N14,0)</f>
        <v>11594.11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71" t="s">
        <v>3095</v>
      </c>
      <c r="D15" s="2207" t="s">
        <v>3068</v>
      </c>
      <c r="E15" s="16">
        <f>IF($C$3="是",ROUND($A$3*G15/$B$3,2),ROUND($A$3*(G15-AT15)/$B$3,2))</f>
        <v>2716.54</v>
      </c>
      <c r="F15" s="32"/>
      <c r="G15" s="33">
        <f>H15+AC15+AT15</f>
        <v>12246.83</v>
      </c>
      <c r="H15" s="20">
        <f>SUMIF(I$12:AB$12,"总值",I15:AB15)</f>
        <v>12246.83</v>
      </c>
      <c r="I15" s="2208"/>
      <c r="J15" s="2208"/>
      <c r="K15" s="2208"/>
      <c r="L15" s="2208"/>
      <c r="M15" s="2208"/>
      <c r="N15" s="2208"/>
      <c r="O15" s="2208">
        <f>清单!D25</f>
        <v>12246.83</v>
      </c>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车库</v>
      </c>
      <c r="AY15" s="1804">
        <f>ROUND($AY$6*AZ15/$AZ$5,2)</f>
        <v>2716.54</v>
      </c>
      <c r="AZ15" s="16">
        <f>BA15+BL15</f>
        <v>12246.83</v>
      </c>
      <c r="BA15" s="16">
        <f>SUM(BB15:BK15)</f>
        <v>12246.83</v>
      </c>
      <c r="BB15" s="16">
        <f>IF($D15="是",I15-J15,0)</f>
        <v>0</v>
      </c>
      <c r="BC15" s="16">
        <f>IF($D15="是",K15-L15,0)</f>
        <v>0</v>
      </c>
      <c r="BD15" s="16">
        <f>IF($D15="是",M15-N15,0)</f>
        <v>0</v>
      </c>
      <c r="BE15" s="16">
        <f>IF($D15="是",O15-P15,0)</f>
        <v>12246.83</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1935</v>
      </c>
      <c r="B1" s="1390"/>
      <c r="C1" s="1390"/>
      <c r="D1" s="1390"/>
      <c r="E1" s="1390"/>
      <c r="F1" s="1390"/>
      <c r="G1" s="1390"/>
      <c r="H1" s="1390"/>
      <c r="I1" s="1390"/>
      <c r="J1" s="1390"/>
      <c r="K1" s="1390"/>
      <c r="L1" s="1390"/>
      <c r="M1" s="1390"/>
      <c r="N1" s="1390"/>
      <c r="O1" s="1390"/>
      <c r="P1" s="1390"/>
    </row>
    <row r="2" spans="1:16" ht="15">
      <c r="A2" s="3090" t="s">
        <v>1936</v>
      </c>
      <c r="B2" s="3090"/>
      <c r="C2" s="3090"/>
      <c r="D2" s="965" t="s">
        <v>1912</v>
      </c>
      <c r="E2" s="2221" t="s">
        <v>1913</v>
      </c>
      <c r="F2" s="1390"/>
      <c r="G2" s="2222"/>
      <c r="H2" s="2223"/>
      <c r="I2" s="2224" t="s">
        <v>1937</v>
      </c>
      <c r="J2" s="1390"/>
      <c r="K2" s="1390"/>
      <c r="L2" s="1390"/>
      <c r="M2" s="1390"/>
      <c r="N2" s="1425"/>
      <c r="O2" s="1390"/>
      <c r="P2" s="1390"/>
    </row>
    <row r="3" spans="1:16" ht="15.75" thickBot="1">
      <c r="A3" s="3091" t="s">
        <v>1910</v>
      </c>
      <c r="B3" s="3091"/>
      <c r="C3" s="3091"/>
      <c r="D3" s="46">
        <f>'数据-基础表'!AY6</f>
        <v>11508.72</v>
      </c>
      <c r="E3" s="46">
        <f>'数据-基础表'!AZ5</f>
        <v>51884.22</v>
      </c>
      <c r="F3" s="1390"/>
      <c r="G3" s="1397"/>
      <c r="H3" s="1245" t="s">
        <v>1911</v>
      </c>
      <c r="I3" s="55">
        <f>ROUND('数据-基础表'!B3/'数据-基础表'!A3,2)</f>
        <v>4.51</v>
      </c>
      <c r="J3" s="1390"/>
      <c r="K3" s="1390"/>
      <c r="L3" s="1390"/>
      <c r="M3" s="1390"/>
      <c r="N3" s="1425"/>
      <c r="O3" s="1390"/>
      <c r="P3" s="1390"/>
    </row>
    <row r="4" spans="1:16" ht="15">
      <c r="A4" s="3092"/>
      <c r="B4" s="3093"/>
      <c r="C4" s="3094"/>
      <c r="D4" s="2225" t="s">
        <v>1912</v>
      </c>
      <c r="E4" s="2226" t="s">
        <v>1913</v>
      </c>
      <c r="F4" s="1390"/>
      <c r="G4" s="2227" t="s">
        <v>1938</v>
      </c>
      <c r="H4" s="1245" t="s">
        <v>1918</v>
      </c>
      <c r="I4" s="55">
        <f>ROUND(SUMIF('数据-基础表'!I9:AS9,"地上",'数据-基础表'!I5:AS5)/'数据-基础表'!A3,2)</f>
        <v>2.44</v>
      </c>
      <c r="J4" s="1390"/>
      <c r="K4" s="1390"/>
      <c r="L4" s="1390"/>
      <c r="M4" s="1390"/>
      <c r="N4" s="1425"/>
      <c r="O4" s="1390"/>
      <c r="P4" s="1390"/>
    </row>
    <row r="5" spans="1:16">
      <c r="A5" s="47" t="s">
        <v>1914</v>
      </c>
      <c r="B5" s="3095" t="s">
        <v>1915</v>
      </c>
      <c r="C5" s="3095"/>
      <c r="D5" s="48">
        <f>ROUND($D$3*E5/$E$3,2)</f>
        <v>0</v>
      </c>
      <c r="E5" s="49">
        <f>SUMIF('数据-基础表'!$11:$11,"住宅",'数据-基础表'!$5:$5)</f>
        <v>0</v>
      </c>
      <c r="F5" s="1390"/>
      <c r="G5" s="1397"/>
      <c r="H5" s="1245" t="s">
        <v>1911</v>
      </c>
      <c r="I5" s="55">
        <f>ROUND(E31/D31,2)</f>
        <v>4.51</v>
      </c>
      <c r="J5" s="1390"/>
      <c r="K5" s="1390"/>
      <c r="L5" s="1390"/>
      <c r="M5" s="1390"/>
      <c r="N5" s="1390"/>
      <c r="O5" s="1390"/>
      <c r="P5" s="1390"/>
    </row>
    <row r="6" spans="1:16" ht="15" thickBot="1">
      <c r="A6" s="2228"/>
      <c r="B6" s="3095" t="s">
        <v>1916</v>
      </c>
      <c r="C6" s="3095"/>
      <c r="D6" s="48">
        <f>ROUND($D$3*E6/$E$3,2)</f>
        <v>11508.72</v>
      </c>
      <c r="E6" s="49">
        <f>E3-E5</f>
        <v>51884.22</v>
      </c>
      <c r="F6" s="1390"/>
      <c r="G6" s="2229" t="s">
        <v>1917</v>
      </c>
      <c r="H6" s="1397" t="s">
        <v>1918</v>
      </c>
      <c r="I6" s="937">
        <f>ROUND(F31/D31,2)</f>
        <v>2.44</v>
      </c>
      <c r="J6" s="1390"/>
      <c r="K6" s="1390"/>
      <c r="L6" s="1390"/>
      <c r="M6" s="1390"/>
      <c r="N6" s="1390"/>
      <c r="O6" s="1390"/>
      <c r="P6" s="1390"/>
    </row>
    <row r="7" spans="1:16" ht="15">
      <c r="A7" s="3087"/>
      <c r="B7" s="3088"/>
      <c r="C7" s="3089"/>
      <c r="D7" s="2225" t="s">
        <v>1912</v>
      </c>
      <c r="E7" s="2230" t="s">
        <v>1919</v>
      </c>
      <c r="F7" s="1390"/>
      <c r="G7" s="2222" t="s">
        <v>1920</v>
      </c>
      <c r="H7" s="64"/>
      <c r="I7" s="420"/>
      <c r="J7" s="1390"/>
      <c r="K7" s="1390"/>
      <c r="L7" s="1390"/>
      <c r="M7" s="1390"/>
      <c r="N7" s="1390"/>
      <c r="O7" s="1390"/>
      <c r="P7" s="1390"/>
    </row>
    <row r="8" spans="1:16">
      <c r="A8" s="47" t="s">
        <v>1921</v>
      </c>
      <c r="B8" s="50" t="s">
        <v>1922</v>
      </c>
      <c r="C8" s="48" t="s">
        <v>1923</v>
      </c>
      <c r="D8" s="48">
        <f t="shared" ref="D8:D15" si="0">ROUND($D$3*E8/$E$3,2)</f>
        <v>6220.43</v>
      </c>
      <c r="E8" s="51">
        <f>SUMIF('数据-基础表'!BB10:BK10,"地上",'数据-基础表'!BB5:BK5)</f>
        <v>28043.279999999999</v>
      </c>
      <c r="F8" s="1390"/>
      <c r="G8" s="2231"/>
      <c r="H8" s="2231"/>
      <c r="I8" s="1390"/>
      <c r="J8" s="1390"/>
      <c r="K8" s="1390"/>
      <c r="L8" s="1390"/>
      <c r="M8" s="1390"/>
      <c r="N8" s="1390"/>
      <c r="O8" s="1390"/>
      <c r="P8" s="1390"/>
    </row>
    <row r="9" spans="1:16">
      <c r="A9" s="2232"/>
      <c r="B9" s="2233"/>
      <c r="C9" s="48" t="s">
        <v>1924</v>
      </c>
      <c r="D9" s="48">
        <f t="shared" si="0"/>
        <v>0</v>
      </c>
      <c r="E9" s="52">
        <v>0</v>
      </c>
      <c r="F9" s="1390"/>
      <c r="G9" s="2231"/>
      <c r="H9" s="2231"/>
      <c r="I9" s="1390"/>
      <c r="J9" s="1390"/>
      <c r="K9" s="1390"/>
      <c r="L9" s="1390"/>
      <c r="M9" s="1390"/>
      <c r="N9" s="1390"/>
      <c r="O9" s="1390"/>
      <c r="P9" s="1390"/>
    </row>
    <row r="10" spans="1:16">
      <c r="A10" s="2232"/>
      <c r="B10" s="2233"/>
      <c r="C10" s="48" t="s">
        <v>1933</v>
      </c>
      <c r="D10" s="48">
        <f t="shared" si="0"/>
        <v>2571.75</v>
      </c>
      <c r="E10" s="51">
        <f>SUMPRODUCT(('数据-基础表'!BB10:BK10="地下")*('数据-基础表'!BB11:BK11="商业")*('数据-基础表'!BB5:BK5))</f>
        <v>11594.11</v>
      </c>
      <c r="F10" s="1390"/>
      <c r="G10" s="2231"/>
      <c r="H10" s="2231"/>
      <c r="I10" s="1390"/>
      <c r="J10" s="1390"/>
      <c r="K10" s="1390"/>
      <c r="L10" s="1390"/>
      <c r="M10" s="1390"/>
      <c r="N10" s="1390"/>
      <c r="O10" s="1390"/>
      <c r="P10" s="1390"/>
    </row>
    <row r="11" spans="1:16">
      <c r="A11" s="2232"/>
      <c r="B11" s="2233"/>
      <c r="C11" s="48" t="s">
        <v>1925</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1926</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1927</v>
      </c>
      <c r="D13" s="48">
        <f t="shared" si="0"/>
        <v>2716.54</v>
      </c>
      <c r="E13" s="51">
        <f>SUMPRODUCT(('数据-基础表'!BB10:BK10="地下")*('数据-基础表'!BB11:BK11="车库")*('数据-基础表'!BB5:BK5))</f>
        <v>12246.83</v>
      </c>
      <c r="F13" s="1390"/>
      <c r="G13" s="2231"/>
      <c r="H13" s="2231"/>
      <c r="I13" s="1390"/>
      <c r="J13" s="1390"/>
      <c r="K13" s="1390"/>
      <c r="L13" s="1390"/>
      <c r="M13" s="1390"/>
      <c r="N13" s="1390"/>
      <c r="O13" s="1390"/>
      <c r="P13" s="1390"/>
    </row>
    <row r="14" spans="1:16">
      <c r="A14" s="2232"/>
      <c r="B14" s="2233"/>
      <c r="C14" s="48" t="s">
        <v>1939</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1934</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1928</v>
      </c>
      <c r="D16" s="50">
        <f>SUM(D8:D15)</f>
        <v>11508.720000000001</v>
      </c>
      <c r="E16" s="53">
        <f>SUM(E8:E15)</f>
        <v>51884.22</v>
      </c>
      <c r="F16" s="1390"/>
      <c r="G16" s="2231"/>
      <c r="H16" s="2234" t="s">
        <v>1940</v>
      </c>
      <c r="I16" s="2235"/>
      <c r="J16" s="1390"/>
      <c r="K16" s="3084" t="s">
        <v>1940</v>
      </c>
      <c r="L16" s="3085"/>
      <c r="M16" s="3085"/>
      <c r="N16" s="3085"/>
      <c r="O16" s="3085"/>
      <c r="P16" s="3086"/>
    </row>
    <row r="17" spans="1:19" ht="15">
      <c r="A17" s="2236" t="s">
        <v>1941</v>
      </c>
      <c r="B17" s="2237" t="s">
        <v>1942</v>
      </c>
      <c r="C17" s="2238" t="s">
        <v>1943</v>
      </c>
      <c r="D17" s="2239" t="s">
        <v>1931</v>
      </c>
      <c r="E17" s="2240" t="s">
        <v>1932</v>
      </c>
      <c r="F17" s="2241"/>
      <c r="G17" s="2242"/>
      <c r="H17" s="2243" t="s">
        <v>1944</v>
      </c>
      <c r="I17" s="2244" t="s">
        <v>1929</v>
      </c>
      <c r="J17" s="1390"/>
      <c r="K17" s="3081" t="s">
        <v>1945</v>
      </c>
      <c r="L17" s="3082"/>
      <c r="M17" s="3083"/>
      <c r="N17" s="3081" t="s">
        <v>1946</v>
      </c>
      <c r="O17" s="3082"/>
      <c r="P17" s="3083"/>
      <c r="R17" s="2222" t="s">
        <v>1947</v>
      </c>
      <c r="S17" s="64"/>
    </row>
    <row r="18" spans="1:19" ht="15">
      <c r="A18" s="2232"/>
      <c r="B18" s="2245"/>
      <c r="C18" s="2246"/>
      <c r="D18" s="2247"/>
      <c r="E18" s="2248" t="s">
        <v>1948</v>
      </c>
      <c r="F18" s="2249" t="s">
        <v>1949</v>
      </c>
      <c r="G18" s="2250" t="s">
        <v>1950</v>
      </c>
      <c r="H18" s="1260" t="s">
        <v>1951</v>
      </c>
      <c r="I18" s="2251" t="s">
        <v>1952</v>
      </c>
      <c r="J18" s="1390"/>
      <c r="K18" s="1260" t="s">
        <v>1953</v>
      </c>
      <c r="L18" s="2252" t="s">
        <v>1954</v>
      </c>
      <c r="M18" s="1044" t="s">
        <v>1955</v>
      </c>
      <c r="N18" s="1260" t="s">
        <v>1953</v>
      </c>
      <c r="O18" s="2252" t="s">
        <v>1954</v>
      </c>
      <c r="P18" s="1044" t="s">
        <v>1955</v>
      </c>
      <c r="R18" s="1245" t="s">
        <v>1956</v>
      </c>
      <c r="S18" s="1245" t="s">
        <v>1957</v>
      </c>
    </row>
    <row r="19" spans="1:19">
      <c r="A19" s="2253"/>
      <c r="B19" s="50" t="s">
        <v>1930</v>
      </c>
      <c r="C19" s="2254" t="str">
        <f>'数据-基础表'!C13</f>
        <v>办公</v>
      </c>
      <c r="D19" s="48">
        <f>ROUND($D$3*E19/$E$3,2)</f>
        <v>4377.9399999999996</v>
      </c>
      <c r="E19" s="56">
        <f t="shared" ref="E19:E26" si="1">SUM(F19:G19)</f>
        <v>19736.88</v>
      </c>
      <c r="F19" s="57">
        <f>'数据-基础表'!I13</f>
        <v>19736.88</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4377.9399999999996</v>
      </c>
      <c r="S19" s="1246">
        <f t="shared" si="5"/>
        <v>19736.88</v>
      </c>
    </row>
    <row r="20" spans="1:19">
      <c r="A20" s="2257"/>
      <c r="B20" s="50" t="s">
        <v>1958</v>
      </c>
      <c r="C20" s="2254" t="str">
        <f>'数据-基础表'!C14</f>
        <v>商业</v>
      </c>
      <c r="D20" s="48">
        <f t="shared" ref="D20:D26" si="6">ROUND($D$3*E20/$E$3,2)</f>
        <v>4414.24</v>
      </c>
      <c r="E20" s="56">
        <f t="shared" si="1"/>
        <v>19900.510000000002</v>
      </c>
      <c r="F20" s="57">
        <f>'数据-基础表'!K14</f>
        <v>8306.4</v>
      </c>
      <c r="G20" s="58">
        <f>'数据-基础表'!M14</f>
        <v>11594.11</v>
      </c>
      <c r="H20" s="721">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4414.24</v>
      </c>
      <c r="S20" s="1246">
        <f t="shared" si="5"/>
        <v>19900.510000000002</v>
      </c>
    </row>
    <row r="21" spans="1:19">
      <c r="A21" s="2257"/>
      <c r="B21" s="50" t="s">
        <v>1958</v>
      </c>
      <c r="C21" s="2254" t="str">
        <f>'数据-基础表'!C15</f>
        <v>车库</v>
      </c>
      <c r="D21" s="48">
        <f t="shared" si="6"/>
        <v>2716.54</v>
      </c>
      <c r="E21" s="56">
        <f t="shared" si="1"/>
        <v>12246.83</v>
      </c>
      <c r="F21" s="57"/>
      <c r="G21" s="58">
        <f>'数据-基础表'!O15</f>
        <v>12246.83</v>
      </c>
      <c r="H21" s="721">
        <f t="shared" si="7"/>
        <v>0</v>
      </c>
      <c r="I21" s="51">
        <f t="shared" si="2"/>
        <v>0</v>
      </c>
      <c r="J21" s="1390"/>
      <c r="K21" s="1389">
        <f t="shared" si="3"/>
        <v>0</v>
      </c>
      <c r="L21" s="1245">
        <f t="shared" si="4"/>
        <v>0</v>
      </c>
      <c r="M21" s="1401">
        <f t="shared" si="8"/>
        <v>0</v>
      </c>
      <c r="N21" s="2255"/>
      <c r="O21" s="2256"/>
      <c r="P21" s="1401">
        <f t="shared" si="9"/>
        <v>0</v>
      </c>
      <c r="R21" s="1245">
        <f t="shared" si="5"/>
        <v>2716.54</v>
      </c>
      <c r="S21" s="1246">
        <f t="shared" si="5"/>
        <v>12246.83</v>
      </c>
    </row>
    <row r="22" spans="1:19">
      <c r="A22" s="2257"/>
      <c r="B22" s="50" t="s">
        <v>1958</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1958</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1958</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1959</v>
      </c>
      <c r="D27" s="1391">
        <f>SUM(D19:D26)</f>
        <v>11508.720000000001</v>
      </c>
      <c r="E27" s="1392">
        <f>IF(SUM(E19:E26)='数据-基础表'!BA5,SUM(E19:E26),IF(F27="地上面积有误","面积有误","地下面积有误"))</f>
        <v>51884.22</v>
      </c>
      <c r="F27" s="1391">
        <f>IF(SUM(F19:F26)=E8,SUM(F19:F26),"地上面积有误")</f>
        <v>28043.279999999999</v>
      </c>
      <c r="G27" s="1393">
        <f>SUM(G19:G26)</f>
        <v>23840.940000000002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11508.720000000001</v>
      </c>
      <c r="S27" s="1245">
        <f>IF(SUM(S19:S26)=$E$3,SUM(S19:S26),SUM(S19:S26)&amp;"误差"&amp;ROUND(SUM(S19:S26)-E3,2))</f>
        <v>51884.22</v>
      </c>
    </row>
    <row r="28" spans="1:19">
      <c r="A28" s="2257"/>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1960</v>
      </c>
      <c r="C29" s="2261"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1963</v>
      </c>
      <c r="D31" s="727">
        <f>D27+D30</f>
        <v>11508.720000000001</v>
      </c>
      <c r="E31" s="727">
        <f>E27+E30</f>
        <v>51884.22</v>
      </c>
      <c r="F31" s="728">
        <f>F27+F30</f>
        <v>28043.279999999999</v>
      </c>
      <c r="G31" s="729">
        <f>G27+G30</f>
        <v>23840.940000000002</v>
      </c>
      <c r="H31" s="1390"/>
      <c r="I31" s="1390"/>
      <c r="J31" s="1390"/>
      <c r="K31" s="1390"/>
      <c r="L31" s="1390"/>
      <c r="M31" s="1390"/>
      <c r="N31" s="1390"/>
      <c r="O31" s="1390"/>
      <c r="P31" s="1390"/>
    </row>
    <row r="32" spans="1:19">
      <c r="A32" s="2227"/>
      <c r="B32" s="2227" t="s">
        <v>1964</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1965</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1966</v>
      </c>
      <c r="B2" s="1264">
        <f>项目基本情况!D3</f>
        <v>43602</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8" t="s">
        <v>1971</v>
      </c>
      <c r="AA4" s="2238"/>
      <c r="AB4" s="2238"/>
      <c r="AC4" s="2238"/>
      <c r="AD4" s="2238"/>
      <c r="AE4" s="2236" t="s">
        <v>1972</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1973</v>
      </c>
      <c r="B5" s="2284" t="s">
        <v>1974</v>
      </c>
      <c r="C5" s="2285" t="s">
        <v>1975</v>
      </c>
      <c r="D5" s="2286" t="s">
        <v>1976</v>
      </c>
      <c r="E5" s="1266" t="s">
        <v>1977</v>
      </c>
      <c r="F5" s="2287" t="s">
        <v>1978</v>
      </c>
      <c r="G5" s="1266" t="s">
        <v>1979</v>
      </c>
      <c r="H5" s="1266" t="s">
        <v>1980</v>
      </c>
      <c r="I5" s="1266" t="s">
        <v>1981</v>
      </c>
      <c r="J5" s="2288" t="s">
        <v>1982</v>
      </c>
      <c r="K5" s="2289" t="s">
        <v>1983</v>
      </c>
      <c r="L5" s="2290" t="s">
        <v>1984</v>
      </c>
      <c r="M5" s="2291" t="s">
        <v>1985</v>
      </c>
      <c r="N5" s="2292" t="s">
        <v>3096</v>
      </c>
      <c r="O5" s="2290" t="s">
        <v>1986</v>
      </c>
      <c r="P5" s="2293" t="s">
        <v>1987</v>
      </c>
      <c r="Q5" s="69" t="s">
        <v>1988</v>
      </c>
      <c r="R5" s="2294" t="s">
        <v>1989</v>
      </c>
      <c r="S5" s="2295" t="s">
        <v>1990</v>
      </c>
      <c r="T5" s="2296" t="s">
        <v>1991</v>
      </c>
      <c r="U5" s="1265" t="s">
        <v>1992</v>
      </c>
      <c r="V5" s="1266" t="s">
        <v>1993</v>
      </c>
      <c r="W5" s="1266" t="s">
        <v>1994</v>
      </c>
      <c r="X5" s="71"/>
      <c r="Y5" s="70" t="s">
        <v>1995</v>
      </c>
      <c r="Z5" s="2297" t="s">
        <v>1992</v>
      </c>
      <c r="AA5" s="1266" t="s">
        <v>1993</v>
      </c>
      <c r="AB5" s="1266" t="s">
        <v>1994</v>
      </c>
      <c r="AC5" s="71"/>
      <c r="AD5" s="71" t="s">
        <v>1995</v>
      </c>
      <c r="AE5" s="1265" t="s">
        <v>1996</v>
      </c>
      <c r="AF5" s="1266" t="s">
        <v>1997</v>
      </c>
      <c r="AG5" s="70" t="s">
        <v>1998</v>
      </c>
      <c r="AH5" s="1265" t="s">
        <v>1999</v>
      </c>
      <c r="AI5" s="2297" t="s">
        <v>2000</v>
      </c>
      <c r="AJ5" s="2297" t="s">
        <v>2001</v>
      </c>
      <c r="AK5" s="1266" t="s">
        <v>2002</v>
      </c>
      <c r="AL5" s="1266" t="s">
        <v>2003</v>
      </c>
      <c r="AM5" s="70" t="s">
        <v>2004</v>
      </c>
      <c r="AN5" s="2298" t="s">
        <v>2005</v>
      </c>
      <c r="AO5" s="2068" t="s">
        <v>2006</v>
      </c>
      <c r="AP5" s="1247" t="s">
        <v>2007</v>
      </c>
      <c r="AQ5" s="2299" t="s">
        <v>2008</v>
      </c>
      <c r="AR5" s="2299" t="s">
        <v>2009</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57689</v>
      </c>
      <c r="F6" s="72">
        <f>SUMIF(项目基本情况!D$12:I$12,C6,项目基本情况!D$15:I$15)</f>
        <v>38.590000000000003</v>
      </c>
      <c r="G6" s="73">
        <f>IF(ISERROR(ROUND(POWER(1+H6,D6-F6)*(POWER(1+H6,F6)-1)/(POWER(1+H6,D6)-1),3)),0,ROUND(POWER(1+H6,D6-F6)*(POWER(1+H6,F6)-1)/(POWER(1+H6,D6)-1),3))</f>
        <v>0.92900000000000005</v>
      </c>
      <c r="H6" s="800">
        <v>0.05</v>
      </c>
      <c r="I6" s="800">
        <v>5.5E-2</v>
      </c>
      <c r="J6" s="74">
        <v>0.08</v>
      </c>
      <c r="K6" s="1249">
        <f>SUMIF('数据-汇总表'!C$19:C$33,A6,'数据-汇总表'!E$19:E$33)</f>
        <v>19736.88</v>
      </c>
      <c r="L6" s="801">
        <v>2800</v>
      </c>
      <c r="M6" s="75">
        <f t="shared" ref="M6:M14" si="0">ROUND(K6*L6/10000,0)</f>
        <v>5526</v>
      </c>
      <c r="N6" s="799">
        <f>N18</f>
        <v>0.93</v>
      </c>
      <c r="O6" s="75" t="str">
        <f>IF($N$5="成新度","——",ROUND(M6*N6,0))</f>
        <v>——</v>
      </c>
      <c r="P6" s="76" t="str">
        <f>IF($N$5="成新度","——",M6-O6)</f>
        <v>——</v>
      </c>
      <c r="Q6" s="802">
        <v>0.15</v>
      </c>
      <c r="R6" s="77">
        <f ca="1">SUMIF('数据-汇总表'!C$19:C$33,A6,'数据-汇总表'!R$19:R$27)</f>
        <v>4377.9399999999996</v>
      </c>
      <c r="S6" s="54">
        <f>IF('数据-汇总表'!$I$17="按面积比例",SUMIF('数据-汇总表'!C$19:C$33,A6,'数据-汇总表'!K$19:K$33),SUMIF('数据-汇总表'!C$19:C$33,A6,'数据-汇总表'!N$19:N$33))</f>
        <v>0</v>
      </c>
      <c r="T6" s="1441">
        <f>ROUND($L$14*S6/10000,0)</f>
        <v>0</v>
      </c>
      <c r="U6" s="78">
        <v>5.5</v>
      </c>
      <c r="V6" s="79">
        <v>2.5000000000000001E-2</v>
      </c>
      <c r="W6" s="79">
        <v>0.1</v>
      </c>
      <c r="X6" s="1259"/>
      <c r="Y6" s="80">
        <f>N6</f>
        <v>0.93</v>
      </c>
      <c r="Z6" s="81"/>
      <c r="AA6" s="74"/>
      <c r="AB6" s="74"/>
      <c r="AC6" s="1259"/>
      <c r="AD6" s="82"/>
      <c r="AE6" s="1260">
        <f ca="1">IF(AN6="",0,SUMIF(INDIRECT("'"&amp;AN6&amp;"'"&amp;"!E:E"),$AE$5,INDIRECT("'"&amp;AN6&amp;"'"&amp;"!F:F")))</f>
        <v>38.590000000000003</v>
      </c>
      <c r="AF6" s="1802"/>
      <c r="AG6" s="147">
        <f>IF(AF6="",0,AE6-AF6)</f>
        <v>0</v>
      </c>
      <c r="AH6" s="83"/>
      <c r="AI6" s="85">
        <v>365</v>
      </c>
      <c r="AJ6" s="86"/>
      <c r="AK6" s="87">
        <v>1.4999999999999999E-2</v>
      </c>
      <c r="AL6" s="88">
        <v>1.5E-3</v>
      </c>
      <c r="AM6" s="89">
        <v>1.4999999999999999E-2</v>
      </c>
      <c r="AN6" s="2303" t="s">
        <v>3172</v>
      </c>
      <c r="AO6" s="55">
        <f ca="1">SUMIF(INDIRECT("'"&amp;AN6&amp;"'"&amp;"!A:A"),"总价",INDIRECT("'"&amp;AN6&amp;"'"&amp;"!B:B"))</f>
        <v>61846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商业</v>
      </c>
      <c r="B7" s="2301" t="str">
        <f t="shared" ref="B7:B13" si="1">IF(A7=0,"","经营性")</f>
        <v>经营性</v>
      </c>
      <c r="C7" s="2302" t="s">
        <v>1373</v>
      </c>
      <c r="D7" s="1049">
        <f>SUMIF(项目基本情况!D$12:I$12,C7,项目基本情况!D$14:I$14)</f>
        <v>40</v>
      </c>
      <c r="E7" s="1046">
        <f>IF(B7="","",SUMIF(项目基本情况!D$12:I$12,C7,项目基本情况!D$13:I$13))</f>
        <v>54036</v>
      </c>
      <c r="F7" s="72">
        <f>SUMIF(项目基本情况!D$12:I$12,C7,项目基本情况!D$15:I$15)</f>
        <v>28.58</v>
      </c>
      <c r="G7" s="73">
        <f t="shared" ref="G7:G11" si="2">IF(ISERROR(ROUND(POWER(1+H7,D7-F7)*(POWER(1+H7,F7)-1)/(POWER(1+H7,D7)-1),3)),0,ROUND(POWER(1+H7,D7-F7)*(POWER(1+H7,F7)-1)/(POWER(1+H7,D7)-1),3))</f>
        <v>0.877</v>
      </c>
      <c r="H7" s="800">
        <v>0.05</v>
      </c>
      <c r="I7" s="800">
        <v>5.5E-2</v>
      </c>
      <c r="J7" s="74">
        <v>0.08</v>
      </c>
      <c r="K7" s="1249">
        <f>SUMIF('数据-汇总表'!C$19:C$33,A7,'数据-汇总表'!E$19:E$33)</f>
        <v>19900.510000000002</v>
      </c>
      <c r="L7" s="801">
        <v>2800</v>
      </c>
      <c r="M7" s="75">
        <f t="shared" si="0"/>
        <v>5572</v>
      </c>
      <c r="N7" s="799">
        <f>N6</f>
        <v>0.93</v>
      </c>
      <c r="O7" s="75" t="str">
        <f t="shared" ref="O7:O14" si="3">IF($N$5="成新度","——",ROUND(M7*N7,0))</f>
        <v>——</v>
      </c>
      <c r="P7" s="76" t="str">
        <f t="shared" ref="P7:P14" si="4">IF($N$5="成新度","——",M7-O7)</f>
        <v>——</v>
      </c>
      <c r="Q7" s="802">
        <v>0.2</v>
      </c>
      <c r="R7" s="77">
        <f ca="1">SUMIF('数据-汇总表'!C$19:C$33,A7,'数据-汇总表'!R$19:R$27)</f>
        <v>4414.24</v>
      </c>
      <c r="S7" s="54">
        <f>IF('数据-汇总表'!$I$17="按面积比例",SUMIF('数据-汇总表'!C$19:C$33,A7,'数据-汇总表'!K$19:K$33),SUMIF('数据-汇总表'!C$19:C$33,A7,'数据-汇总表'!N$19:N$33))</f>
        <v>0</v>
      </c>
      <c r="T7" s="1441">
        <f t="shared" ref="T7:T13" si="5">ROUND($L$14*S7/10000,0)</f>
        <v>0</v>
      </c>
      <c r="U7" s="78">
        <f>'201905富兴国际出租情况'!F30</f>
        <v>3.9</v>
      </c>
      <c r="V7" s="79">
        <v>2.5000000000000001E-2</v>
      </c>
      <c r="W7" s="79">
        <v>0.1</v>
      </c>
      <c r="X7" s="1259"/>
      <c r="Y7" s="80">
        <f>N7</f>
        <v>0.93</v>
      </c>
      <c r="Z7" s="81"/>
      <c r="AA7" s="74"/>
      <c r="AB7" s="74"/>
      <c r="AC7" s="1259"/>
      <c r="AD7" s="82"/>
      <c r="AE7" s="1260">
        <f t="shared" ref="AE7:AE13" ca="1" si="6">IF(AN7="",0,SUMIF(INDIRECT("'"&amp;AN7&amp;"'"&amp;"!E:E"),$AE$5,INDIRECT("'"&amp;AN7&amp;"'"&amp;"!F:F")))</f>
        <v>28.58</v>
      </c>
      <c r="AF7" s="1802"/>
      <c r="AG7" s="147">
        <f t="shared" ref="AG7:AG13" si="7">IF(AF7="",0,AE7-AF7)</f>
        <v>0</v>
      </c>
      <c r="AH7" s="83"/>
      <c r="AI7" s="85">
        <v>365</v>
      </c>
      <c r="AJ7" s="86"/>
      <c r="AK7" s="87">
        <f>AK6</f>
        <v>1.4999999999999999E-2</v>
      </c>
      <c r="AL7" s="88">
        <f>AL6</f>
        <v>1.5E-3</v>
      </c>
      <c r="AM7" s="89">
        <f>AM6</f>
        <v>1.4999999999999999E-2</v>
      </c>
      <c r="AN7" s="2303" t="s">
        <v>3174</v>
      </c>
      <c r="AO7" s="55">
        <f t="shared" ref="AO7:AO13" ca="1" si="8">SUMIF(INDIRECT("'"&amp;AN7&amp;"'"&amp;"!A:A"),"总价",INDIRECT("'"&amp;AN7&amp;"'"&amp;"!B:B"))</f>
        <v>36144</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车库</v>
      </c>
      <c r="B8" s="2301" t="str">
        <f t="shared" si="1"/>
        <v>经营性</v>
      </c>
      <c r="C8" s="2302" t="s">
        <v>3083</v>
      </c>
      <c r="D8" s="1049">
        <f>SUMIF(项目基本情况!D$12:I$12,C8,项目基本情况!D$14:I$14)</f>
        <v>50</v>
      </c>
      <c r="E8" s="1046">
        <f>IF(B8="","",SUMIF(项目基本情况!D$12:I$12,C8,项目基本情况!D$13:I$13))</f>
        <v>57689</v>
      </c>
      <c r="F8" s="72">
        <f>SUMIF(项目基本情况!D$12:I$12,C8,项目基本情况!D$15:I$15)</f>
        <v>38.590000000000003</v>
      </c>
      <c r="G8" s="73">
        <f t="shared" si="2"/>
        <v>0.91900000000000004</v>
      </c>
      <c r="H8" s="800">
        <v>4.4999999999999998E-2</v>
      </c>
      <c r="I8" s="800">
        <v>5.5E-2</v>
      </c>
      <c r="J8" s="74">
        <v>0.08</v>
      </c>
      <c r="K8" s="1249">
        <f>SUMIF('数据-汇总表'!C$19:C$33,A8,'数据-汇总表'!E$19:E$33)</f>
        <v>12246.83</v>
      </c>
      <c r="L8" s="801">
        <v>2000</v>
      </c>
      <c r="M8" s="75">
        <f>ROUND(K8*L8/10000,0)</f>
        <v>2449</v>
      </c>
      <c r="N8" s="799">
        <f>N6</f>
        <v>0.93</v>
      </c>
      <c r="O8" s="75" t="str">
        <f t="shared" si="3"/>
        <v>——</v>
      </c>
      <c r="P8" s="76" t="str">
        <f t="shared" si="4"/>
        <v>——</v>
      </c>
      <c r="Q8" s="802">
        <v>0.1</v>
      </c>
      <c r="R8" s="77">
        <f ca="1">SUMIF('数据-汇总表'!C$19:C$33,A8,'数据-汇总表'!R$19:R$27)</f>
        <v>2716.54</v>
      </c>
      <c r="S8" s="54">
        <f>IF('数据-汇总表'!$I$17="按面积比例",SUMIF('数据-汇总表'!C$19:C$33,A8,'数据-汇总表'!K$19:K$33),SUMIF('数据-汇总表'!C$19:C$33,A8,'数据-汇总表'!N$19:N$33))</f>
        <v>0</v>
      </c>
      <c r="T8" s="1441">
        <f t="shared" si="5"/>
        <v>0</v>
      </c>
      <c r="U8" s="803">
        <v>800</v>
      </c>
      <c r="V8" s="804">
        <v>0.01</v>
      </c>
      <c r="W8" s="804">
        <v>0.1</v>
      </c>
      <c r="X8" s="1259"/>
      <c r="Y8" s="805">
        <f>N6</f>
        <v>0.93</v>
      </c>
      <c r="Z8" s="81"/>
      <c r="AA8" s="74"/>
      <c r="AB8" s="74"/>
      <c r="AC8" s="1259"/>
      <c r="AD8" s="82"/>
      <c r="AE8" s="1260">
        <f t="shared" ca="1" si="6"/>
        <v>38.590000000000003</v>
      </c>
      <c r="AF8" s="1802"/>
      <c r="AG8" s="147">
        <f t="shared" si="7"/>
        <v>0</v>
      </c>
      <c r="AH8" s="806">
        <v>275</v>
      </c>
      <c r="AI8" s="85">
        <v>12</v>
      </c>
      <c r="AJ8" s="86"/>
      <c r="AK8" s="807">
        <f>AK6</f>
        <v>1.4999999999999999E-2</v>
      </c>
      <c r="AL8" s="808">
        <f>AL6</f>
        <v>1.5E-3</v>
      </c>
      <c r="AM8" s="809">
        <f>AM6</f>
        <v>1.4999999999999999E-2</v>
      </c>
      <c r="AN8" s="2303" t="s">
        <v>3176</v>
      </c>
      <c r="AO8" s="55">
        <f t="shared" ca="1" si="8"/>
        <v>2442</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2010</v>
      </c>
      <c r="B14" s="2301" t="s">
        <v>2011</v>
      </c>
      <c r="C14" s="2306"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2012</v>
      </c>
      <c r="B15" s="2301" t="s">
        <v>2011</v>
      </c>
      <c r="C15" s="2306"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2014</v>
      </c>
      <c r="B16" s="97"/>
      <c r="C16" s="1003"/>
      <c r="D16" s="2308"/>
      <c r="E16" s="97"/>
      <c r="F16" s="97"/>
      <c r="G16" s="98">
        <f>ROUND(SUMPRODUCT(G6:G13,K6:K13)/SUMPRODUCT((G6:G13&gt;0)*(K6:K13)),3)</f>
        <v>0.90700000000000003</v>
      </c>
      <c r="H16" s="99">
        <f>ROUND(SUMPRODUCT(H6:H13,K6:K13)/SUMPRODUCT((H6:H13&gt;0)*(K6:K13)),3)</f>
        <v>4.9000000000000002E-2</v>
      </c>
      <c r="I16" s="100"/>
      <c r="J16" s="100"/>
      <c r="K16" s="101">
        <f>SUM(K6:K15)</f>
        <v>51884.22</v>
      </c>
      <c r="L16" s="102">
        <f>ROUND(M16*10000/SUM(K6:K14),0)</f>
        <v>2611</v>
      </c>
      <c r="M16" s="102">
        <f>SUM(M6:M14)</f>
        <v>13547</v>
      </c>
      <c r="N16" s="103">
        <f>ROUND(SUMPRODUCT(M6:M14,N6:N14)/M16,3)</f>
        <v>0.93</v>
      </c>
      <c r="O16" s="102">
        <f>SUM(O6:O14)</f>
        <v>0</v>
      </c>
      <c r="P16" s="102">
        <f>SUM(P6:P14)</f>
        <v>0</v>
      </c>
      <c r="Q16" s="104">
        <f>ROUND(SUMPRODUCT(Q6:Q13,K6:K13)/SUMPRODUCT((Q6:Q13&gt;0)*(K6:K13)),2)</f>
        <v>0.16</v>
      </c>
      <c r="R16" s="1253">
        <f ca="1">SUM(R6:R13)</f>
        <v>11508.720000000001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4"/>
      <c r="C18" s="2271"/>
      <c r="D18" s="2272"/>
      <c r="E18" s="2271"/>
      <c r="F18" s="2271"/>
      <c r="G18" s="2271"/>
      <c r="H18" s="2271"/>
      <c r="I18" s="2271"/>
      <c r="J18" s="2271"/>
      <c r="K18" s="168"/>
      <c r="L18" s="168"/>
      <c r="M18" s="1579"/>
      <c r="N18" s="1579">
        <f>ROUND(1-(2019-2015)/60,2)</f>
        <v>0.93</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2016</v>
      </c>
      <c r="B19" s="112">
        <v>0</v>
      </c>
      <c r="C19" s="2271" t="s">
        <v>2017</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2018</v>
      </c>
      <c r="B20" s="113">
        <v>2</v>
      </c>
      <c r="C20" s="2271" t="s">
        <v>2019</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2020</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2021</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2022</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2023</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2024</v>
      </c>
      <c r="B26" s="2314" t="s">
        <v>2025</v>
      </c>
      <c r="C26" s="2315" t="s">
        <v>2026</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2027</v>
      </c>
      <c r="B27" s="116">
        <v>160</v>
      </c>
      <c r="C27" s="1762" t="s">
        <v>2028</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2029</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2030</v>
      </c>
      <c r="B29" s="121"/>
      <c r="C29" s="1762" t="s">
        <v>2031</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2032</v>
      </c>
      <c r="B30" s="722">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2033</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2034</v>
      </c>
      <c r="B32" s="723">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2035</v>
      </c>
      <c r="B33" s="724">
        <v>0.03</v>
      </c>
      <c r="C33" s="1761" t="s">
        <v>2036</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2037</v>
      </c>
      <c r="B34" s="122">
        <v>0</v>
      </c>
      <c r="C34" s="1761" t="s">
        <v>2038</v>
      </c>
      <c r="D34" s="2272" t="s">
        <v>2039</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2040</v>
      </c>
      <c r="B35" s="119">
        <v>200</v>
      </c>
      <c r="C35" s="1761" t="s">
        <v>2041</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2042</v>
      </c>
      <c r="B36" s="123">
        <v>1.4999999999999999E-2</v>
      </c>
      <c r="C36" s="1761" t="s">
        <v>2043</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2044</v>
      </c>
      <c r="B37" s="124">
        <v>0.02</v>
      </c>
      <c r="C37" s="1761" t="s">
        <v>2045</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2046</v>
      </c>
      <c r="B38" s="122">
        <v>0.02</v>
      </c>
      <c r="C38" s="1761" t="s">
        <v>2045</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2047</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2048</v>
      </c>
      <c r="B40" s="1298">
        <f ca="1">存贷款利率!G1</f>
        <v>4.7500000000000001E-2</v>
      </c>
      <c r="C40" s="1761" t="s">
        <v>2049</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2050</v>
      </c>
      <c r="B41" s="125">
        <f>B42+B43</f>
        <v>5.5000000000000007E-2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2051</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2052</v>
      </c>
      <c r="B43" s="127">
        <f>B42*(B44+B45+B46)+B47</f>
        <v>5.000000000000001E-3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2053</v>
      </c>
      <c r="B44" s="128">
        <v>0.05</v>
      </c>
      <c r="C44" s="1761" t="s">
        <v>2054</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2055</v>
      </c>
      <c r="B45" s="126">
        <v>0.03</v>
      </c>
      <c r="C45" s="1762" t="s">
        <v>2056</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2057</v>
      </c>
      <c r="B46" s="126">
        <v>0.02</v>
      </c>
      <c r="C46" s="1762" t="s">
        <v>2058</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2059</v>
      </c>
      <c r="B47" s="129"/>
      <c r="C47" s="1762" t="s">
        <v>2060</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2061</v>
      </c>
      <c r="B48" s="130">
        <v>0.03</v>
      </c>
      <c r="C48" s="1769" t="s">
        <v>2062</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2063</v>
      </c>
      <c r="B49" s="126">
        <v>5.0000000000000001E-4</v>
      </c>
      <c r="C49" s="1769" t="s">
        <v>2064</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2065</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2066</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2067</v>
      </c>
      <c r="B52" s="133">
        <f>SUMIF(A54:A63,B53,B54:B63)</f>
        <v>1.5</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2068</v>
      </c>
      <c r="B53" s="2330" t="s">
        <v>56</v>
      </c>
      <c r="C53" s="1425" t="s">
        <v>2069</v>
      </c>
      <c r="D53" s="2331" t="s">
        <v>2070</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2071</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2072</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2073</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2074</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2075</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2076</v>
      </c>
      <c r="B59" s="84">
        <v>1.5</v>
      </c>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2077</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2078</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2079</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2080</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96" t="s">
        <v>2081</v>
      </c>
      <c r="B1" s="3097"/>
      <c r="C1" s="3097"/>
      <c r="D1" s="3097"/>
      <c r="E1" s="3097"/>
      <c r="F1" s="3097"/>
      <c r="G1" s="309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54">
      <c r="A3" s="415" t="s">
        <v>2084</v>
      </c>
      <c r="B3" s="1266" t="s">
        <v>2085</v>
      </c>
      <c r="C3" s="2364" t="s">
        <v>2086</v>
      </c>
      <c r="D3" s="2365"/>
      <c r="E3" s="431" t="s">
        <v>2084</v>
      </c>
      <c r="F3" s="2366" t="s">
        <v>2087</v>
      </c>
      <c r="G3" s="2367" t="s">
        <v>2088</v>
      </c>
      <c r="H3" s="2362"/>
      <c r="I3" s="2362"/>
      <c r="J3" s="2362"/>
      <c r="K3" s="2362"/>
      <c r="L3" s="2362"/>
      <c r="M3" s="2362"/>
      <c r="N3" s="2362"/>
      <c r="O3" s="2362"/>
      <c r="P3" s="2362"/>
      <c r="Q3" s="2362"/>
      <c r="R3" s="2362"/>
    </row>
    <row r="4" spans="1:29" ht="41.25">
      <c r="A4" s="431"/>
      <c r="B4" s="1793" t="s">
        <v>2089</v>
      </c>
      <c r="C4" s="2368" t="s">
        <v>2090</v>
      </c>
      <c r="D4" s="2365"/>
      <c r="E4" s="2369"/>
      <c r="F4" s="42" t="s">
        <v>2091</v>
      </c>
      <c r="G4" s="2370" t="s">
        <v>2092</v>
      </c>
      <c r="H4" s="2362"/>
      <c r="I4" s="2362"/>
      <c r="J4" s="2362"/>
      <c r="K4" s="2362"/>
      <c r="L4" s="2362"/>
      <c r="M4" s="2362"/>
      <c r="N4" s="2362"/>
      <c r="O4" s="2362"/>
      <c r="P4" s="2362"/>
      <c r="Q4" s="2362"/>
      <c r="R4" s="2362"/>
    </row>
    <row r="5" spans="1:29" ht="41.25">
      <c r="A5" s="431"/>
      <c r="B5" s="1793" t="s">
        <v>2093</v>
      </c>
      <c r="C5" s="2368" t="s">
        <v>2094</v>
      </c>
      <c r="D5" s="2365"/>
      <c r="E5" s="2369"/>
      <c r="F5" s="1793" t="s">
        <v>2095</v>
      </c>
      <c r="G5" s="2370" t="s">
        <v>2096</v>
      </c>
      <c r="H5" s="2362"/>
      <c r="I5" s="2362"/>
      <c r="J5" s="2362"/>
      <c r="K5" s="2362"/>
      <c r="L5" s="2362"/>
      <c r="M5" s="2362"/>
      <c r="N5" s="2362"/>
      <c r="O5" s="2362"/>
      <c r="P5" s="2362"/>
      <c r="Q5" s="2362"/>
      <c r="R5" s="2362"/>
    </row>
    <row r="6" spans="1:29" ht="54">
      <c r="A6" s="431"/>
      <c r="B6" s="1793" t="s">
        <v>2097</v>
      </c>
      <c r="C6" s="2370" t="s">
        <v>2092</v>
      </c>
      <c r="D6" s="2365"/>
      <c r="E6" s="2369"/>
      <c r="F6" s="1793" t="s">
        <v>2098</v>
      </c>
      <c r="G6" s="2370" t="s">
        <v>2099</v>
      </c>
      <c r="H6" s="2362"/>
      <c r="I6" s="2362"/>
      <c r="J6" s="2362"/>
      <c r="K6" s="2362"/>
      <c r="L6" s="2362"/>
      <c r="M6" s="2362"/>
      <c r="N6" s="2362"/>
      <c r="O6" s="2362"/>
      <c r="P6" s="2362"/>
      <c r="Q6" s="2362"/>
      <c r="R6" s="2362"/>
    </row>
    <row r="7" spans="1:29" ht="41.25" thickBot="1">
      <c r="A7" s="431"/>
      <c r="B7" s="1793" t="s">
        <v>2095</v>
      </c>
      <c r="C7" s="2370" t="s">
        <v>2096</v>
      </c>
      <c r="D7" s="2371"/>
      <c r="E7" s="2372"/>
      <c r="F7" s="2373" t="s">
        <v>2100</v>
      </c>
      <c r="G7" s="2374" t="s">
        <v>2101</v>
      </c>
      <c r="H7" s="2362"/>
      <c r="I7" s="2362"/>
      <c r="J7" s="2362"/>
      <c r="K7" s="2362"/>
      <c r="L7" s="2362"/>
      <c r="M7" s="2362"/>
      <c r="N7" s="2362"/>
      <c r="O7" s="2362"/>
      <c r="P7" s="2362"/>
      <c r="Q7" s="2362"/>
      <c r="R7" s="2362"/>
    </row>
    <row r="8" spans="1:29" ht="27">
      <c r="A8" s="431"/>
      <c r="B8" s="1793" t="s">
        <v>2098</v>
      </c>
      <c r="C8" s="2370" t="s">
        <v>2099</v>
      </c>
      <c r="D8" s="2371"/>
      <c r="E8" s="2371"/>
      <c r="F8" s="1131"/>
      <c r="G8" s="1131"/>
      <c r="H8" s="2362"/>
      <c r="I8" s="2362"/>
      <c r="J8" s="2362"/>
      <c r="K8" s="2362"/>
      <c r="L8" s="2362"/>
      <c r="M8" s="2362"/>
      <c r="N8" s="2362"/>
      <c r="O8" s="2362"/>
      <c r="P8" s="2362"/>
      <c r="Q8" s="2362"/>
      <c r="R8" s="2362"/>
    </row>
    <row r="9" spans="1:29" ht="27">
      <c r="A9" s="431"/>
      <c r="B9" s="1793" t="s">
        <v>2102</v>
      </c>
      <c r="C9" s="2368" t="s">
        <v>2103</v>
      </c>
      <c r="D9" s="2365"/>
      <c r="E9" s="2371"/>
      <c r="F9" s="1131"/>
      <c r="G9" s="1131"/>
      <c r="H9" s="2362"/>
      <c r="I9" s="2362"/>
      <c r="J9" s="2362"/>
      <c r="K9" s="2362"/>
      <c r="L9" s="2362"/>
      <c r="M9" s="2362"/>
      <c r="N9" s="2362"/>
      <c r="O9" s="2362"/>
      <c r="P9" s="2362"/>
      <c r="Q9" s="2362"/>
      <c r="R9" s="2362"/>
    </row>
    <row r="10" spans="1:29" s="117" customFormat="1" ht="15.75" thickBot="1">
      <c r="A10" s="2375"/>
      <c r="B10" s="2376" t="s">
        <v>2104</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2105</v>
      </c>
      <c r="B13" s="2382"/>
      <c r="C13" s="2382"/>
      <c r="D13" s="2389"/>
      <c r="E13" s="2382"/>
      <c r="F13" s="2382"/>
      <c r="G13" s="2382"/>
    </row>
    <row r="14" spans="1:29" ht="15.75" thickBot="1">
      <c r="A14" s="2393"/>
      <c r="B14" s="2394"/>
      <c r="C14" s="2395" t="s">
        <v>2106</v>
      </c>
      <c r="D14" s="2365"/>
      <c r="E14" s="2396"/>
      <c r="F14" s="2396"/>
      <c r="G14" s="2359" t="s">
        <v>2107</v>
      </c>
    </row>
    <row r="15" spans="1:29" ht="57">
      <c r="A15" s="68" t="s">
        <v>2108</v>
      </c>
      <c r="B15" s="1265" t="s">
        <v>2085</v>
      </c>
      <c r="C15" s="2397" t="str">
        <f>C3</f>
        <v>估价对象周边居住用地比例、居住小区规模和社区发展完善程度，综合评价居住社区成熟度一般</v>
      </c>
      <c r="D15" s="2365"/>
      <c r="E15" s="2398" t="s">
        <v>2109</v>
      </c>
      <c r="F15" s="1265" t="s">
        <v>2110</v>
      </c>
      <c r="G15" s="135" t="str">
        <f>G3</f>
        <v>估价对象位于XX开发区，园区建设成熟度XX，产业集聚程度XX</v>
      </c>
    </row>
    <row r="16" spans="1:29" ht="42.75">
      <c r="A16" s="645"/>
      <c r="B16" s="2399" t="s">
        <v>2089</v>
      </c>
      <c r="C16" s="2400" t="str">
        <f>C4</f>
        <v>估价对象位于XX商圈，周边商业氛围成熟，人流量大，商业繁华度好</v>
      </c>
      <c r="D16" s="2365"/>
      <c r="E16" s="2401"/>
      <c r="F16" s="2402" t="s">
        <v>2091</v>
      </c>
      <c r="G16" s="136" t="str">
        <f>G4</f>
        <v>估价对象周边道路状况、公共交通通达情况、停车便捷程度，综合评价交通便捷度较好</v>
      </c>
    </row>
    <row r="17" spans="1:18" ht="42.75">
      <c r="A17" s="645"/>
      <c r="B17" s="2399" t="s">
        <v>2093</v>
      </c>
      <c r="C17" s="2400" t="str">
        <f>C5</f>
        <v>估价对象位于XX商圈，周边办公楼项目较多，入驻率高，办公集聚程度较好</v>
      </c>
      <c r="D17" s="2371"/>
      <c r="E17" s="2401"/>
      <c r="F17" s="2402" t="s">
        <v>2111</v>
      </c>
      <c r="G17" s="1567"/>
    </row>
    <row r="18" spans="1:18" ht="57">
      <c r="A18" s="645"/>
      <c r="B18" s="2402" t="s">
        <v>2097</v>
      </c>
      <c r="C18" s="136" t="str">
        <f>C6</f>
        <v>估价对象周边道路状况、公共交通通达情况、停车便捷程度，综合评价交通便捷度较好</v>
      </c>
      <c r="D18" s="2371"/>
      <c r="E18" s="2401"/>
      <c r="F18" s="2402" t="s">
        <v>2100</v>
      </c>
      <c r="G18" s="136" t="str">
        <f>G7</f>
        <v>该园区内是否有污染型企业，绿化情况，卫生条件，整体环境状况判断</v>
      </c>
    </row>
    <row r="19" spans="1:18" ht="28.5">
      <c r="A19" s="645"/>
      <c r="B19" s="2402" t="s">
        <v>2112</v>
      </c>
      <c r="C19" s="1567"/>
      <c r="D19" s="2365"/>
      <c r="E19" s="2401"/>
      <c r="F19" s="1793" t="s">
        <v>2095</v>
      </c>
      <c r="G19" s="136" t="str">
        <f>G5</f>
        <v>估价对象所在区域公共配套设施齐备情况</v>
      </c>
    </row>
    <row r="20" spans="1:18" ht="28.5">
      <c r="A20" s="645"/>
      <c r="B20" s="2402" t="s">
        <v>2113</v>
      </c>
      <c r="C20" s="2400" t="str">
        <f>C9</f>
        <v>区域自然环境：；人文环境；综合评价环境状况一般</v>
      </c>
      <c r="D20" s="2371"/>
      <c r="E20" s="2401"/>
      <c r="F20" s="1793" t="s">
        <v>2114</v>
      </c>
      <c r="G20" s="136" t="str">
        <f>G6</f>
        <v>估价对象所在区域基础设施水平</v>
      </c>
    </row>
    <row r="21" spans="1:18" ht="28.5">
      <c r="A21" s="645"/>
      <c r="B21" s="1793" t="s">
        <v>2095</v>
      </c>
      <c r="C21" s="136" t="str">
        <f>C7</f>
        <v>估价对象所在区域公共配套设施齐备情况</v>
      </c>
      <c r="D21" s="2365"/>
      <c r="E21" s="2401"/>
      <c r="F21" s="2402" t="s">
        <v>2115</v>
      </c>
      <c r="G21" s="2403"/>
    </row>
    <row r="22" spans="1:18" ht="13.5" customHeight="1">
      <c r="A22" s="645"/>
      <c r="B22" s="1793" t="s">
        <v>2098</v>
      </c>
      <c r="C22" s="136" t="str">
        <f>C8</f>
        <v>估价对象所在区域基础设施水平</v>
      </c>
      <c r="D22" s="2365"/>
      <c r="E22" s="2401"/>
      <c r="F22" s="2402" t="s">
        <v>2104</v>
      </c>
      <c r="G22" s="1567"/>
    </row>
    <row r="23" spans="1:18" s="2362" customFormat="1" ht="15.75" thickBot="1">
      <c r="A23" s="645"/>
      <c r="B23" s="2402" t="s">
        <v>2115</v>
      </c>
      <c r="C23" s="2403"/>
      <c r="D23" s="2390"/>
      <c r="E23" s="2404"/>
      <c r="F23" s="2405" t="s">
        <v>2116</v>
      </c>
      <c r="G23" s="2406"/>
      <c r="H23" s="2390"/>
      <c r="I23" s="2391"/>
      <c r="J23" s="2390"/>
      <c r="K23" s="2390"/>
      <c r="L23" s="2391"/>
      <c r="M23" s="2390"/>
      <c r="N23" s="2390"/>
      <c r="O23" s="2391"/>
      <c r="P23" s="2390"/>
      <c r="Q23" s="2390"/>
      <c r="R23" s="2392"/>
    </row>
    <row r="24" spans="1:18" s="2362" customFormat="1" ht="15.75" thickBot="1">
      <c r="A24" s="2407"/>
      <c r="B24" s="2405" t="s">
        <v>2117</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7" sqref="G17"/>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51884.22</v>
      </c>
      <c r="C1" s="1740"/>
      <c r="D1" s="1740"/>
      <c r="E1" s="1740"/>
      <c r="F1" s="1740"/>
      <c r="G1" s="1738"/>
    </row>
    <row r="2" spans="1:10" ht="16.5">
      <c r="A2" s="1741" t="s">
        <v>1349</v>
      </c>
      <c r="B2" s="1741">
        <f>SUM(C14:C23)</f>
        <v>11508.720000000001</v>
      </c>
      <c r="C2" s="1740"/>
      <c r="D2" s="1740"/>
      <c r="E2" s="1740"/>
      <c r="F2" s="1740"/>
      <c r="G2" s="1738"/>
    </row>
    <row r="3" spans="1:10" ht="16.5">
      <c r="A3" s="1741" t="s">
        <v>1358</v>
      </c>
      <c r="B3" s="1742">
        <f>项目基本情况!D3</f>
        <v>43602</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110101</v>
      </c>
      <c r="C5" s="1741">
        <f ca="1">ROUND(B5*10000/$B$1,0)</f>
        <v>21221</v>
      </c>
      <c r="D5" s="1741">
        <f ca="1">ROUND(B5*10000/$B$2,0)</f>
        <v>95667</v>
      </c>
      <c r="E5" s="1740"/>
      <c r="F5" s="1738"/>
      <c r="G5" s="1738"/>
    </row>
    <row r="6" spans="1:10" ht="16.5">
      <c r="A6" s="1741" t="s">
        <v>1352</v>
      </c>
      <c r="B6" s="1741">
        <f ca="1">SUM(G14:G23)</f>
        <v>110101</v>
      </c>
      <c r="C6" s="1741">
        <f ca="1">ROUND(B6*10000/$B$1,0)</f>
        <v>21221</v>
      </c>
      <c r="D6" s="1741">
        <f ca="1">ROUND(B6*10000/$B$2,0)</f>
        <v>95667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结果表办公!B118</f>
        <v>19736.88</v>
      </c>
      <c r="C14" s="1739">
        <f>结果表办公!C118</f>
        <v>4377.9399999999996</v>
      </c>
      <c r="D14" s="1739">
        <f ca="1">结果表办公!H118</f>
        <v>64092</v>
      </c>
      <c r="E14" s="1739">
        <f ca="1">ROUND(D14*10000/B14,0)</f>
        <v>32473</v>
      </c>
      <c r="F14" s="1739">
        <f ca="1">ROUND(D14*10000/C14,0)</f>
        <v>146398</v>
      </c>
      <c r="G14" s="1739">
        <f ca="1">结果表办公!D122</f>
        <v>64092</v>
      </c>
      <c r="H14" s="1739" t="str">
        <f>结果表办公!D124</f>
        <v>——</v>
      </c>
      <c r="I14" s="1739" t="str">
        <f>结果表办公!D126</f>
        <v>——</v>
      </c>
      <c r="J14" s="1738"/>
    </row>
    <row r="15" spans="1:10" ht="16.5">
      <c r="A15" s="1737" t="s">
        <v>1345</v>
      </c>
      <c r="B15" s="1744">
        <f>结果表商业!B118</f>
        <v>19900.510000000002</v>
      </c>
      <c r="C15" s="1744">
        <f>结果表商业!C118</f>
        <v>4414.24</v>
      </c>
      <c r="D15" s="1744">
        <f ca="1">结果表商业!H118</f>
        <v>42458</v>
      </c>
      <c r="E15" s="1739">
        <f t="shared" ref="E15:E23" ca="1" si="0">ROUND(D15*10000/B15,0)</f>
        <v>21335</v>
      </c>
      <c r="F15" s="1739">
        <f t="shared" ref="F15:F23" ca="1" si="1">ROUND(D15*10000/C15,0)</f>
        <v>96184</v>
      </c>
      <c r="G15" s="1745">
        <f ca="1">结果表商业!H107</f>
        <v>42458</v>
      </c>
      <c r="H15" s="1745"/>
      <c r="I15" s="1744"/>
      <c r="J15" s="1738"/>
    </row>
    <row r="16" spans="1:10" ht="16.5">
      <c r="A16" s="1737" t="s">
        <v>1344</v>
      </c>
      <c r="B16" s="1744">
        <f>结果表车库!B118</f>
        <v>12246.83</v>
      </c>
      <c r="C16" s="1744">
        <f>结果表车库!C118</f>
        <v>2716.54</v>
      </c>
      <c r="D16" s="1744">
        <f ca="1">结果表车库!H118</f>
        <v>3551</v>
      </c>
      <c r="E16" s="1739">
        <f t="shared" ca="1" si="0"/>
        <v>2900</v>
      </c>
      <c r="F16" s="1739">
        <f t="shared" ca="1" si="1"/>
        <v>13072</v>
      </c>
      <c r="G16" s="1745">
        <f ca="1">结果表车库!H107</f>
        <v>3551</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3" zoomScaleNormal="100" zoomScaleSheetLayoutView="100" zoomScalePageLayoutView="80" workbookViewId="0">
      <selection activeCell="F26" sqref="F26"/>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2118</v>
      </c>
      <c r="B1" s="2413"/>
      <c r="C1" s="2414" t="s">
        <v>27</v>
      </c>
      <c r="D1" s="2413"/>
      <c r="E1" s="2413"/>
      <c r="F1" s="2415" t="s">
        <v>2119</v>
      </c>
      <c r="G1" s="2065" t="s">
        <v>3072</v>
      </c>
      <c r="H1" s="2416" t="str">
        <f>IF(G1="现房","——","估价对象范围")</f>
        <v>——</v>
      </c>
      <c r="I1" s="2417"/>
    </row>
    <row r="2" spans="1:12" ht="21.75" customHeight="1" thickBot="1">
      <c r="A2" s="3170" t="str">
        <f>项目基本情况!S2</f>
        <v>北京市北京经济技术开发区天华北街11号院1号楼，2号楼，3号楼，4幢等部分办公、商业用房房地产抵押价值评估房地产</v>
      </c>
      <c r="B2" s="3171"/>
      <c r="C2" s="3171"/>
      <c r="D2" s="3171"/>
      <c r="E2" s="3171"/>
      <c r="F2" s="3171"/>
      <c r="G2" s="3171"/>
      <c r="H2" s="3171"/>
      <c r="I2" s="3172"/>
    </row>
    <row r="3" spans="1:12" ht="12.75">
      <c r="A3" s="3173" t="s">
        <v>2120</v>
      </c>
      <c r="B3" s="3174"/>
      <c r="C3" s="3174"/>
      <c r="D3" s="3174"/>
      <c r="E3" s="3174"/>
      <c r="F3" s="3174"/>
      <c r="G3" s="3174"/>
      <c r="H3" s="3174"/>
      <c r="I3" s="3174"/>
    </row>
    <row r="4" spans="1:12" ht="14.25">
      <c r="A4" s="2420" t="s">
        <v>2121</v>
      </c>
      <c r="B4" s="2421" t="s">
        <v>2122</v>
      </c>
      <c r="C4" s="2422" t="s">
        <v>3172</v>
      </c>
      <c r="D4" s="2422" t="s">
        <v>3178</v>
      </c>
      <c r="E4" s="3154" t="s">
        <v>2123</v>
      </c>
      <c r="F4" s="3167"/>
      <c r="G4" s="3167"/>
      <c r="H4" s="3167"/>
      <c r="I4" s="3155"/>
      <c r="K4" s="2423" t="str">
        <f>IF(ISNUMBER(FIND("比较法",结果表办公!C4)),"比较法",IF(ISNUMBER(FIND("成本法",结果表办公!C4)),"成本法",IF(ISNUMBER(FIND("假设开发法",结果表办公!C4)),"假设开发法",IF(ISNUMBER(FIND("收益法",结果表办公!C4)),"收益法","基准地价系数修正法"))))</f>
        <v>收益法</v>
      </c>
      <c r="L4" s="2423"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145" t="s">
        <v>2124</v>
      </c>
      <c r="B5" s="3071">
        <v>25</v>
      </c>
      <c r="C5" s="3175"/>
      <c r="D5" s="3163"/>
      <c r="E5" s="140" t="s">
        <v>2125</v>
      </c>
      <c r="F5" s="2424"/>
      <c r="G5" s="2424"/>
      <c r="H5" s="2424"/>
      <c r="I5" s="1829"/>
    </row>
    <row r="6" spans="1:12" ht="12.75">
      <c r="A6" s="3145"/>
      <c r="B6" s="3071"/>
      <c r="C6" s="3177"/>
      <c r="D6" s="3163"/>
      <c r="E6" s="140" t="s">
        <v>2126</v>
      </c>
      <c r="F6" s="2424"/>
      <c r="G6" s="2424"/>
      <c r="H6" s="2424"/>
      <c r="I6" s="1829"/>
    </row>
    <row r="7" spans="1:12" ht="12.75">
      <c r="A7" s="3145"/>
      <c r="B7" s="3071"/>
      <c r="C7" s="3176"/>
      <c r="D7" s="3163"/>
      <c r="E7" s="140" t="s">
        <v>2127</v>
      </c>
      <c r="F7" s="2424"/>
      <c r="G7" s="2424"/>
      <c r="H7" s="2424"/>
      <c r="I7" s="1829"/>
    </row>
    <row r="8" spans="1:12" ht="12.75">
      <c r="A8" s="3145" t="s">
        <v>2128</v>
      </c>
      <c r="B8" s="3071">
        <v>15</v>
      </c>
      <c r="C8" s="3175"/>
      <c r="D8" s="3163"/>
      <c r="E8" s="140" t="s">
        <v>2129</v>
      </c>
      <c r="F8" s="2424"/>
      <c r="G8" s="2424"/>
      <c r="H8" s="2424"/>
      <c r="I8" s="1829"/>
    </row>
    <row r="9" spans="1:12" ht="12.75">
      <c r="A9" s="3145"/>
      <c r="B9" s="3071"/>
      <c r="C9" s="3176"/>
      <c r="D9" s="3163"/>
      <c r="E9" s="140" t="s">
        <v>2130</v>
      </c>
      <c r="F9" s="2424"/>
      <c r="G9" s="2424"/>
      <c r="H9" s="2424"/>
      <c r="I9" s="1829"/>
    </row>
    <row r="10" spans="1:12" ht="12.75">
      <c r="A10" s="3145" t="s">
        <v>2131</v>
      </c>
      <c r="B10" s="3071">
        <v>15</v>
      </c>
      <c r="C10" s="3175"/>
      <c r="D10" s="3163"/>
      <c r="E10" s="140" t="s">
        <v>2132</v>
      </c>
      <c r="F10" s="2424"/>
      <c r="G10" s="2424"/>
      <c r="H10" s="2424"/>
      <c r="I10" s="1829"/>
    </row>
    <row r="11" spans="1:12" ht="12.75">
      <c r="A11" s="3145"/>
      <c r="B11" s="3071"/>
      <c r="C11" s="3176"/>
      <c r="D11" s="3163"/>
      <c r="E11" s="140" t="s">
        <v>2133</v>
      </c>
      <c r="F11" s="2424"/>
      <c r="G11" s="2424"/>
      <c r="H11" s="2424"/>
      <c r="I11" s="1829"/>
    </row>
    <row r="12" spans="1:12" ht="12.75">
      <c r="A12" s="3145" t="s">
        <v>2134</v>
      </c>
      <c r="B12" s="3071">
        <v>15</v>
      </c>
      <c r="C12" s="3175"/>
      <c r="D12" s="3163"/>
      <c r="E12" s="140" t="s">
        <v>2135</v>
      </c>
      <c r="F12" s="2424"/>
      <c r="G12" s="2424"/>
      <c r="H12" s="2424"/>
      <c r="I12" s="1829"/>
    </row>
    <row r="13" spans="1:12" ht="12.75">
      <c r="A13" s="3145"/>
      <c r="B13" s="3071"/>
      <c r="C13" s="3176"/>
      <c r="D13" s="3163"/>
      <c r="E13" s="140" t="s">
        <v>2136</v>
      </c>
      <c r="F13" s="2424"/>
      <c r="G13" s="2424"/>
      <c r="H13" s="2424"/>
      <c r="I13" s="1829"/>
    </row>
    <row r="14" spans="1:12" ht="12.75">
      <c r="A14" s="3145" t="s">
        <v>2137</v>
      </c>
      <c r="B14" s="3071">
        <v>30</v>
      </c>
      <c r="C14" s="3175">
        <v>5</v>
      </c>
      <c r="D14" s="3163">
        <v>5</v>
      </c>
      <c r="E14" s="140" t="s">
        <v>2138</v>
      </c>
      <c r="F14" s="2424"/>
      <c r="G14" s="2424"/>
      <c r="H14" s="2424"/>
      <c r="I14" s="1829"/>
    </row>
    <row r="15" spans="1:12" ht="12.75">
      <c r="A15" s="3145"/>
      <c r="B15" s="3071"/>
      <c r="C15" s="3177"/>
      <c r="D15" s="3163"/>
      <c r="E15" s="140" t="s">
        <v>2139</v>
      </c>
      <c r="F15" s="2424"/>
      <c r="G15" s="2424"/>
      <c r="H15" s="2424"/>
      <c r="I15" s="1829"/>
    </row>
    <row r="16" spans="1:12" ht="12.75">
      <c r="A16" s="3145"/>
      <c r="B16" s="3071"/>
      <c r="C16" s="3176"/>
      <c r="D16" s="3163"/>
      <c r="E16" s="140" t="s">
        <v>2140</v>
      </c>
      <c r="F16" s="2424"/>
      <c r="G16" s="2424"/>
      <c r="H16" s="2424"/>
      <c r="I16" s="1829"/>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19736.88</v>
      </c>
      <c r="M18" s="2423">
        <f>IF(C1="",'数据-汇总表'!E3,SUMIF(项目类型,C1,'数据-汇总表'!E17:E26))</f>
        <v>19736.88</v>
      </c>
    </row>
    <row r="19" spans="1:35" ht="15">
      <c r="A19" s="2429" t="s">
        <v>2146</v>
      </c>
      <c r="B19" s="2430" t="s">
        <v>2147</v>
      </c>
      <c r="C19" s="143">
        <f ca="1">SUMIF(INDIRECT("'"&amp;C4&amp;"'"&amp;"!A:A"),结果表办公!B19,INDIRECT("'"&amp;C4&amp;"'"&amp;"!B:B"))</f>
        <v>61846</v>
      </c>
      <c r="D19" s="144">
        <f ca="1">SUMIF(INDIRECT("'"&amp;D4&amp;"'"&amp;"!A:A"),结果表办公!B19,INDIRECT("'"&amp;D4&amp;"'"&amp;"!B:B"))</f>
        <v>66338</v>
      </c>
      <c r="E19" s="2429" t="s">
        <v>2148</v>
      </c>
      <c r="F19" s="2430" t="s">
        <v>2147</v>
      </c>
      <c r="G19" s="145">
        <f ca="1">ROUND(C19*$C$18+D19*$D$18,0)</f>
        <v>64092</v>
      </c>
      <c r="H19" s="2431" t="s">
        <v>2149</v>
      </c>
      <c r="I19" s="138"/>
      <c r="K19" s="2423" t="s">
        <v>2150</v>
      </c>
      <c r="L19" s="2423">
        <f>IF(C1="",'数据-汇总表'!D3,SUMIF(项目类型,C1,'数据-汇总表'!D17:D26)+SUMIF(项目类型,C1,'数据-汇总表'!H17:H27))</f>
        <v>4377.9399999999996</v>
      </c>
      <c r="M19" s="2423">
        <f>IF(C1="",'数据-汇总表'!D3,SUMIF(项目类型,C1,'数据-汇总表'!D17:D26))</f>
        <v>4377.9399999999996</v>
      </c>
    </row>
    <row r="20" spans="1:35" ht="15">
      <c r="A20" s="2432"/>
      <c r="B20" s="1245" t="s">
        <v>2151</v>
      </c>
      <c r="C20" s="146">
        <f ca="1">SUMIF(INDIRECT("'"&amp;C4&amp;"'"&amp;"!A:A"),结果表办公!B20,INDIRECT("'"&amp;C4&amp;"'"&amp;"!B:B"))</f>
        <v>31335</v>
      </c>
      <c r="D20" s="147">
        <f ca="1">SUMIF(INDIRECT("'"&amp;D4&amp;"'"&amp;"!A:A"),结果表办公!B20,INDIRECT("'"&amp;D4&amp;"'"&amp;"!B:B"))</f>
        <v>33611</v>
      </c>
      <c r="E20" s="2432"/>
      <c r="F20" s="1245" t="s">
        <v>2151</v>
      </c>
      <c r="G20" s="148">
        <f ca="1">ROUND(C20*$C$18+D20*$D$18,0)</f>
        <v>32473</v>
      </c>
      <c r="H20" s="978" t="s">
        <v>2152</v>
      </c>
      <c r="I20" s="138"/>
    </row>
    <row r="21" spans="1:35" ht="15" customHeight="1" thickBot="1">
      <c r="A21" s="998"/>
      <c r="B21" s="2433" t="s">
        <v>2153</v>
      </c>
      <c r="C21" s="787">
        <f ca="1">ROUND(C19*10000/L19,0)</f>
        <v>141267</v>
      </c>
      <c r="D21" s="788">
        <f ca="1">ROUND(D19*10000/L19,0)</f>
        <v>151528</v>
      </c>
      <c r="E21" s="998"/>
      <c r="F21" s="2433" t="s">
        <v>2153</v>
      </c>
      <c r="G21" s="149">
        <f ca="1">ROUND(G19*10000/L19,0)</f>
        <v>146398</v>
      </c>
      <c r="H21" s="2434" t="s">
        <v>2152</v>
      </c>
      <c r="I21" s="138"/>
    </row>
    <row r="22" spans="1:35" ht="15" thickBot="1">
      <c r="A22" s="2275" t="s">
        <v>2154</v>
      </c>
      <c r="B22" s="2435"/>
      <c r="C22" s="2436"/>
      <c r="D22" s="789">
        <f ca="1">IF(C19&lt;D19,D19/C19-1,C19/D19-1)</f>
        <v>7.2632021472690322E-2</v>
      </c>
      <c r="E22" s="138"/>
      <c r="F22" s="138"/>
      <c r="G22" s="138"/>
      <c r="H22" s="138"/>
      <c r="I22" s="138"/>
    </row>
    <row r="23" spans="1:35" ht="13.5" thickBot="1">
      <c r="A23" s="2413"/>
      <c r="B23" s="2413"/>
      <c r="C23" s="2413"/>
      <c r="D23" s="2413"/>
      <c r="E23" s="138"/>
      <c r="F23" s="138"/>
      <c r="G23" s="138"/>
      <c r="H23" s="138"/>
      <c r="I23" s="138"/>
    </row>
    <row r="24" spans="1:35" ht="14.25">
      <c r="A24" s="3184" t="s">
        <v>2155</v>
      </c>
      <c r="B24" s="2430" t="s">
        <v>2147</v>
      </c>
      <c r="C24" s="145">
        <f>IF(B30=0,0,D30)</f>
        <v>0</v>
      </c>
      <c r="D24" s="2437"/>
      <c r="E24" s="138"/>
      <c r="F24" s="138"/>
      <c r="G24" s="138"/>
      <c r="H24" s="138"/>
      <c r="I24" s="138"/>
    </row>
    <row r="25" spans="1:35" ht="14.25">
      <c r="A25" s="3185"/>
      <c r="B25" s="1245"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12" t="s">
        <v>3037</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2161</v>
      </c>
      <c r="B32" s="2443"/>
      <c r="C32" s="153">
        <f ca="1">IF(D32="总价",G19-C24,G20-C25)</f>
        <v>64092</v>
      </c>
      <c r="D32" s="2444" t="s">
        <v>2162</v>
      </c>
      <c r="E32" s="138"/>
      <c r="F32" s="138"/>
      <c r="G32" s="138"/>
      <c r="H32" s="138"/>
      <c r="I32" s="138"/>
    </row>
    <row r="33" spans="1:15" ht="15">
      <c r="A33" s="955" t="s">
        <v>2163</v>
      </c>
      <c r="B33" s="2445"/>
      <c r="C33" s="2446" t="s">
        <v>3232</v>
      </c>
      <c r="D33" s="2447" t="s">
        <v>3172</v>
      </c>
      <c r="E33" s="2448" t="s">
        <v>2164</v>
      </c>
      <c r="F33" s="2449" t="str">
        <f>IF(D32="楼面单价","取值（单价）","取值（总价）")</f>
        <v>取值（总价）</v>
      </c>
      <c r="G33" s="138"/>
      <c r="H33" s="138"/>
      <c r="I33" s="138"/>
    </row>
    <row r="34" spans="1:15" ht="15">
      <c r="A34" s="2450"/>
      <c r="B34" s="2451" t="s">
        <v>2165</v>
      </c>
      <c r="C34" s="157">
        <f ca="1">IF(C33="自定义",F34,C32-C35)</f>
        <v>49992</v>
      </c>
      <c r="D34" s="1053">
        <f ca="1">IF(C33="自定义",ROUND(C34/C32,3),IF(C33="收益比率",SUMIF(INDIRECT("'"&amp;D33&amp;"'"&amp;"!b:b"),"土地收益比率",INDIRECT("'"&amp;D33&amp;"'"&amp;"!c:c")),SUMIF(INDIRECT("'"&amp;D33&amp;"'"&amp;"!b:b"),"土地成本比率",INDIRECT("'"&amp;D33&amp;"'"&amp;"!c:c"))))</f>
        <v>0.78</v>
      </c>
      <c r="E34" s="2452" t="s">
        <v>2166</v>
      </c>
      <c r="F34" s="1734"/>
      <c r="G34" s="138"/>
      <c r="H34" s="138"/>
      <c r="I34" s="138"/>
    </row>
    <row r="35" spans="1:15" ht="15.75" thickBot="1">
      <c r="A35" s="2453"/>
      <c r="B35" s="2454" t="s">
        <v>2167</v>
      </c>
      <c r="C35" s="1439">
        <f ca="1">IF(C33="自定义",F35,ROUND(C32*D35,0))</f>
        <v>14100</v>
      </c>
      <c r="D35" s="1440">
        <f ca="1">IF(C33="自定义",ROUND(C35/C32,3),IF(C33="收益比率",SUMIF(INDIRECT("'"&amp;D33&amp;"'"&amp;"!b:b"),"建筑物收益比率",INDIRECT("'"&amp;D33&amp;"'"&amp;"!c:c")),SUMIF(INDIRECT("'"&amp;D33&amp;"'"&amp;"!b:b"),"建筑物成本比率",INDIRECT("'"&amp;D33&amp;"'"&amp;"!c:c"))))</f>
        <v>0.22</v>
      </c>
      <c r="E35" s="2455" t="s">
        <v>2168</v>
      </c>
      <c r="F35" s="163"/>
      <c r="G35" s="138"/>
      <c r="H35" s="138"/>
      <c r="I35" s="138"/>
    </row>
    <row r="36" spans="1:15" ht="15.75" thickBot="1">
      <c r="A36" s="3164" t="s">
        <v>2169</v>
      </c>
      <c r="B36" s="2456" t="s">
        <v>2170</v>
      </c>
      <c r="C36" s="154"/>
      <c r="D36" s="2457"/>
      <c r="E36" s="2458"/>
      <c r="F36" s="2459"/>
      <c r="G36" s="138"/>
      <c r="H36" s="138"/>
      <c r="I36" s="138"/>
    </row>
    <row r="37" spans="1:15" ht="15.75" thickBot="1">
      <c r="A37" s="3165"/>
      <c r="B37" s="2261" t="s">
        <v>2171</v>
      </c>
      <c r="C37" s="156"/>
      <c r="D37" s="1390"/>
      <c r="E37" s="1390"/>
      <c r="F37" s="2459"/>
      <c r="G37" s="138"/>
      <c r="H37" s="138"/>
      <c r="I37" s="138"/>
    </row>
    <row r="38" spans="1:15" ht="15.75" thickBot="1">
      <c r="A38" s="3166"/>
      <c r="B38" s="2460" t="s">
        <v>2172</v>
      </c>
      <c r="C38" s="725"/>
      <c r="D38" s="2461" t="s">
        <v>2173</v>
      </c>
      <c r="E38" s="1390"/>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81" t="s">
        <v>2183</v>
      </c>
      <c r="B45" s="3182"/>
      <c r="C45" s="3183"/>
      <c r="D45" s="164">
        <f ca="1">ROUND(H101*F45,0)</f>
        <v>64092</v>
      </c>
      <c r="E45" s="165" t="s">
        <v>2184</v>
      </c>
      <c r="F45" s="166">
        <v>1</v>
      </c>
      <c r="G45" s="167" t="s">
        <v>2185</v>
      </c>
      <c r="H45" s="138"/>
      <c r="I45" s="138"/>
      <c r="J45" s="3100" t="s">
        <v>2186</v>
      </c>
      <c r="K45" s="3100"/>
      <c r="L45" s="3100"/>
      <c r="M45" s="3100"/>
      <c r="N45" s="3100"/>
      <c r="O45" s="3100"/>
    </row>
    <row r="46" spans="1:15" ht="14.25" customHeight="1">
      <c r="A46" s="3178" t="s">
        <v>2187</v>
      </c>
      <c r="B46" s="3179"/>
      <c r="C46" s="3179"/>
      <c r="D46" s="3179"/>
      <c r="E46" s="3179"/>
      <c r="F46" s="3179"/>
      <c r="G46" s="3180"/>
      <c r="H46" s="2475"/>
      <c r="I46" s="168"/>
      <c r="J46" s="1807">
        <v>1</v>
      </c>
      <c r="K46" s="3100" t="s">
        <v>2188</v>
      </c>
      <c r="L46" s="3100"/>
      <c r="M46" s="3101"/>
      <c r="N46" s="3101"/>
      <c r="O46" s="3101"/>
    </row>
    <row r="47" spans="1:15" ht="12" customHeight="1">
      <c r="A47" s="169" t="s">
        <v>2189</v>
      </c>
      <c r="B47" s="170"/>
      <c r="C47" s="171"/>
      <c r="D47" s="172" t="s">
        <v>2190</v>
      </c>
      <c r="E47" s="24" t="s">
        <v>2191</v>
      </c>
      <c r="F47" s="173" t="s">
        <v>2192</v>
      </c>
      <c r="G47" s="174" t="s">
        <v>2193</v>
      </c>
      <c r="H47" s="2475"/>
      <c r="I47" s="168"/>
      <c r="J47" s="1807">
        <v>2</v>
      </c>
      <c r="K47" s="3100" t="s">
        <v>2194</v>
      </c>
      <c r="L47" s="3100"/>
      <c r="M47" s="3102">
        <f>'数据-取费表'!B2</f>
        <v>43602</v>
      </c>
      <c r="N47" s="3102"/>
      <c r="O47" s="3102"/>
    </row>
    <row r="48" spans="1:15" ht="25.5">
      <c r="A48" s="3168" t="s">
        <v>2195</v>
      </c>
      <c r="B48" s="3169"/>
      <c r="C48" s="3169"/>
      <c r="D48" s="140">
        <f>IF(H48="情况1",0,IF(H48="情况2",D52,IF(H48="情况3",D53,IF(H48="情况4",D54))))</f>
        <v>0</v>
      </c>
      <c r="E48" s="1796" t="str">
        <f>IF(H48="情况4","(销售额-原购置价)×税（费）率","销售额×税（费）率")</f>
        <v>销售额×税（费）率</v>
      </c>
      <c r="F48" s="175" t="str">
        <f>IF(H48="情况1","免征",'数据-取费表'!B41)</f>
        <v>免征</v>
      </c>
      <c r="G48" s="2476" t="s">
        <v>2196</v>
      </c>
      <c r="H48" s="2477" t="s">
        <v>2197</v>
      </c>
      <c r="I48" s="2475"/>
      <c r="J48" s="1807">
        <v>3</v>
      </c>
      <c r="K48" s="3100" t="s">
        <v>2198</v>
      </c>
      <c r="L48" s="3100"/>
      <c r="M48" s="3103">
        <f ca="1">H101</f>
        <v>64092</v>
      </c>
      <c r="N48" s="3103"/>
      <c r="O48" s="3103"/>
    </row>
    <row r="49" spans="1:35" ht="25.5" customHeight="1">
      <c r="A49" s="176" t="s">
        <v>2199</v>
      </c>
      <c r="B49" s="3148" t="s">
        <v>2200</v>
      </c>
      <c r="C49" s="3148"/>
      <c r="D49" s="177">
        <v>0</v>
      </c>
      <c r="E49" s="23" t="s">
        <v>2201</v>
      </c>
      <c r="F49" s="28" t="s">
        <v>34</v>
      </c>
      <c r="G49" s="3129"/>
      <c r="H49" s="138"/>
      <c r="I49" s="2478"/>
      <c r="J49" s="1807">
        <v>4</v>
      </c>
      <c r="K49" s="3100" t="str">
        <f>IF(项目基本情况!E8="房地产抵押价值","房地产抵押价值","抵押担保权已注销时的房地产抵押价值")</f>
        <v>房地产抵押价值</v>
      </c>
      <c r="L49" s="3100"/>
      <c r="M49" s="3103">
        <f ca="1">IF(项目基本情况!E8="房地产抵押价值",H107,H109)</f>
        <v>64092</v>
      </c>
      <c r="N49" s="3103"/>
      <c r="O49" s="3103"/>
    </row>
    <row r="50" spans="1:35" ht="25.5" customHeight="1">
      <c r="A50" s="178"/>
      <c r="B50" s="3148" t="s">
        <v>2202</v>
      </c>
      <c r="C50" s="3148"/>
      <c r="D50" s="179"/>
      <c r="E50" s="31"/>
      <c r="F50" s="180"/>
      <c r="G50" s="3130"/>
      <c r="H50" s="138"/>
      <c r="I50" s="2478"/>
      <c r="J50" s="3100" t="s">
        <v>2203</v>
      </c>
      <c r="K50" s="3100"/>
      <c r="L50" s="3100"/>
      <c r="M50" s="3100"/>
      <c r="N50" s="3100"/>
      <c r="O50" s="3100"/>
    </row>
    <row r="51" spans="1:35" ht="12" customHeight="1">
      <c r="A51" s="181"/>
      <c r="B51" s="3148" t="s">
        <v>2204</v>
      </c>
      <c r="C51" s="3148"/>
      <c r="D51" s="182"/>
      <c r="E51" s="30"/>
      <c r="F51" s="180"/>
      <c r="G51" s="3131"/>
      <c r="H51" s="138"/>
      <c r="I51" s="2478"/>
      <c r="J51" s="2479" t="s">
        <v>2205</v>
      </c>
      <c r="K51" s="3100" t="s">
        <v>2206</v>
      </c>
      <c r="L51" s="3100"/>
      <c r="M51" s="2479" t="s">
        <v>2207</v>
      </c>
      <c r="N51" s="2479" t="s">
        <v>2208</v>
      </c>
      <c r="O51" s="2479" t="s">
        <v>2209</v>
      </c>
    </row>
    <row r="52" spans="1:35" ht="24" customHeight="1">
      <c r="A52" s="183" t="s">
        <v>2210</v>
      </c>
      <c r="B52" s="3148" t="s">
        <v>2211</v>
      </c>
      <c r="C52" s="3148"/>
      <c r="D52" s="182">
        <f ca="1">ROUND(D45*'数据-取费表'!B41/(1+'数据-取费表'!C42),0)</f>
        <v>3357</v>
      </c>
      <c r="E52" s="11" t="s">
        <v>2212</v>
      </c>
      <c r="F52" s="184">
        <f>'数据-取费表'!B41</f>
        <v>5.5000000000000007E-2</v>
      </c>
      <c r="G52" s="2480"/>
      <c r="H52" s="138"/>
      <c r="I52" s="2478"/>
      <c r="J52" s="1807">
        <v>1</v>
      </c>
      <c r="K52" s="3123" t="s">
        <v>2213</v>
      </c>
      <c r="L52" s="3123"/>
      <c r="M52" s="1749">
        <f>D48</f>
        <v>0</v>
      </c>
      <c r="N52" s="1807" t="str">
        <f>E48</f>
        <v>销售额×税（费）率</v>
      </c>
      <c r="O52" s="1750" t="str">
        <f>F48</f>
        <v>免征</v>
      </c>
    </row>
    <row r="53" spans="1:35" ht="12" customHeight="1">
      <c r="A53" s="183" t="s">
        <v>2214</v>
      </c>
      <c r="B53" s="3149" t="s">
        <v>2215</v>
      </c>
      <c r="C53" s="3150"/>
      <c r="D53" s="182">
        <f ca="1">ROUND(D45*'数据-取费表'!B41/(1+'数据-取费表'!C42),0)</f>
        <v>3357</v>
      </c>
      <c r="E53" s="11" t="s">
        <v>2212</v>
      </c>
      <c r="F53" s="184">
        <f>'数据-取费表'!B41</f>
        <v>5.5000000000000007E-2</v>
      </c>
      <c r="G53" s="2480"/>
      <c r="H53" s="138"/>
      <c r="I53" s="2478"/>
      <c r="J53" s="1807">
        <v>2</v>
      </c>
      <c r="K53" s="3123" t="s">
        <v>2216</v>
      </c>
      <c r="L53" s="3123"/>
      <c r="M53" s="1749">
        <f t="shared" ref="M53:O54" ca="1" si="0">D55</f>
        <v>32</v>
      </c>
      <c r="N53" s="1807" t="str">
        <f t="shared" si="0"/>
        <v>销售额×税（费）率</v>
      </c>
      <c r="O53" s="1750">
        <f t="shared" si="0"/>
        <v>5.0000000000000001E-4</v>
      </c>
    </row>
    <row r="54" spans="1:35" ht="12" customHeight="1">
      <c r="A54" s="183" t="s">
        <v>2217</v>
      </c>
      <c r="B54" s="3149" t="s">
        <v>2218</v>
      </c>
      <c r="C54" s="3150"/>
      <c r="D54" s="182">
        <f ca="1">C68</f>
        <v>3357</v>
      </c>
      <c r="E54" s="30" t="s">
        <v>2219</v>
      </c>
      <c r="F54" s="184">
        <f>'数据-取费表'!B41</f>
        <v>5.5000000000000007E-2</v>
      </c>
      <c r="G54" s="2480"/>
      <c r="H54" s="2481"/>
      <c r="I54" s="2478"/>
      <c r="J54" s="1807">
        <v>3</v>
      </c>
      <c r="K54" s="3123" t="s">
        <v>2220</v>
      </c>
      <c r="L54" s="3123"/>
      <c r="M54" s="1749">
        <f t="shared" ca="1" si="0"/>
        <v>36334</v>
      </c>
      <c r="N54" s="1807" t="str">
        <f t="shared" si="0"/>
        <v>增值额×税（费）率</v>
      </c>
      <c r="O54" s="1751" t="str">
        <f t="shared" si="0"/>
        <v>——</v>
      </c>
    </row>
    <row r="55" spans="1:35" ht="24" customHeight="1">
      <c r="A55" s="3187" t="s">
        <v>2221</v>
      </c>
      <c r="B55" s="3169"/>
      <c r="C55" s="3169"/>
      <c r="D55" s="185">
        <f ca="1">IF(H55="个人住宅",0,ROUND(D45*I55,0))</f>
        <v>32</v>
      </c>
      <c r="E55" s="11" t="s">
        <v>2222</v>
      </c>
      <c r="F55" s="184">
        <f>IF(H55="正常",I55,"免征")</f>
        <v>5.0000000000000001E-4</v>
      </c>
      <c r="G55" s="2480"/>
      <c r="H55" s="2477" t="s">
        <v>2223</v>
      </c>
      <c r="I55" s="186">
        <f>'数据-取费表'!B49</f>
        <v>5.0000000000000001E-4</v>
      </c>
      <c r="J55" s="1807" t="str">
        <f>IF(H59="非个人房产","",4)</f>
        <v/>
      </c>
      <c r="K55" s="3123" t="str">
        <f>IF(H59="非个人房产","——","个人所得税")</f>
        <v>——</v>
      </c>
      <c r="L55" s="3123"/>
      <c r="M55" s="1752" t="str">
        <f>D59</f>
        <v>——</v>
      </c>
      <c r="N55" s="1805" t="str">
        <f>E59</f>
        <v>——</v>
      </c>
      <c r="O55" s="1753" t="str">
        <f>F59</f>
        <v>——</v>
      </c>
    </row>
    <row r="56" spans="1:35" ht="24.75">
      <c r="A56" s="3187" t="s">
        <v>2224</v>
      </c>
      <c r="B56" s="3169"/>
      <c r="C56" s="3169"/>
      <c r="D56" s="185">
        <f ca="1">IF(H56="个人住宅",D57,D58)</f>
        <v>36334</v>
      </c>
      <c r="E56" s="11" t="s">
        <v>2225</v>
      </c>
      <c r="F56" s="184" t="str">
        <f>IF(H56="正常",F58,"免征")</f>
        <v>——</v>
      </c>
      <c r="G56" s="2482" t="s">
        <v>2226</v>
      </c>
      <c r="H56" s="2483" t="s">
        <v>2223</v>
      </c>
      <c r="I56" s="2484"/>
      <c r="J56" s="1807" t="str">
        <f>IF(项目基本情况!K6="上海银行",IF(J55="",4,J55+1),"")</f>
        <v/>
      </c>
      <c r="K56" s="3106" t="str">
        <f>IF(项目基本情况!K6="上海银行","其他处置费用","")</f>
        <v/>
      </c>
      <c r="L56" s="3107"/>
      <c r="M56" s="1749" t="str">
        <f>IF(项目基本情况!K6="上海银行",M69,"")</f>
        <v/>
      </c>
      <c r="N56" s="3109" t="str">
        <f>IF(项目基本情况!K6="上海银行","包含处置中涉及的律师、诉讼、拍卖、评估等费用","")</f>
        <v/>
      </c>
      <c r="O56" s="3110"/>
    </row>
    <row r="57" spans="1:35" ht="12.75">
      <c r="A57" s="183" t="s">
        <v>2199</v>
      </c>
      <c r="B57" s="3154" t="s">
        <v>2227</v>
      </c>
      <c r="C57" s="3155"/>
      <c r="D57" s="187">
        <v>0</v>
      </c>
      <c r="E57" s="23" t="s">
        <v>2201</v>
      </c>
      <c r="F57" s="155"/>
      <c r="G57" s="2480"/>
      <c r="H57" s="2484"/>
      <c r="I57" s="2484"/>
      <c r="J57" s="3123">
        <f>IF(AND(J55="",J56=""),4,IF(项目基本情况!K6="上海银行",结果表办公!J56+1,结果表办公!J55+1))</f>
        <v>4</v>
      </c>
      <c r="K57" s="3123" t="s">
        <v>2228</v>
      </c>
      <c r="L57" s="2485" t="s">
        <v>2229</v>
      </c>
      <c r="M57" s="1754"/>
      <c r="N57" s="1755">
        <f ca="1">SUMIF(M52:M56,"&lt;9e307")</f>
        <v>36366</v>
      </c>
      <c r="O57" s="2486"/>
      <c r="P57" s="1748">
        <f ca="1">N57/M49</f>
        <v>0.56740310803220373</v>
      </c>
    </row>
    <row r="58" spans="1:35" ht="24.75">
      <c r="A58" s="183" t="s">
        <v>2210</v>
      </c>
      <c r="B58" s="3154" t="s">
        <v>2230</v>
      </c>
      <c r="C58" s="3167"/>
      <c r="D58" s="185">
        <f ca="1">IF(H58="转让取得",C81,C97)</f>
        <v>36334</v>
      </c>
      <c r="E58" s="11" t="s">
        <v>2225</v>
      </c>
      <c r="F58" s="24" t="s">
        <v>34</v>
      </c>
      <c r="G58" s="2480"/>
      <c r="H58" s="2483" t="s">
        <v>2231</v>
      </c>
      <c r="I58" s="2484"/>
      <c r="J58" s="3123"/>
      <c r="K58" s="3123"/>
      <c r="L58" s="2485" t="s">
        <v>2232</v>
      </c>
      <c r="M58" s="1756"/>
      <c r="N58" s="2487" t="str">
        <f ca="1">NUMBERSTRING(INT(N57*10000),2)&amp;"元整"</f>
        <v>叁亿陆仟叁佰陆拾陆万元整</v>
      </c>
      <c r="O58" s="2488"/>
    </row>
    <row r="59" spans="1:35" ht="24.75" thickBot="1">
      <c r="A59" s="3127" t="s">
        <v>2233</v>
      </c>
      <c r="B59" s="3128"/>
      <c r="C59" s="312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25">
        <f>J57+1</f>
        <v>5</v>
      </c>
      <c r="K59" s="3123" t="s">
        <v>2235</v>
      </c>
      <c r="L59" s="1807" t="s">
        <v>2229</v>
      </c>
      <c r="M59" s="1757"/>
      <c r="N59" s="1758">
        <f ca="1">M49-N57</f>
        <v>27726</v>
      </c>
      <c r="O59" s="2490"/>
    </row>
    <row r="60" spans="1:35" ht="12" customHeight="1">
      <c r="A60" s="2491"/>
      <c r="B60" s="2413"/>
      <c r="C60" s="2413"/>
      <c r="D60" s="2413"/>
      <c r="E60" s="2160"/>
      <c r="F60" s="2484"/>
      <c r="G60" s="2484"/>
      <c r="H60" s="2492"/>
      <c r="I60" s="138"/>
      <c r="J60" s="3126"/>
      <c r="K60" s="3123"/>
      <c r="L60" s="2485" t="s">
        <v>2232</v>
      </c>
      <c r="M60" s="1756"/>
      <c r="N60" s="2487" t="str">
        <f ca="1">NUMBERSTRING(INT(N59*10000),2)&amp;"元整"</f>
        <v>贰亿柒仟柒佰贰拾陆万元整</v>
      </c>
      <c r="O60" s="2488"/>
    </row>
    <row r="61" spans="1:35" ht="13.5" thickBot="1">
      <c r="A61" s="3186" t="s">
        <v>2236</v>
      </c>
      <c r="B61" s="3186"/>
      <c r="C61" s="3186"/>
      <c r="D61" s="3186"/>
      <c r="E61" s="3186"/>
      <c r="F61" s="2484"/>
      <c r="G61" s="2484"/>
      <c r="H61" s="2492"/>
      <c r="I61" s="138"/>
      <c r="J61" s="1807">
        <f>J59+1</f>
        <v>6</v>
      </c>
      <c r="K61" s="3123" t="s">
        <v>2237</v>
      </c>
      <c r="L61" s="3123"/>
      <c r="M61" s="1759"/>
      <c r="N61" s="1760">
        <f ca="1">ROUND(N59*10000/'数据-汇总表'!E3,0)</f>
        <v>5344</v>
      </c>
      <c r="O61" s="2493"/>
    </row>
    <row r="62" spans="1:35" ht="12.75">
      <c r="A62" s="3143" t="s">
        <v>2238</v>
      </c>
      <c r="B62" s="3144"/>
      <c r="C62" s="1799"/>
      <c r="D62" s="1799" t="s">
        <v>2239</v>
      </c>
      <c r="E62" s="192" t="s">
        <v>2240</v>
      </c>
      <c r="F62" s="2484"/>
      <c r="G62" s="2484"/>
      <c r="H62" s="2492"/>
      <c r="I62" s="138"/>
    </row>
    <row r="63" spans="1:35" ht="12.75">
      <c r="A63" s="203" t="s">
        <v>775</v>
      </c>
      <c r="B63" s="193" t="s">
        <v>2241</v>
      </c>
      <c r="C63" s="194">
        <f ca="1">ROUND((C64+C65)/(1+'数据-取费表'!C42),0)</f>
        <v>61040</v>
      </c>
      <c r="D63" s="195"/>
      <c r="E63" s="196"/>
      <c r="F63" s="2484"/>
      <c r="G63" s="2484"/>
      <c r="H63" s="2492"/>
      <c r="I63" s="138"/>
      <c r="J63" s="3108" t="s">
        <v>2242</v>
      </c>
      <c r="K63" s="2494" t="s">
        <v>2243</v>
      </c>
      <c r="L63" s="1747">
        <f ca="1">IF(M49&gt;10000,M49*0.5%,IF(AND(M49&gt;1000,M49&lt;=10000),M49*1%,IF(AND(M49&gt;100,M49&lt;=1000),M49*3%,IF(AND(M49&gt;10,M49&lt;=100),M49*5%,M49*8%))))</f>
        <v>320.45999999999998</v>
      </c>
      <c r="M63" s="24">
        <f ca="1">ROUND(L63,1)</f>
        <v>320.5</v>
      </c>
      <c r="Z63" s="2418"/>
      <c r="AI63" s="2419"/>
    </row>
    <row r="64" spans="1:35" ht="14.25" customHeight="1">
      <c r="A64" s="197" t="s">
        <v>770</v>
      </c>
      <c r="B64" s="198" t="s">
        <v>2244</v>
      </c>
      <c r="C64" s="199">
        <f ca="1">D45</f>
        <v>64092</v>
      </c>
      <c r="D64" s="200" t="s">
        <v>32</v>
      </c>
      <c r="E64" s="201"/>
      <c r="F64" s="2484"/>
      <c r="G64" s="2484"/>
      <c r="H64" s="2492"/>
      <c r="I64" s="138"/>
      <c r="J64" s="3108"/>
      <c r="K64" s="2494" t="s">
        <v>2245</v>
      </c>
      <c r="L64" s="1747">
        <f ca="1">IF(M49&gt;2000,M49*0.5%,IF(AND(M49&gt;1000,M49&lt;=2000),M49*0.6%,IF(AND(M49&gt;500,M49&lt;=1000),M49*0.7%,IF(AND(M49&gt;200,M49&lt;=500),M49*0.8%,IF(AND(M49&gt;100,M49&lt;=200),M49*0.9%,IF(AND(M49&gt;50,M49&lt;=100),M49*1%,IF(AND(M49&gt;20,M49&lt;=50),M49*1.5%,IF(AND(M49&gt;10,M49&lt;=20),M49*2%,IF(AND(M49&gt;1,M49&lt;=10),M49*2.5%)))))))))</f>
        <v>320.45999999999998</v>
      </c>
      <c r="M64" s="24">
        <f t="shared" ref="M64:M65" ca="1" si="1">ROUND(L64,1)</f>
        <v>320.5</v>
      </c>
      <c r="N64" s="138" t="s">
        <v>2246</v>
      </c>
      <c r="Z64" s="2418"/>
      <c r="AI64" s="2419"/>
    </row>
    <row r="65" spans="1:35" ht="14.25" customHeight="1">
      <c r="A65" s="197" t="s">
        <v>771</v>
      </c>
      <c r="B65" s="198" t="s">
        <v>2247</v>
      </c>
      <c r="C65" s="202"/>
      <c r="D65" s="200"/>
      <c r="E65" s="201"/>
      <c r="F65" s="2484"/>
      <c r="G65" s="2484"/>
      <c r="H65" s="2492"/>
      <c r="I65" s="138"/>
      <c r="J65" s="3108"/>
      <c r="K65" s="2494" t="s">
        <v>2248</v>
      </c>
      <c r="L65" s="1747">
        <f ca="1">IF(M49&gt;1000,M49*0.1%,IF(AND(M49&gt;500,M49&lt;=1000),M49*0.5%,IF(AND(M49&gt;50,M49&lt;=500),M49*1%,IF(AND(M49&gt;1,M49&lt;=50),M49*1.5%))))</f>
        <v>64.091999999999999</v>
      </c>
      <c r="M65" s="24">
        <f t="shared" ca="1" si="1"/>
        <v>64.099999999999994</v>
      </c>
      <c r="N65" s="138" t="s">
        <v>2246</v>
      </c>
      <c r="Z65" s="2418"/>
      <c r="AI65" s="2419"/>
    </row>
    <row r="66" spans="1:35" ht="14.25" customHeight="1">
      <c r="A66" s="203" t="s">
        <v>772</v>
      </c>
      <c r="B66" s="204" t="s">
        <v>2249</v>
      </c>
      <c r="C66" s="205"/>
      <c r="D66" s="206" t="s">
        <v>32</v>
      </c>
      <c r="E66" s="1771" t="s">
        <v>1367</v>
      </c>
      <c r="F66" s="2484"/>
      <c r="G66" s="2484"/>
      <c r="H66" s="2492"/>
      <c r="I66" s="138"/>
      <c r="J66" s="3108"/>
      <c r="K66" s="2494" t="s">
        <v>2250</v>
      </c>
      <c r="L66" s="1747">
        <f ca="1">M49*0.5%</f>
        <v>320.45999999999998</v>
      </c>
      <c r="M66" s="24">
        <f ca="1">IF(L66&gt;0.5,0.5,ROUND(L66,0))</f>
        <v>0.5</v>
      </c>
      <c r="N66" s="138" t="s">
        <v>2251</v>
      </c>
      <c r="Z66" s="2418"/>
      <c r="AI66" s="2419"/>
    </row>
    <row r="67" spans="1:35" ht="14.25" customHeight="1">
      <c r="A67" s="203" t="s">
        <v>773</v>
      </c>
      <c r="B67" s="204" t="s">
        <v>2252</v>
      </c>
      <c r="C67" s="207">
        <f ca="1">C63-C66</f>
        <v>61040</v>
      </c>
      <c r="D67" s="200" t="s">
        <v>32</v>
      </c>
      <c r="E67" s="201"/>
      <c r="F67" s="2484"/>
      <c r="G67" s="2484"/>
      <c r="H67" s="2492"/>
      <c r="I67" s="138"/>
      <c r="J67" s="3108"/>
      <c r="K67" s="2494" t="s">
        <v>2253</v>
      </c>
      <c r="L67" s="1747">
        <f ca="1">IF(M49&gt;=10000,(8.25+(M49-10000)*0.01%),IF(AND(M49&gt;=8000,M49&lt;10000),(7.85+(M49-8000)*0.02%),IF(AND(M49&gt;=5000,M49&lt;8000),(6.65+(M49-5000)*0.04%),IF(AND(M49&gt;=2000,M49&lt;5000),(4.25+(PM49-2000)*0.08%),IF(AND(M49&gt;=1000,M49&lt;2000),(2.75+(M49-1000)*0.15%),IF(AND(M49&gt;=100,M49&lt;1000),(0.5+(M49-100)*0.25%),IF(AND(M49&gt;0,M49&lt;100),M49*0.5%)))))))</f>
        <v>13.6592</v>
      </c>
      <c r="M67" s="24">
        <f ca="1">ROUND(L67*0.9,1)</f>
        <v>12.3</v>
      </c>
      <c r="Z67" s="2418"/>
      <c r="AI67" s="2419"/>
    </row>
    <row r="68" spans="1:35" ht="14.25" customHeight="1" thickBot="1">
      <c r="A68" s="208" t="s">
        <v>774</v>
      </c>
      <c r="B68" s="209" t="s">
        <v>2254</v>
      </c>
      <c r="C68" s="210">
        <f ca="1">IF(C67&lt;=0,0,ROUND(C67*D68,0))</f>
        <v>3357</v>
      </c>
      <c r="D68" s="211">
        <f>'数据-取费表'!B41</f>
        <v>5.5000000000000007E-2</v>
      </c>
      <c r="E68" s="212"/>
      <c r="F68" s="2484"/>
      <c r="G68" s="2484"/>
      <c r="H68" s="2492"/>
      <c r="I68" s="138"/>
      <c r="J68" s="3108"/>
      <c r="K68" s="2494" t="s">
        <v>2255</v>
      </c>
      <c r="L68" s="1747">
        <f ca="1">IF(M49&gt;10000,M49*0.5%,IF(AND(M49&gt;5000,M49&lt;=10000),M49*1%,IF(AND(M49&gt;1000,M49&lt;=5000),M49*2%,IF(AND(M49&gt;200,M49&lt;=1000),M49*3%,M49*5%))))</f>
        <v>320.45999999999998</v>
      </c>
      <c r="M68" s="24">
        <f ca="1">ROUND(L68,1)</f>
        <v>320.5</v>
      </c>
      <c r="Z68" s="2418"/>
      <c r="AI68" s="2419"/>
    </row>
    <row r="69" spans="1:35" s="2441" customFormat="1" ht="16.5" customHeight="1">
      <c r="A69" s="2495"/>
      <c r="B69" s="2496"/>
      <c r="C69" s="2497"/>
      <c r="D69" s="2498"/>
      <c r="E69" s="2499"/>
      <c r="F69" s="2160"/>
      <c r="G69" s="2160"/>
      <c r="H69" s="2159"/>
      <c r="I69" s="2413"/>
      <c r="J69" s="3108"/>
      <c r="K69" s="2494" t="s">
        <v>2256</v>
      </c>
      <c r="L69" s="2500"/>
      <c r="M69" s="24">
        <f ca="1">ROUND(SUM(M63:M68),0)</f>
        <v>1038</v>
      </c>
      <c r="N69" s="1748">
        <f ca="1">M69/M49</f>
        <v>1.6195469013293391E-2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52" t="s">
        <v>2257</v>
      </c>
      <c r="B70" s="3153"/>
      <c r="C70" s="3153"/>
      <c r="D70" s="3153"/>
      <c r="E70" s="3153"/>
      <c r="F70" s="3153"/>
      <c r="G70" s="3153"/>
      <c r="H70" s="315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3" t="s">
        <v>2238</v>
      </c>
      <c r="B71" s="3144"/>
      <c r="C71" s="1799"/>
      <c r="D71" s="1799"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61040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305</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49" t="s">
        <v>2266</v>
      </c>
      <c r="F76" s="3148"/>
      <c r="G76" s="3148"/>
      <c r="H76" s="315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305</v>
      </c>
      <c r="D78" s="226">
        <f>'数据-取费表'!B43</f>
        <v>5.000000000000001E-3</v>
      </c>
      <c r="E78" s="3140" t="s">
        <v>2271</v>
      </c>
      <c r="F78" s="3141"/>
      <c r="G78" s="3141"/>
      <c r="H78" s="314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60735</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199.13114754098362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36334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2" t="s">
        <v>2275</v>
      </c>
      <c r="B83" s="3153"/>
      <c r="C83" s="3153"/>
      <c r="D83" s="3153"/>
      <c r="E83" s="3153"/>
      <c r="F83" s="3153"/>
      <c r="G83" s="3153"/>
      <c r="H83" s="315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3" t="s">
        <v>2238</v>
      </c>
      <c r="B84" s="3144"/>
      <c r="C84" s="1799"/>
      <c r="D84" s="1799"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61040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305</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5"/>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40" t="s">
        <v>2284</v>
      </c>
      <c r="F91" s="3141"/>
      <c r="G91" s="3141"/>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40" t="s">
        <v>2288</v>
      </c>
      <c r="F92" s="3141"/>
      <c r="G92" s="3141"/>
      <c r="H92" s="314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305</v>
      </c>
      <c r="D93" s="226">
        <f>'数据-取费表'!B43</f>
        <v>5.000000000000001E-3</v>
      </c>
      <c r="E93" s="3140" t="s">
        <v>2271</v>
      </c>
      <c r="F93" s="3141"/>
      <c r="G93" s="3141"/>
      <c r="H93" s="314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88" t="s">
        <v>2292</v>
      </c>
      <c r="F94" s="3189"/>
      <c r="G94" s="3189"/>
      <c r="H94" s="319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60735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199.13114754098362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36334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2293</v>
      </c>
      <c r="B99" s="2413"/>
      <c r="C99" s="2413"/>
      <c r="D99" s="2413"/>
      <c r="E99" s="2160"/>
      <c r="F99" s="2160"/>
      <c r="G99" s="2160"/>
      <c r="H99" s="2159"/>
      <c r="I99" s="138"/>
    </row>
    <row r="100" spans="1:35" ht="18.75" customHeight="1">
      <c r="A100" s="3092" t="s">
        <v>2294</v>
      </c>
      <c r="B100" s="3093"/>
      <c r="C100" s="3093"/>
      <c r="D100" s="3124"/>
      <c r="E100" s="3093" t="s">
        <v>2295</v>
      </c>
      <c r="F100" s="3093"/>
      <c r="G100" s="3093"/>
      <c r="H100" s="3124"/>
      <c r="I100" s="138"/>
    </row>
    <row r="101" spans="1:35" ht="18.75" customHeight="1">
      <c r="A101" s="3132" t="s">
        <v>2296</v>
      </c>
      <c r="B101" s="3133"/>
      <c r="C101" s="734" t="str">
        <f>C4</f>
        <v>收益法办公</v>
      </c>
      <c r="D101" s="735" t="str">
        <f>D4</f>
        <v>典型户型修正办公</v>
      </c>
      <c r="E101" s="3104" t="s">
        <v>2297</v>
      </c>
      <c r="F101" s="3105"/>
      <c r="G101" s="2515" t="s">
        <v>2298</v>
      </c>
      <c r="H101" s="1043">
        <f ca="1">H118</f>
        <v>64092</v>
      </c>
      <c r="I101" s="138"/>
    </row>
    <row r="102" spans="1:35" ht="18.75" customHeight="1">
      <c r="A102" s="3134" t="s">
        <v>2299</v>
      </c>
      <c r="B102" s="2515" t="s">
        <v>2298</v>
      </c>
      <c r="C102" s="734">
        <f ca="1">C19</f>
        <v>61846</v>
      </c>
      <c r="D102" s="735">
        <f ca="1">D19</f>
        <v>66338</v>
      </c>
      <c r="E102" s="3104"/>
      <c r="F102" s="3105"/>
      <c r="G102" s="2515" t="s">
        <v>2300</v>
      </c>
      <c r="H102" s="371">
        <f ca="1">I118</f>
        <v>32473</v>
      </c>
      <c r="I102" s="138"/>
    </row>
    <row r="103" spans="1:35" ht="42.75" customHeight="1">
      <c r="A103" s="3134"/>
      <c r="B103" s="2515" t="s">
        <v>2300</v>
      </c>
      <c r="C103" s="736">
        <f ca="1">C20</f>
        <v>31335</v>
      </c>
      <c r="D103" s="737">
        <f ca="1">D20</f>
        <v>33611</v>
      </c>
      <c r="E103" s="3098" t="s">
        <v>2301</v>
      </c>
      <c r="F103" s="3099"/>
      <c r="G103" s="2516" t="s">
        <v>2302</v>
      </c>
      <c r="H103" s="1043">
        <f>IF(D36="正常操作",H104+H105+H106,H105+H106)</f>
        <v>0</v>
      </c>
      <c r="I103" s="138"/>
    </row>
    <row r="104" spans="1:35" ht="18.75" customHeight="1">
      <c r="A104" s="3134" t="s">
        <v>2303</v>
      </c>
      <c r="B104" s="2517" t="s">
        <v>2298</v>
      </c>
      <c r="C104" s="738">
        <f ca="1">H118</f>
        <v>64092</v>
      </c>
      <c r="D104" s="739"/>
      <c r="E104" s="2261" t="s">
        <v>2304</v>
      </c>
      <c r="F104" s="2252"/>
      <c r="G104" s="2516" t="s">
        <v>2302</v>
      </c>
      <c r="H104" s="1044">
        <f>IF(D36="同一抵押权人同一抵押物续贷",C36&amp;"（未扣减，详见特别提示）",C36)</f>
        <v>0</v>
      </c>
      <c r="I104" s="138"/>
    </row>
    <row r="105" spans="1:35" ht="18.75" customHeight="1" thickBot="1">
      <c r="A105" s="3146"/>
      <c r="B105" s="2518" t="s">
        <v>2300</v>
      </c>
      <c r="C105" s="740">
        <f ca="1">I118</f>
        <v>32473</v>
      </c>
      <c r="D105" s="741"/>
      <c r="E105" s="2261" t="s">
        <v>2305</v>
      </c>
      <c r="F105" s="2252"/>
      <c r="G105" s="2516" t="s">
        <v>2302</v>
      </c>
      <c r="H105" s="1044">
        <f>C37</f>
        <v>0</v>
      </c>
      <c r="I105" s="138"/>
    </row>
    <row r="106" spans="1:35" ht="18.75" customHeight="1">
      <c r="A106" s="2413" t="s">
        <v>2306</v>
      </c>
      <c r="B106" s="2413"/>
      <c r="C106" s="2413"/>
      <c r="D106" s="2413"/>
      <c r="E106" s="2519" t="s">
        <v>2307</v>
      </c>
      <c r="F106" s="2252"/>
      <c r="G106" s="2516" t="s">
        <v>2302</v>
      </c>
      <c r="H106" s="1044">
        <f>C38</f>
        <v>0</v>
      </c>
      <c r="I106" s="138"/>
    </row>
    <row r="107" spans="1:35" ht="18.75" customHeight="1">
      <c r="A107" s="138"/>
      <c r="B107" s="138"/>
      <c r="C107" s="138"/>
      <c r="D107" s="138"/>
      <c r="E107" s="3135" t="str">
        <f>IF(项目基本情况!E8="已注销","——","3.房地产抵押价值")</f>
        <v>3.房地产抵押价值</v>
      </c>
      <c r="F107" s="3105"/>
      <c r="G107" s="2515" t="s">
        <v>2298</v>
      </c>
      <c r="H107" s="1043">
        <f ca="1">IF(E107="——","——",H101-H103)</f>
        <v>64092</v>
      </c>
      <c r="I107" s="138"/>
    </row>
    <row r="108" spans="1:35" ht="18.75" customHeight="1">
      <c r="A108" s="138"/>
      <c r="B108" s="138"/>
      <c r="C108" s="138"/>
      <c r="D108" s="138"/>
      <c r="E108" s="3135"/>
      <c r="F108" s="3105"/>
      <c r="G108" s="2515" t="s">
        <v>2300</v>
      </c>
      <c r="H108" s="371">
        <f ca="1">ROUND(H107*10000/'数据-汇总表'!E3,0)</f>
        <v>12353</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05"/>
      <c r="G109" s="2515" t="s">
        <v>2298</v>
      </c>
      <c r="H109" s="348" t="str">
        <f>IF(E109="——","——",H101-H105-H106)</f>
        <v>——</v>
      </c>
      <c r="I109" s="138"/>
    </row>
    <row r="110" spans="1:35" ht="18.75" customHeight="1">
      <c r="A110" s="138"/>
      <c r="B110" s="138"/>
      <c r="C110" s="138"/>
      <c r="D110" s="138"/>
      <c r="E110" s="3135"/>
      <c r="F110" s="3105"/>
      <c r="G110" s="2515" t="s">
        <v>2300</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5" t="s">
        <v>2298</v>
      </c>
      <c r="H111" s="1043" t="str">
        <f>IF(E111="——","——",N59)</f>
        <v>——</v>
      </c>
      <c r="I111" s="138"/>
    </row>
    <row r="112" spans="1:35" ht="18.75" customHeight="1" thickBot="1">
      <c r="A112" s="138"/>
      <c r="B112" s="138"/>
      <c r="C112" s="138"/>
      <c r="D112" s="138"/>
      <c r="E112" s="3138"/>
      <c r="F112" s="3139"/>
      <c r="G112" s="2520" t="s">
        <v>2300</v>
      </c>
      <c r="H112" s="788" t="str">
        <f>IF(E111="——","——",N61)</f>
        <v>——</v>
      </c>
      <c r="I112" s="138"/>
    </row>
    <row r="113" spans="1:11" ht="18.75" customHeight="1">
      <c r="A113" s="138"/>
      <c r="B113" s="138"/>
      <c r="C113" s="138"/>
      <c r="D113" s="138"/>
      <c r="E113" s="3147" t="s">
        <v>2306</v>
      </c>
      <c r="F113" s="3147"/>
      <c r="G113" s="3147"/>
      <c r="H113" s="3147"/>
      <c r="I113" s="138"/>
    </row>
    <row r="114" spans="1:11" ht="3.75" customHeight="1">
      <c r="A114" s="2413"/>
      <c r="B114" s="2413"/>
      <c r="C114" s="2413"/>
      <c r="D114" s="2413"/>
      <c r="E114" s="2491"/>
      <c r="F114" s="2491"/>
      <c r="G114" s="2491"/>
      <c r="H114" s="2491"/>
      <c r="I114" s="2413"/>
    </row>
    <row r="115" spans="1:11" ht="18.75" customHeight="1">
      <c r="A115" s="3160" t="s">
        <v>2308</v>
      </c>
      <c r="B115" s="3161"/>
      <c r="C115" s="3161"/>
      <c r="D115" s="3161"/>
      <c r="E115" s="3161"/>
      <c r="F115" s="3161"/>
      <c r="G115" s="3161"/>
      <c r="H115" s="3161"/>
      <c r="I115" s="3162"/>
    </row>
    <row r="116" spans="1:11" ht="27" customHeight="1">
      <c r="A116" s="3071" t="s">
        <v>2309</v>
      </c>
      <c r="B116" s="3114" t="s">
        <v>2310</v>
      </c>
      <c r="C116" s="3114" t="s">
        <v>2311</v>
      </c>
      <c r="D116" s="3120" t="s">
        <v>2312</v>
      </c>
      <c r="E116" s="3121"/>
      <c r="F116" s="3156" t="s">
        <v>2313</v>
      </c>
      <c r="G116" s="3156"/>
      <c r="H116" s="3071" t="s">
        <v>2314</v>
      </c>
      <c r="I116" s="3071"/>
    </row>
    <row r="117" spans="1:11" ht="18.75" customHeight="1">
      <c r="A117" s="3071"/>
      <c r="B117" s="3115"/>
      <c r="C117" s="3115"/>
      <c r="D117" s="1793" t="s">
        <v>2315</v>
      </c>
      <c r="E117" s="1793" t="s">
        <v>2316</v>
      </c>
      <c r="F117" s="1793" t="s">
        <v>2315</v>
      </c>
      <c r="G117" s="1793" t="s">
        <v>2317</v>
      </c>
      <c r="H117" s="1793" t="s">
        <v>2315</v>
      </c>
      <c r="I117" s="1793" t="s">
        <v>2317</v>
      </c>
    </row>
    <row r="118" spans="1:11" ht="24.75" customHeight="1">
      <c r="A118" s="2521" t="str">
        <f>项目基本情况!S2</f>
        <v>北京市北京经济技术开发区天华北街11号院1号楼，2号楼，3号楼，4幢等部分办公、商业用房房地产抵押价值评估房地产</v>
      </c>
      <c r="B118" s="1793">
        <f>M18</f>
        <v>19736.88</v>
      </c>
      <c r="C118" s="1793">
        <f>M19</f>
        <v>4377.9399999999996</v>
      </c>
      <c r="D118" s="1793">
        <f ca="1">ROUND(IF(D32="总价",C34,E118*B118/10000),0)</f>
        <v>49992</v>
      </c>
      <c r="E118" s="1793">
        <f ca="1">ROUND(IF(C33="自定义",IF(D32="楼面单价",C34,D118*10000/B118),I118-G118),0)</f>
        <v>25329</v>
      </c>
      <c r="F118" s="1793">
        <f ca="1">ROUND(IF(D32="总价",C35,G118*B118/10000),0)</f>
        <v>14100</v>
      </c>
      <c r="G118" s="1793">
        <f ca="1">ROUND(IF(D32="楼面单价",C35,F118*10000/B118),0)</f>
        <v>7144</v>
      </c>
      <c r="H118" s="1793">
        <f ca="1">ROUND(IF(D32="总价",C32,I118*B118/10000),0)</f>
        <v>64092</v>
      </c>
      <c r="I118" s="1793">
        <f ca="1">ROUND(IF(D32="楼面单价",C32,H118*10000/B118),0)</f>
        <v>32473</v>
      </c>
    </row>
    <row r="119" spans="1:11" ht="18.75" customHeight="1">
      <c r="A119" s="3071" t="s">
        <v>2318</v>
      </c>
      <c r="B119" s="3071"/>
      <c r="C119" s="3071"/>
      <c r="D119" s="3116" t="str">
        <f ca="1">NUMBERSTRING(INT(D118*10000),2)&amp;"元整"</f>
        <v>肆亿玖仟玖佰玖拾贰万元整</v>
      </c>
      <c r="E119" s="3117"/>
      <c r="F119" s="3116" t="str">
        <f ca="1">NUMBERSTRING(INT(F118*10000),2)&amp;"元整"</f>
        <v>壹亿肆仟壹佰万元整</v>
      </c>
      <c r="G119" s="3117"/>
      <c r="H119" s="3116" t="str">
        <f ca="1">NUMBERSTRING(INT(H118*10000),2)&amp;"元整"</f>
        <v>陆亿肆仟零玖拾贰万元整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18" t="str">
        <f>IF(D120=0,"故，本次评估不存在"&amp;A120,"故，本次评估"&amp;A120&amp;"为人民币"&amp;D120&amp;"万元整。")</f>
        <v>故，本次评估不存在估价师知悉的法定优先受偿款</v>
      </c>
    </row>
    <row r="121" spans="1:11" ht="18.75" customHeight="1">
      <c r="A121" s="3157" t="s">
        <v>2318</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64092</v>
      </c>
      <c r="E122" s="3112"/>
      <c r="F122" s="3112"/>
      <c r="G122" s="3112"/>
      <c r="H122" s="3112"/>
      <c r="I122" s="3113"/>
    </row>
    <row r="123" spans="1:11" ht="18.75" customHeight="1">
      <c r="A123" s="3071" t="s">
        <v>2318</v>
      </c>
      <c r="B123" s="3071"/>
      <c r="C123" s="3071"/>
      <c r="D123" s="3116" t="str">
        <f ca="1">NUMBERSTRING(INT(D122*10000),2)&amp;"元整"</f>
        <v>陆亿肆仟零玖拾贰万元整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1" t="s">
        <v>2318</v>
      </c>
      <c r="B125" s="3071"/>
      <c r="C125" s="3071"/>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1" t="s">
        <v>2318</v>
      </c>
      <c r="B127" s="3071"/>
      <c r="C127" s="3071"/>
      <c r="D127" s="3116" t="e">
        <f>NUMBERSTRING(INT(D126*10000),2)&amp;"元整"</f>
        <v>#VALUE!</v>
      </c>
      <c r="E127" s="3118"/>
      <c r="F127" s="3118"/>
      <c r="G127" s="3118"/>
      <c r="H127" s="3118"/>
      <c r="I127" s="3117"/>
    </row>
    <row r="128" spans="1:11" ht="21.75" customHeight="1">
      <c r="A128" s="3119" t="s">
        <v>2319</v>
      </c>
      <c r="B128" s="3119"/>
      <c r="C128" s="3119"/>
      <c r="D128" s="3119"/>
      <c r="E128" s="3119"/>
      <c r="F128" s="3119"/>
      <c r="G128" s="3119"/>
      <c r="H128" s="3119"/>
      <c r="I128" s="3119"/>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2322</v>
      </c>
      <c r="G135" s="2539"/>
      <c r="H135" s="2539"/>
      <c r="I135" s="2540" t="s">
        <v>2323</v>
      </c>
    </row>
    <row r="136" spans="1:35" ht="21.75" customHeight="1">
      <c r="A136" s="793"/>
      <c r="B136" s="2541"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2325</v>
      </c>
    </row>
    <row r="139" spans="1:35" ht="21.75" customHeight="1">
      <c r="A139" s="793"/>
      <c r="B139" s="2541" t="s">
        <v>2326</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2325</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7">
        <f>MATCH(B1,'数据-取费表'!A6:A16,0)+5</f>
        <v>9</v>
      </c>
    </row>
    <row r="2" spans="1:9" s="244" customFormat="1" ht="18" customHeight="1">
      <c r="A2" s="245" t="s">
        <v>2328</v>
      </c>
      <c r="B2" s="246">
        <f ca="1">IF(D2="——",C52,C52-E2)</f>
        <v>20287</v>
      </c>
      <c r="C2" s="243" t="s">
        <v>2329</v>
      </c>
      <c r="D2" s="2544" t="s">
        <v>70</v>
      </c>
      <c r="E2" s="1438"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3910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7" t="s">
        <v>2338</v>
      </c>
      <c r="B6" s="259" t="s">
        <v>2339</v>
      </c>
      <c r="C6" s="260"/>
      <c r="D6" s="261"/>
      <c r="E6" s="262"/>
      <c r="F6" s="262"/>
      <c r="G6" s="263"/>
    </row>
    <row r="7" spans="1:9" s="258" customFormat="1" ht="13.5" customHeight="1">
      <c r="A7" s="947" t="s">
        <v>2340</v>
      </c>
      <c r="B7" s="259" t="s">
        <v>2341</v>
      </c>
      <c r="C7" s="264">
        <f>ROUND(C6*F7,0)</f>
        <v>0</v>
      </c>
      <c r="D7" s="264"/>
      <c r="E7" s="262"/>
      <c r="F7" s="265">
        <f>'数据-取费表'!B48+'数据-取费表'!B49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47"/>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160</v>
      </c>
      <c r="F9" s="265"/>
      <c r="G9" s="2548"/>
      <c r="H9" s="1388"/>
      <c r="I9" s="2549" t="s">
        <v>2345</v>
      </c>
    </row>
    <row r="10" spans="1:9" s="258" customFormat="1" ht="13.5" customHeight="1">
      <c r="A10" s="948" t="s">
        <v>801</v>
      </c>
      <c r="B10" s="268" t="s">
        <v>2346</v>
      </c>
      <c r="C10" s="269">
        <f ca="1">ROUND(D10*E10/10000,0)</f>
        <v>1038</v>
      </c>
      <c r="D10" s="1030">
        <f ca="1">IF(B1="",'数据-汇总表'!E6,IF(INDIRECT("'数据-取费表'!c"&amp;$G$1)="住宅",INDIRECT("'数据-取费表'!s"&amp;$G$1),INDIRECT("'数据-取费表'!k"&amp;$G$1)+INDIRECT("'数据-取费表'!s"&amp;$G$1)))</f>
        <v>51884.22</v>
      </c>
      <c r="E10" s="269">
        <f>'数据-取费表'!B28</f>
        <v>200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f ca="1">IF(G19="已包含在土地取得成本中","0",ROUND(D19*E19/10000,0))</f>
        <v>1038</v>
      </c>
      <c r="D19" s="1034">
        <f ca="1">D9+D10</f>
        <v>51884.22</v>
      </c>
      <c r="E19" s="255">
        <f>'数据-取费表'!B31</f>
        <v>200</v>
      </c>
      <c r="F19" s="275"/>
      <c r="G19" s="2547"/>
    </row>
    <row r="20" spans="1:7" s="258" customFormat="1" ht="13.5" customHeight="1">
      <c r="A20" s="299" t="s">
        <v>2359</v>
      </c>
      <c r="B20" s="254" t="s">
        <v>2360</v>
      </c>
      <c r="C20" s="276">
        <f ca="1">ROUND((C5+C19)*F20,0)</f>
        <v>21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2">
        <f ca="1">ROUND(SUM(C23:C25),0)</f>
        <v>102</v>
      </c>
      <c r="D22" s="279">
        <f ca="1">C26</f>
        <v>1E-3</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101</v>
      </c>
      <c r="D24" s="282"/>
      <c r="E24" s="282"/>
      <c r="F24" s="283"/>
      <c r="G24" s="284" t="s">
        <v>2373</v>
      </c>
    </row>
    <row r="25" spans="1:7" s="258" customFormat="1" ht="24">
      <c r="A25" s="949" t="s">
        <v>2374</v>
      </c>
      <c r="B25" s="259" t="s">
        <v>2375</v>
      </c>
      <c r="C25" s="1353">
        <f ca="1">ROUND(IF('数据-取费表'!B22&lt;=1,C20*F22*'数据-取费表'!B23/2,C20*(POWER((1+F22),'数据-取费表'!B23/2)-1)),0)</f>
        <v>1</v>
      </c>
      <c r="D25" s="282"/>
      <c r="E25" s="285"/>
      <c r="F25" s="283"/>
      <c r="G25" s="286" t="s">
        <v>2376</v>
      </c>
    </row>
    <row r="26" spans="1:7" s="258" customFormat="1">
      <c r="A26" s="949"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169</v>
      </c>
      <c r="D27" s="279">
        <f ca="1">C29</f>
        <v>3.2000000000000002E-3</v>
      </c>
      <c r="E27" s="280" t="s">
        <v>2380</v>
      </c>
      <c r="F27" s="290">
        <f ca="1">IF(B1="",'数据-取费表'!Q16,INDIRECT("'数据-取费表'!q"&amp;$G$1))</f>
        <v>0.16</v>
      </c>
      <c r="G27" s="291" t="s">
        <v>2381</v>
      </c>
    </row>
    <row r="28" spans="1:7" s="258" customFormat="1" ht="13.5" customHeight="1">
      <c r="A28" s="949" t="s">
        <v>791</v>
      </c>
      <c r="B28" s="292" t="s">
        <v>2382</v>
      </c>
      <c r="C28" s="293">
        <f ca="1">ROUND((C5+C19+C20)*F27*'数据-取费表'!B21/'数据-取费表'!B20,0)</f>
        <v>169</v>
      </c>
      <c r="D28" s="279"/>
      <c r="E28" s="280"/>
      <c r="F28" s="290"/>
      <c r="G28" s="291"/>
    </row>
    <row r="29" spans="1:7" s="258" customFormat="1" ht="13.5" customHeight="1">
      <c r="A29" s="949" t="s">
        <v>792</v>
      </c>
      <c r="B29" s="292" t="s">
        <v>2383</v>
      </c>
      <c r="C29" s="282">
        <f ca="1">ROUND(C21*F27*'数据-取费表'!B21/'数据-取费表'!B20,4)</f>
        <v>3.2000000000000002E-3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1440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15194</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13547</v>
      </c>
      <c r="D34" s="261"/>
      <c r="E34" s="264"/>
      <c r="F34" s="301">
        <f ca="1">IF('数据-取费表'!B24=0,1,IF(B1="",'数据-取费表'!N16,INDIRECT("'数据-取费表'!n"&amp;$G$1)))</f>
        <v>1</v>
      </c>
      <c r="G34" s="263" t="s">
        <v>2392</v>
      </c>
    </row>
    <row r="35" spans="1:7" ht="13.5" customHeight="1">
      <c r="A35" s="949" t="s">
        <v>796</v>
      </c>
      <c r="B35" s="259" t="s">
        <v>2393</v>
      </c>
      <c r="C35" s="264">
        <f ca="1">ROUND(C34*F35,0)</f>
        <v>406</v>
      </c>
      <c r="D35" s="264"/>
      <c r="E35" s="264"/>
      <c r="F35" s="303">
        <f>'数据-取费表'!B33</f>
        <v>0.03</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1038</v>
      </c>
      <c r="D37" s="261">
        <f ca="1">D19</f>
        <v>51884.22</v>
      </c>
      <c r="E37" s="293">
        <f>'数据-取费表'!B35</f>
        <v>200</v>
      </c>
      <c r="F37" s="303"/>
      <c r="G37" s="305" t="s">
        <v>2398</v>
      </c>
    </row>
    <row r="38" spans="1:7" ht="13.5" customHeight="1">
      <c r="A38" s="949" t="s">
        <v>799</v>
      </c>
      <c r="B38" s="259" t="s">
        <v>2399</v>
      </c>
      <c r="C38" s="264">
        <f ca="1">ROUND(C34*F38,0)</f>
        <v>203</v>
      </c>
      <c r="D38" s="264"/>
      <c r="E38" s="264"/>
      <c r="F38" s="303">
        <f>'数据-取费表'!B36</f>
        <v>1.4999999999999999E-2</v>
      </c>
      <c r="G38" s="263" t="s">
        <v>2394</v>
      </c>
    </row>
    <row r="39" spans="1:7" s="258" customFormat="1" ht="13.5" customHeight="1">
      <c r="A39" s="299" t="s">
        <v>2400</v>
      </c>
      <c r="B39" s="254" t="s">
        <v>2401</v>
      </c>
      <c r="C39" s="276">
        <f ca="1">ROUND(C33*F20,0)</f>
        <v>304</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736</v>
      </c>
      <c r="D41" s="279">
        <f ca="1">C44</f>
        <v>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722</v>
      </c>
      <c r="D42" s="282"/>
      <c r="E42" s="282"/>
      <c r="F42" s="283"/>
      <c r="G42" s="3191" t="s">
        <v>2410</v>
      </c>
    </row>
    <row r="43" spans="1:7" ht="13.5" customHeight="1">
      <c r="A43" s="949" t="s">
        <v>792</v>
      </c>
      <c r="B43" s="259" t="s">
        <v>2411</v>
      </c>
      <c r="C43" s="282">
        <f ca="1">ROUND(IF('数据-取费表'!B22&lt;=1,C39*F22*'数据-取费表'!B21/2,C39*(POWER((1+F22),'数据-取费表'!B21/2)-1)),0)</f>
        <v>14</v>
      </c>
      <c r="D43" s="282"/>
      <c r="E43" s="282"/>
      <c r="F43" s="283"/>
      <c r="G43" s="3192"/>
    </row>
    <row r="44" spans="1:7" ht="13.5" customHeight="1">
      <c r="A44" s="949" t="s">
        <v>793</v>
      </c>
      <c r="B44" s="259" t="s">
        <v>2412</v>
      </c>
      <c r="C44" s="282">
        <f ca="1">ROUND(IF('数据-取费表'!B22&lt;=1,C40*F22*'数据-取费表'!B21/2,C40*(POWER((1+F22),'数据-取费表'!B21/2)-1)),4)</f>
        <v>1E-3</v>
      </c>
      <c r="D44" s="282"/>
      <c r="E44" s="282"/>
      <c r="F44" s="283"/>
      <c r="G44" s="3193"/>
    </row>
    <row r="45" spans="1:7" s="258" customFormat="1" ht="13.5" customHeight="1">
      <c r="A45" s="299" t="s">
        <v>2413</v>
      </c>
      <c r="B45" s="288" t="s">
        <v>2379</v>
      </c>
      <c r="C45" s="289">
        <f ca="1">C46</f>
        <v>2480</v>
      </c>
      <c r="D45" s="279">
        <f ca="1">C47</f>
        <v>3.2000000000000002E-3</v>
      </c>
      <c r="E45" s="280" t="s">
        <v>2405</v>
      </c>
      <c r="F45" s="290"/>
      <c r="G45" s="291" t="s">
        <v>2414</v>
      </c>
    </row>
    <row r="46" spans="1:7" s="258" customFormat="1" ht="13.5" customHeight="1">
      <c r="A46" s="949" t="s">
        <v>791</v>
      </c>
      <c r="B46" s="292" t="s">
        <v>2415</v>
      </c>
      <c r="C46" s="293">
        <f ca="1">ROUND((C33+C39)*F27,0)</f>
        <v>2480</v>
      </c>
      <c r="D46" s="307"/>
      <c r="E46" s="280"/>
      <c r="F46" s="290"/>
      <c r="G46" s="291"/>
    </row>
    <row r="47" spans="1:7" s="258" customFormat="1" ht="13.5" customHeight="1">
      <c r="A47" s="949" t="s">
        <v>792</v>
      </c>
      <c r="B47" s="292" t="s">
        <v>2416</v>
      </c>
      <c r="C47" s="282">
        <f ca="1">ROUND(C40*F27,4)</f>
        <v>3.2000000000000002E-3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20266</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18847</v>
      </c>
      <c r="D51" s="276"/>
      <c r="E51" s="276"/>
      <c r="F51" s="308"/>
      <c r="G51" s="278" t="s">
        <v>2426</v>
      </c>
    </row>
    <row r="52" spans="1:7" s="252" customFormat="1" ht="16.5" thickBot="1">
      <c r="A52" s="309" t="s">
        <v>2427</v>
      </c>
      <c r="B52" s="310"/>
      <c r="C52" s="311">
        <f ca="1">C31+C51</f>
        <v>20287</v>
      </c>
      <c r="D52" s="310"/>
      <c r="E52" s="310"/>
      <c r="F52" s="310"/>
      <c r="G52" s="312"/>
    </row>
    <row r="55" spans="1:7" ht="15">
      <c r="B55" s="314" t="s">
        <v>2428</v>
      </c>
      <c r="C55" s="315"/>
    </row>
    <row r="56" spans="1:7">
      <c r="B56" s="317" t="s">
        <v>1509</v>
      </c>
      <c r="C56" s="319">
        <f ca="1">1-C57</f>
        <v>7.0999999999999952E-2</v>
      </c>
    </row>
    <row r="57" spans="1:7">
      <c r="B57" s="317" t="s">
        <v>1510</v>
      </c>
      <c r="C57" s="318">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5" t="str">
        <f>项目基本情况!B1</f>
        <v>北京市北京经济技术开发区天华北街11号院1号楼，2号楼，3号楼，4幢等部分办公、商业用房房地产抵押价值评估房地产抵押价值预评估</v>
      </c>
      <c r="C37" s="3005"/>
      <c r="D37" s="3005"/>
      <c r="E37" s="3005"/>
      <c r="F37" s="3005"/>
      <c r="G37" s="3005"/>
      <c r="H37" s="3005"/>
      <c r="I37" s="3005"/>
    </row>
    <row r="38" spans="1:9">
      <c r="A38" s="1014"/>
      <c r="B38" s="1014"/>
    </row>
    <row r="39" spans="1:9">
      <c r="A39" s="1012" t="s">
        <v>818</v>
      </c>
      <c r="B39" s="1012" t="s">
        <v>820</v>
      </c>
    </row>
    <row r="40" spans="1:9">
      <c r="A40" s="1012"/>
      <c r="B40" s="1940" t="str">
        <f>项目基本情况!B5</f>
        <v>北京富兴金地置业有限公司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郑燚（注册号：1120070131)、吴薇（注册号：1419970001)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0" t="s">
        <v>2429</v>
      </c>
      <c r="D1" s="242"/>
      <c r="E1" s="242"/>
      <c r="F1" s="242"/>
      <c r="G1" s="1377">
        <f>MATCH(B1,'数据-取费表'!A6:A16,0)+5</f>
        <v>9</v>
      </c>
      <c r="H1" s="1280" t="str">
        <f>IF(ISERROR(FIND("住宅",B1)),"非住宅","住宅")</f>
        <v>非住宅</v>
      </c>
    </row>
    <row r="2" spans="1:8" s="244" customFormat="1" ht="18" customHeight="1">
      <c r="A2" s="245" t="s">
        <v>2328</v>
      </c>
      <c r="B2" s="246">
        <f ca="1">ROUND(IF(D2="——",C52/10000,C52/10000-E2),0)</f>
        <v>21729</v>
      </c>
      <c r="C2" s="243" t="s">
        <v>2329</v>
      </c>
      <c r="D2" s="2544" t="s">
        <v>70</v>
      </c>
      <c r="E2" s="1438"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4188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10376844</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'数据-取费表'!B48+'数据-取费表'!B49</f>
        <v>3.0499999999999999E-2</v>
      </c>
      <c r="G7" s="263"/>
    </row>
    <row r="8" spans="1:8" s="267" customFormat="1">
      <c r="A8" s="947" t="s">
        <v>2342</v>
      </c>
      <c r="B8" s="259" t="s">
        <v>2343</v>
      </c>
      <c r="C8" s="264">
        <f ca="1">IF(G8="已包含在土地购买价格中",0,C9+C10)</f>
        <v>10376844</v>
      </c>
      <c r="D8" s="266"/>
      <c r="E8" s="264"/>
      <c r="F8" s="265"/>
      <c r="G8" s="2547"/>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2346</v>
      </c>
      <c r="C10" s="269">
        <f ca="1">ROUND(D10*E10,0)</f>
        <v>10376844</v>
      </c>
      <c r="D10" s="1030">
        <f ca="1">IF(B1="",'数据-汇总表'!E6,IF(INDIRECT("'数据-取费表'!c"&amp;$G$1)="住宅",INDIRECT("'数据-取费表'!s"&amp;$G$1),INDIRECT("'数据-取费表'!k"&amp;$G$1)+INDIRECT("'数据-取费表'!s"&amp;$G$1)))</f>
        <v>51884.22</v>
      </c>
      <c r="E10" s="269">
        <f>'数据-取费表'!B28</f>
        <v>200</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10376844</v>
      </c>
      <c r="D19" s="1034">
        <f ca="1">D9+D10</f>
        <v>51884.22</v>
      </c>
      <c r="E19" s="255">
        <f>'数据-取费表'!B31</f>
        <v>200</v>
      </c>
      <c r="F19" s="275"/>
      <c r="G19" s="2547"/>
    </row>
    <row r="20" spans="1:7" s="258" customFormat="1" ht="13.5" customHeight="1">
      <c r="A20" s="299" t="s">
        <v>2440</v>
      </c>
      <c r="B20" s="254" t="s">
        <v>2441</v>
      </c>
      <c r="C20" s="276">
        <f ca="1">ROUND((C5+C19)*F20,0)</f>
        <v>415074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2038142</v>
      </c>
      <c r="D22" s="279">
        <f ca="1">C26</f>
        <v>1E-3</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1009213</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1009213</v>
      </c>
      <c r="D24" s="282"/>
      <c r="E24" s="282"/>
      <c r="F24" s="283"/>
      <c r="G24" s="284" t="s">
        <v>2452</v>
      </c>
    </row>
    <row r="25" spans="1:7" s="258" customFormat="1" ht="24">
      <c r="A25" s="949" t="s">
        <v>2342</v>
      </c>
      <c r="B25" s="259" t="s">
        <v>2453</v>
      </c>
      <c r="C25" s="1379">
        <f ca="1">ROUND(IF('数据-取费表'!B22&lt;=1,C20*F22*'数据-取费表'!B22/2,C20*(POWER((1+F22),'数据-取费表'!B22/2)-1)),0)</f>
        <v>19716</v>
      </c>
      <c r="D25" s="282"/>
      <c r="E25" s="285"/>
      <c r="F25" s="283"/>
      <c r="G25" s="286" t="s">
        <v>2454</v>
      </c>
    </row>
    <row r="26" spans="1:7" s="258" customFormat="1">
      <c r="A26" s="949"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3387002</v>
      </c>
      <c r="D27" s="279">
        <f ca="1">C29</f>
        <v>3.2000000000000002E-3</v>
      </c>
      <c r="E27" s="280" t="s">
        <v>2380</v>
      </c>
      <c r="F27" s="290">
        <f ca="1">IF(B1="",'数据-取费表'!Q16,INDIRECT("'数据-取费表'!q"&amp;$G$1))</f>
        <v>0.16</v>
      </c>
      <c r="G27" s="291" t="s">
        <v>2381</v>
      </c>
    </row>
    <row r="28" spans="1:7" s="258" customFormat="1" ht="13.5" customHeight="1">
      <c r="A28" s="949" t="s">
        <v>791</v>
      </c>
      <c r="B28" s="292" t="s">
        <v>2382</v>
      </c>
      <c r="C28" s="293">
        <f ca="1">ROUND((C5+C19+C20)*F27,0)</f>
        <v>3387002</v>
      </c>
      <c r="D28" s="279"/>
      <c r="E28" s="280"/>
      <c r="F28" s="290"/>
      <c r="G28" s="291"/>
    </row>
    <row r="29" spans="1:7" s="258" customFormat="1" ht="13.5" customHeight="1">
      <c r="A29" s="949" t="s">
        <v>792</v>
      </c>
      <c r="B29" s="292" t="s">
        <v>2383</v>
      </c>
      <c r="C29" s="282">
        <f ca="1">ROUND(C21*F27,4)</f>
        <v>3.2000000000000002E-3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28799985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151951722</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135478352</v>
      </c>
      <c r="D34" s="261"/>
      <c r="E34" s="264"/>
      <c r="F34" s="301"/>
      <c r="G34" s="263"/>
    </row>
    <row r="35" spans="1:7" ht="13.5" customHeight="1">
      <c r="A35" s="949" t="s">
        <v>796</v>
      </c>
      <c r="B35" s="259" t="s">
        <v>2393</v>
      </c>
      <c r="C35" s="264">
        <f ca="1">ROUND(C34*F35,0)</f>
        <v>4064351</v>
      </c>
      <c r="D35" s="264"/>
      <c r="E35" s="264"/>
      <c r="F35" s="303">
        <f>'数据-取费表'!B33</f>
        <v>0.03</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10376844</v>
      </c>
      <c r="D37" s="261">
        <f ca="1">D19</f>
        <v>51884.22</v>
      </c>
      <c r="E37" s="293">
        <f>'数据-取费表'!B35</f>
        <v>200</v>
      </c>
      <c r="F37" s="303"/>
      <c r="G37" s="305"/>
    </row>
    <row r="38" spans="1:7" ht="13.5" customHeight="1">
      <c r="A38" s="949" t="s">
        <v>799</v>
      </c>
      <c r="B38" s="259" t="s">
        <v>2399</v>
      </c>
      <c r="C38" s="264">
        <f ca="1">ROUND(C34*F38,0)</f>
        <v>2032175</v>
      </c>
      <c r="D38" s="264"/>
      <c r="E38" s="264"/>
      <c r="F38" s="303">
        <f>'数据-取费表'!B36</f>
        <v>1.4999999999999999E-2</v>
      </c>
      <c r="G38" s="263" t="s">
        <v>2394</v>
      </c>
    </row>
    <row r="39" spans="1:7" s="258" customFormat="1" ht="13.5" customHeight="1">
      <c r="A39" s="299" t="s">
        <v>2400</v>
      </c>
      <c r="B39" s="254" t="s">
        <v>2401</v>
      </c>
      <c r="C39" s="276">
        <f ca="1">ROUND(C33*F20,0)</f>
        <v>3039034</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7362061</v>
      </c>
      <c r="D41" s="279">
        <f ca="1">C44</f>
        <v>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7217707</v>
      </c>
      <c r="D42" s="282"/>
      <c r="E42" s="282"/>
      <c r="F42" s="283"/>
      <c r="G42" s="3191" t="s">
        <v>2457</v>
      </c>
    </row>
    <row r="43" spans="1:7" ht="13.5" customHeight="1">
      <c r="A43" s="949" t="s">
        <v>792</v>
      </c>
      <c r="B43" s="259" t="s">
        <v>2411</v>
      </c>
      <c r="C43" s="282">
        <f ca="1">ROUND(IF('数据-取费表'!B22&lt;=1,C39*F22*'数据-取费表'!B20/2,C39*(POWER((1+F22),'数据-取费表'!B20/2)-1)),0)</f>
        <v>144354</v>
      </c>
      <c r="D43" s="282"/>
      <c r="E43" s="282"/>
      <c r="F43" s="283"/>
      <c r="G43" s="3192"/>
    </row>
    <row r="44" spans="1:7" ht="13.5" customHeight="1">
      <c r="A44" s="949" t="s">
        <v>793</v>
      </c>
      <c r="B44" s="259" t="s">
        <v>2412</v>
      </c>
      <c r="C44" s="282">
        <f ca="1">ROUND(IF('数据-取费表'!B22&lt;=1,C40*F22*'数据-取费表'!B20/2,C40*(POWER((1+F22),'数据-取费表'!B20/2)-1)),4)</f>
        <v>1E-3</v>
      </c>
      <c r="D44" s="282"/>
      <c r="E44" s="282"/>
      <c r="F44" s="283"/>
      <c r="G44" s="3193"/>
    </row>
    <row r="45" spans="1:7" s="258" customFormat="1" ht="13.5" customHeight="1">
      <c r="A45" s="299" t="s">
        <v>2413</v>
      </c>
      <c r="B45" s="288" t="s">
        <v>2379</v>
      </c>
      <c r="C45" s="289">
        <f ca="1">C46</f>
        <v>24798521</v>
      </c>
      <c r="D45" s="279">
        <f ca="1">C47</f>
        <v>3.2000000000000002E-3</v>
      </c>
      <c r="E45" s="280" t="s">
        <v>2405</v>
      </c>
      <c r="F45" s="290"/>
      <c r="G45" s="291" t="s">
        <v>2414</v>
      </c>
    </row>
    <row r="46" spans="1:7" s="258" customFormat="1" ht="13.5" customHeight="1">
      <c r="A46" s="949" t="s">
        <v>791</v>
      </c>
      <c r="B46" s="292" t="s">
        <v>2415</v>
      </c>
      <c r="C46" s="293">
        <f ca="1">ROUND((C33+C39)*F27,0)</f>
        <v>24798521</v>
      </c>
      <c r="D46" s="307"/>
      <c r="E46" s="280"/>
      <c r="F46" s="290"/>
      <c r="G46" s="291"/>
    </row>
    <row r="47" spans="1:7" s="258" customFormat="1" ht="13.5" customHeight="1">
      <c r="A47" s="949" t="s">
        <v>792</v>
      </c>
      <c r="B47" s="292" t="s">
        <v>2416</v>
      </c>
      <c r="C47" s="282">
        <f ca="1">ROUND(C40*F27,4)</f>
        <v>3.2000000000000002E-3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202676346</v>
      </c>
      <c r="D49" s="276"/>
      <c r="E49" s="276"/>
      <c r="F49" s="308"/>
      <c r="G49" s="278" t="s">
        <v>2420</v>
      </c>
    </row>
    <row r="50" spans="1:7" s="302" customFormat="1">
      <c r="A50" s="299" t="s">
        <v>2421</v>
      </c>
      <c r="B50" s="254" t="s">
        <v>2422</v>
      </c>
      <c r="C50" s="276"/>
      <c r="D50" s="276"/>
      <c r="E50" s="276"/>
      <c r="F50" s="308">
        <f>IF('数据-取费表'!B24=0,'数据-取费表'!N16,1)</f>
        <v>0.93</v>
      </c>
      <c r="G50" s="291"/>
    </row>
    <row r="51" spans="1:7" ht="16.5" customHeight="1">
      <c r="A51" s="299" t="s">
        <v>2424</v>
      </c>
      <c r="B51" s="254" t="s">
        <v>2459</v>
      </c>
      <c r="C51" s="276">
        <f ca="1">ROUND(C49*F50,0)</f>
        <v>188489002</v>
      </c>
      <c r="D51" s="276"/>
      <c r="E51" s="276"/>
      <c r="F51" s="308"/>
      <c r="G51" s="278" t="s">
        <v>2426</v>
      </c>
    </row>
    <row r="52" spans="1:7" s="252" customFormat="1" ht="16.5" thickBot="1">
      <c r="A52" s="309" t="s">
        <v>2427</v>
      </c>
      <c r="B52" s="310"/>
      <c r="C52" s="311">
        <f ca="1">C31+C51</f>
        <v>217288987</v>
      </c>
      <c r="D52" s="310"/>
      <c r="E52" s="310"/>
      <c r="F52" s="310"/>
      <c r="G52" s="312"/>
    </row>
    <row r="55" spans="1:7" ht="15">
      <c r="B55" s="314" t="s">
        <v>2428</v>
      </c>
      <c r="C55" s="315"/>
    </row>
    <row r="56" spans="1:7">
      <c r="B56" s="317" t="s">
        <v>1509</v>
      </c>
      <c r="C56" s="319">
        <f ca="1">1-C57</f>
        <v>0.13300000000000001</v>
      </c>
    </row>
    <row r="57" spans="1:7">
      <c r="B57" s="317" t="s">
        <v>1510</v>
      </c>
      <c r="C57" s="318">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9</v>
      </c>
    </row>
    <row r="2" spans="1:33" ht="18" customHeight="1">
      <c r="A2" s="245" t="s">
        <v>2328</v>
      </c>
      <c r="B2" s="248">
        <f ca="1">C32</f>
        <v>-1193</v>
      </c>
      <c r="C2" s="320" t="s">
        <v>2461</v>
      </c>
      <c r="D2" s="320"/>
      <c r="E2" s="320"/>
      <c r="F2" s="320"/>
      <c r="G2" s="320"/>
      <c r="H2" s="320"/>
      <c r="I2" s="320"/>
      <c r="J2" s="320"/>
      <c r="K2" s="320"/>
    </row>
    <row r="3" spans="1:33" ht="18" customHeight="1" thickBot="1">
      <c r="A3" s="247" t="s">
        <v>2330</v>
      </c>
      <c r="B3" s="248">
        <f ca="1">ROUND(B2*10000/IF(C1="",'数据-汇总表'!E3,INDIRECT("'数据-取费表'!K"&amp;$K$1)),0)</f>
        <v>-230</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1" t="s">
        <v>2466</v>
      </c>
      <c r="D5" s="2551" t="s">
        <v>2467</v>
      </c>
      <c r="E5" s="2551" t="s">
        <v>2468</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51884.22</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51884.22</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1038</v>
      </c>
      <c r="D18" s="1031"/>
      <c r="E18" s="24"/>
      <c r="F18" s="974"/>
      <c r="G18" s="2553"/>
      <c r="H18" s="1575"/>
      <c r="I18" s="2554"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2496</v>
      </c>
      <c r="C20" s="24">
        <f ca="1">ROUND(D20*E20/10000,0)</f>
        <v>1038</v>
      </c>
      <c r="D20" s="1031">
        <f ca="1">IF(C1="",'数据-汇总表'!E6,IF(INDIRECT("'数据-取费表'!c"&amp;$K$1)="住宅",INDIRECT("'数据-取费表'!s"&amp;$K$1),INDIRECT("'数据-取费表'!k"&amp;$K$1)+INDIRECT("'数据-取费表'!s"&amp;$K$1)))</f>
        <v>51884.22</v>
      </c>
      <c r="E20" s="24">
        <f>'数据-取费表'!B28</f>
        <v>200</v>
      </c>
      <c r="F20" s="974"/>
      <c r="G20" s="15"/>
      <c r="H20" s="979"/>
      <c r="I20" s="979"/>
      <c r="J20" s="979"/>
      <c r="K20" s="980"/>
    </row>
    <row r="21" spans="1:33" s="973" customFormat="1" ht="13.5" customHeight="1">
      <c r="A21" s="959" t="s">
        <v>802</v>
      </c>
      <c r="B21" s="983" t="s">
        <v>2497</v>
      </c>
      <c r="C21" s="984">
        <f ca="1">C16+C17+C18</f>
        <v>1038</v>
      </c>
      <c r="D21" s="985"/>
      <c r="E21" s="325"/>
      <c r="F21" s="325"/>
      <c r="G21" s="140" t="s">
        <v>2498</v>
      </c>
      <c r="H21" s="977"/>
      <c r="I21" s="977"/>
      <c r="J21" s="977"/>
      <c r="K21" s="978"/>
    </row>
    <row r="22" spans="1:33" s="973" customFormat="1" ht="13.5" customHeight="1">
      <c r="A22" s="959" t="s">
        <v>2470</v>
      </c>
      <c r="B22" s="983" t="s">
        <v>2499</v>
      </c>
      <c r="C22" s="984">
        <f ca="1">ROUND(C21*F22,0)</f>
        <v>21</v>
      </c>
      <c r="D22" s="325"/>
      <c r="E22" s="325"/>
      <c r="F22" s="986">
        <f>'数据-取费表'!B37</f>
        <v>0.02</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0.02</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7"/>
      <c r="I27" s="977"/>
      <c r="J27" s="977"/>
      <c r="K27" s="978"/>
    </row>
    <row r="28" spans="1:33" s="333" customFormat="1" ht="13.5" customHeight="1">
      <c r="A28" s="959" t="s">
        <v>2510</v>
      </c>
      <c r="B28" s="2556" t="s">
        <v>2511</v>
      </c>
      <c r="C28" s="331">
        <f ca="1">C30</f>
        <v>169</v>
      </c>
      <c r="D28" s="324">
        <f ca="1">C29</f>
        <v>0</v>
      </c>
      <c r="E28" s="326" t="s">
        <v>15</v>
      </c>
      <c r="F28" s="332">
        <f ca="1">IF(C1="",'数据-取费表'!Q16,INDIRECT("'数据-取费表'!q"&amp;$K$1))</f>
        <v>0.16</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169</v>
      </c>
      <c r="D30" s="328"/>
      <c r="E30" s="329"/>
      <c r="F30" s="334"/>
      <c r="G30" s="140"/>
      <c r="H30" s="977"/>
      <c r="I30" s="977"/>
      <c r="J30" s="977"/>
      <c r="K30" s="978"/>
    </row>
    <row r="31" spans="1:33" s="973" customFormat="1" ht="13.5" customHeight="1" thickBot="1">
      <c r="A31" s="2557"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-1193</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1">
        <f ca="1">J53</f>
        <v>38.590000000000003</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61846</v>
      </c>
      <c r="C2" s="1843" t="s">
        <v>1512</v>
      </c>
      <c r="D2" s="1843"/>
      <c r="E2" s="1844"/>
      <c r="F2" s="1845"/>
      <c r="G2" s="1846"/>
      <c r="H2" s="1838"/>
      <c r="I2" s="1838"/>
      <c r="J2" s="1838"/>
      <c r="K2" s="1839"/>
      <c r="L2" s="1838"/>
      <c r="M2" s="1838"/>
    </row>
    <row r="3" spans="1:37" ht="18" customHeight="1" thickBot="1">
      <c r="A3" s="1847" t="s">
        <v>1513</v>
      </c>
      <c r="B3" s="1848">
        <f ca="1">IF(ISERROR(B2*10000/F43),0,ROUND(B2*10000/F43,0))</f>
        <v>31335</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3566</v>
      </c>
      <c r="D5" s="1820" t="s">
        <v>1398</v>
      </c>
      <c r="E5" s="1291"/>
      <c r="F5" s="1292"/>
      <c r="G5" s="1849"/>
      <c r="H5" s="344">
        <v>1</v>
      </c>
      <c r="I5" s="345" t="s">
        <v>1397</v>
      </c>
      <c r="J5" s="1290">
        <f ca="1">J6+J10+J12</f>
        <v>0</v>
      </c>
      <c r="K5" s="1820" t="s">
        <v>1398</v>
      </c>
      <c r="L5" s="1291"/>
      <c r="M5" s="1292"/>
    </row>
    <row r="6" spans="1:37" ht="18" customHeight="1">
      <c r="A6" s="1289" t="s">
        <v>1032</v>
      </c>
      <c r="B6" s="3196" t="s">
        <v>1399</v>
      </c>
      <c r="C6" s="1294">
        <f ca="1">ROUND(F6*F8*F7*(1-F9)/10000,0)</f>
        <v>3566</v>
      </c>
      <c r="D6" s="164" t="s">
        <v>3033</v>
      </c>
      <c r="E6" s="347" t="s">
        <v>1401</v>
      </c>
      <c r="F6" s="348">
        <f ca="1">INDIRECT("'数据-取费表'!u"&amp;$G$1)</f>
        <v>5.5</v>
      </c>
      <c r="G6" s="1849"/>
      <c r="H6" s="1289" t="s">
        <v>1032</v>
      </c>
      <c r="I6" s="3196" t="s">
        <v>1399</v>
      </c>
      <c r="J6" s="346">
        <f ca="1">ROUND(M6*M8*M7*(1-M9)/10000,0)</f>
        <v>0</v>
      </c>
      <c r="K6" s="164" t="s">
        <v>3032</v>
      </c>
      <c r="L6" s="347" t="s">
        <v>1401</v>
      </c>
      <c r="M6" s="348">
        <f ca="1">INDIRECT("'数据-取费表'!z"&amp;$G$1)</f>
        <v>0</v>
      </c>
    </row>
    <row r="7" spans="1:37" ht="18" customHeight="1">
      <c r="A7" s="1293"/>
      <c r="B7" s="3197"/>
      <c r="C7" s="1295"/>
      <c r="D7" s="352"/>
      <c r="E7" s="1296" t="s">
        <v>1402</v>
      </c>
      <c r="F7" s="348">
        <f ca="1">IF(INDIRECT("'数据-取费表'!ah"&amp;$G$1)="",INDIRECT("'数据-取费表'!k"&amp;$G$1),INDIRECT("'数据-取费表'!ah"&amp;$G$1))</f>
        <v>19736.88</v>
      </c>
      <c r="G7" s="1849"/>
      <c r="H7" s="349"/>
      <c r="I7" s="3197"/>
      <c r="J7" s="351"/>
      <c r="K7" s="352"/>
      <c r="L7" s="347" t="s">
        <v>1402</v>
      </c>
      <c r="M7" s="348">
        <f ca="1">F7</f>
        <v>19736.88</v>
      </c>
    </row>
    <row r="8" spans="1:37" ht="18" customHeight="1">
      <c r="A8" s="349"/>
      <c r="B8" s="3197"/>
      <c r="C8" s="351"/>
      <c r="D8" s="352"/>
      <c r="E8" s="347" t="s">
        <v>1403</v>
      </c>
      <c r="F8" s="348">
        <f ca="1">INDIRECT("'数据-取费表'!ai"&amp;$G$1)</f>
        <v>365</v>
      </c>
      <c r="G8" s="1849"/>
      <c r="H8" s="349"/>
      <c r="I8" s="3197"/>
      <c r="J8" s="351"/>
      <c r="K8" s="352"/>
      <c r="L8" s="347" t="s">
        <v>1403</v>
      </c>
      <c r="M8" s="348">
        <f ca="1">INDIRECT("'数据-取费表'!ai"&amp;$G$1)</f>
        <v>365</v>
      </c>
    </row>
    <row r="9" spans="1:37" ht="18" customHeight="1">
      <c r="A9" s="349"/>
      <c r="B9" s="3198"/>
      <c r="C9" s="351"/>
      <c r="D9" s="352"/>
      <c r="E9" s="347" t="s">
        <v>1404</v>
      </c>
      <c r="F9" s="357">
        <f ca="1">INDIRECT("'数据-取费表'!w"&amp;$G$1)</f>
        <v>0.1</v>
      </c>
      <c r="G9" s="1849"/>
      <c r="H9" s="349"/>
      <c r="I9" s="3198"/>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3042</v>
      </c>
      <c r="E10" s="358" t="s">
        <v>1406</v>
      </c>
      <c r="F10" s="1364" t="s">
        <v>3182</v>
      </c>
      <c r="G10" s="1849"/>
      <c r="H10" s="1289" t="s">
        <v>1036</v>
      </c>
      <c r="I10" s="1821" t="s">
        <v>1405</v>
      </c>
      <c r="J10" s="346">
        <f ca="1">ROUND(IF(M10="押一",J6/12*M11,IF(M10="押二",J6/12*2*M11,IF(M10="押三",J6/12*3*M11,J11*M11))),0)</f>
        <v>0</v>
      </c>
      <c r="K10" s="1822" t="s">
        <v>3041</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7588</v>
      </c>
      <c r="D13" s="1329" t="s">
        <v>1411</v>
      </c>
      <c r="E13" s="1329" t="s">
        <v>1412</v>
      </c>
      <c r="F13" s="1330">
        <f ca="1">INDIRECT("'数据-取费表'!y"&amp;$G$1)</f>
        <v>0.93</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5526</v>
      </c>
      <c r="D14" s="1798" t="s">
        <v>1414</v>
      </c>
      <c r="E14" s="1792"/>
      <c r="F14" s="364"/>
      <c r="G14" s="1849"/>
      <c r="H14" s="1199" t="s">
        <v>1032</v>
      </c>
      <c r="I14" s="347" t="s">
        <v>1415</v>
      </c>
      <c r="J14" s="24">
        <f ca="1">C29</f>
        <v>8159</v>
      </c>
      <c r="K14" s="15"/>
      <c r="L14" s="977"/>
      <c r="M14" s="978"/>
    </row>
    <row r="15" spans="1:37" s="1856" customFormat="1" ht="18" customHeight="1" thickBot="1">
      <c r="A15" s="1199" t="s">
        <v>1033</v>
      </c>
      <c r="B15" s="347" t="s">
        <v>1416</v>
      </c>
      <c r="C15" s="24">
        <f ca="1">ROUND(C14*F15,0)</f>
        <v>166</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192</v>
      </c>
      <c r="K16" s="1335" t="s">
        <v>1421</v>
      </c>
      <c r="L16" s="1336"/>
      <c r="M16" s="1292"/>
    </row>
    <row r="17" spans="1:37" s="1856" customFormat="1" ht="18" customHeight="1">
      <c r="A17" s="1199" t="s">
        <v>1386</v>
      </c>
      <c r="B17" s="347" t="s">
        <v>1422</v>
      </c>
      <c r="C17" s="24">
        <f ca="1">ROUND(F17*(F43+INDIRECT("'数据-取费表'!S"&amp;$G$1))/10000,0)</f>
        <v>395</v>
      </c>
      <c r="D17" s="347" t="s">
        <v>1423</v>
      </c>
      <c r="E17" s="347" t="s">
        <v>1424</v>
      </c>
      <c r="F17" s="26">
        <f>'数据-取费表'!B35</f>
        <v>200</v>
      </c>
      <c r="G17" s="1852"/>
      <c r="H17" s="1199" t="s">
        <v>1032</v>
      </c>
      <c r="I17" s="347" t="s">
        <v>1425</v>
      </c>
      <c r="J17" s="24">
        <f ca="1">ROUND(IF(项目基本情况!B11="自然人",J5*M17,J18+J19+J20),1)</f>
        <v>69.2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83</v>
      </c>
      <c r="D18" s="347" t="s">
        <v>1417</v>
      </c>
      <c r="E18" s="347" t="s">
        <v>1418</v>
      </c>
      <c r="F18" s="367">
        <f>'数据-取费表'!B36</f>
        <v>1.4999999999999999E-2</v>
      </c>
      <c r="G18" s="1852"/>
      <c r="H18" s="1199"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6170</v>
      </c>
      <c r="D19" s="140" t="s">
        <v>1432</v>
      </c>
      <c r="E19" s="1816"/>
      <c r="F19" s="26"/>
      <c r="G19" s="1849"/>
      <c r="H19" s="1199" t="s">
        <v>1033</v>
      </c>
      <c r="I19" s="347" t="s">
        <v>1433</v>
      </c>
      <c r="J19" s="24">
        <f ca="1">IF(K19="按租金收入计税",ROUND(J5*M19,2),ROUND(C29*M19*0.7,2))</f>
        <v>68.540000000000006</v>
      </c>
      <c r="K19" s="1826" t="s">
        <v>1434</v>
      </c>
      <c r="L19" s="347" t="s">
        <v>1418</v>
      </c>
      <c r="M19" s="367">
        <f>IF(K19="按租金收入计税",'数据-取费表'!B51,'数据-取费表'!B50)</f>
        <v>1.2E-2</v>
      </c>
    </row>
    <row r="20" spans="1:37" s="1856" customFormat="1" ht="18" customHeight="1">
      <c r="A20" s="1199" t="s">
        <v>1036</v>
      </c>
      <c r="B20" s="347" t="s">
        <v>1435</v>
      </c>
      <c r="C20" s="24">
        <f ca="1">ROUND(C19*F20,0)</f>
        <v>123</v>
      </c>
      <c r="D20" s="369" t="s">
        <v>1436</v>
      </c>
      <c r="E20" s="347" t="s">
        <v>1418</v>
      </c>
      <c r="F20" s="367">
        <f>'数据-取费表'!B37</f>
        <v>0.02</v>
      </c>
      <c r="G20" s="1852"/>
      <c r="H20" s="1199" t="s">
        <v>1385</v>
      </c>
      <c r="I20" s="164" t="s">
        <v>1437</v>
      </c>
      <c r="J20" s="25">
        <f ca="1">ROUND(M20*M21/10000,2)</f>
        <v>0.66</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4377.9399999999996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122.4</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299</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0</v>
      </c>
      <c r="K24" s="1340" t="s">
        <v>1455</v>
      </c>
      <c r="L24" s="1338" t="s">
        <v>1451</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-192</v>
      </c>
      <c r="K25" s="1343" t="s">
        <v>1460</v>
      </c>
      <c r="L25" s="1344"/>
      <c r="M25" s="1345"/>
    </row>
    <row r="26" spans="1:37">
      <c r="A26" s="1199" t="s">
        <v>1031</v>
      </c>
      <c r="B26" s="347" t="s">
        <v>1461</v>
      </c>
      <c r="C26" s="24">
        <f ca="1">ROUND((C19+C20)*F26,0)</f>
        <v>944</v>
      </c>
      <c r="D26" s="369" t="s">
        <v>1462</v>
      </c>
      <c r="E26" s="358" t="s">
        <v>1463</v>
      </c>
      <c r="F26" s="357">
        <f ca="1">INDIRECT("'数据-取费表'!q"&amp;$G$1)</f>
        <v>0.15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3.0000000000000001E-3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8159</v>
      </c>
      <c r="D29" s="1340"/>
      <c r="E29" s="1338"/>
      <c r="F29" s="1341"/>
      <c r="G29" s="1852"/>
      <c r="H29" s="380" t="s">
        <v>1030</v>
      </c>
      <c r="I29" s="381" t="s">
        <v>1475</v>
      </c>
      <c r="J29" s="382">
        <f ca="1">ROUND(J26/(1+F40)^F41,0)</f>
        <v>0</v>
      </c>
      <c r="K29" s="383" t="s">
        <v>1476</v>
      </c>
      <c r="L29" s="384"/>
      <c r="M29" s="385">
        <f ca="1">INDIRECT("'数据-取费表'!k"&amp;$G$1)</f>
        <v>19736.88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803</v>
      </c>
      <c r="D30" s="1335" t="s">
        <v>1421</v>
      </c>
      <c r="E30" s="1336"/>
      <c r="F30" s="1292"/>
      <c r="G30" s="1849"/>
      <c r="H30" s="743"/>
      <c r="I30" s="744"/>
      <c r="J30" s="745"/>
      <c r="K30" s="746"/>
      <c r="L30" s="747"/>
      <c r="M30" s="748"/>
    </row>
    <row r="31" spans="1:37" ht="18" customHeight="1">
      <c r="A31" s="1199" t="s">
        <v>1032</v>
      </c>
      <c r="B31" s="347" t="s">
        <v>1425</v>
      </c>
      <c r="C31" s="24">
        <f ca="1">ROUND(IF(项目基本情况!B11="自然人",C5*F31,C32+C33+C34),1)</f>
        <v>615.4</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186.79</v>
      </c>
      <c r="D32" s="1796" t="s">
        <v>1430</v>
      </c>
      <c r="E32" s="347" t="s">
        <v>1418</v>
      </c>
      <c r="F32" s="377">
        <f>'数据-取费表'!B41</f>
        <v>5.5000000000000007E-2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427.92</v>
      </c>
      <c r="D33" s="1826" t="s">
        <v>3183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0.66</v>
      </c>
      <c r="D34" s="370" t="s">
        <v>1438</v>
      </c>
      <c r="E34" s="347" t="s">
        <v>1439</v>
      </c>
      <c r="F34" s="371">
        <f>'数据-取费表'!B52</f>
        <v>1.5</v>
      </c>
      <c r="G34" s="1849"/>
      <c r="H34" s="743"/>
      <c r="I34" s="1858"/>
      <c r="J34" s="1859"/>
      <c r="K34" s="1861"/>
      <c r="L34" s="1862"/>
      <c r="M34" s="1862"/>
    </row>
    <row r="35" spans="1:18" ht="18" customHeight="1">
      <c r="A35" s="1351"/>
      <c r="B35" s="1349"/>
      <c r="C35" s="29"/>
      <c r="D35" s="373"/>
      <c r="E35" s="347" t="s">
        <v>1443</v>
      </c>
      <c r="F35" s="348">
        <f ca="1">INDIRECT("'数据-取费表'!r"&amp;$G$1)</f>
        <v>4377.9399999999996</v>
      </c>
      <c r="G35" s="1849"/>
      <c r="H35" s="743"/>
      <c r="I35" s="1858"/>
      <c r="J35" s="1859"/>
      <c r="K35" s="1860"/>
      <c r="L35" s="1857"/>
      <c r="M35" s="1857"/>
    </row>
    <row r="36" spans="1:18" ht="18" customHeight="1">
      <c r="A36" s="1350" t="s">
        <v>1036</v>
      </c>
      <c r="B36" s="347" t="s">
        <v>1445</v>
      </c>
      <c r="C36" s="24">
        <f ca="1">ROUND(C29*F36,1)</f>
        <v>122.4</v>
      </c>
      <c r="D36" s="1796" t="s">
        <v>1478</v>
      </c>
      <c r="E36" s="347" t="s">
        <v>1418</v>
      </c>
      <c r="F36" s="374">
        <f ca="1">INDIRECT("'数据-取费表'!Ak"&amp;$G$1)</f>
        <v>1.4999999999999999E-2</v>
      </c>
      <c r="G36" s="1849"/>
      <c r="H36" s="1857"/>
      <c r="I36" s="1858"/>
      <c r="J36" s="1859"/>
      <c r="K36" s="749"/>
      <c r="L36" s="1857"/>
      <c r="M36" s="1857"/>
    </row>
    <row r="37" spans="1:18" ht="18" customHeight="1">
      <c r="A37" s="1199" t="s">
        <v>1072</v>
      </c>
      <c r="B37" s="347" t="s">
        <v>1449</v>
      </c>
      <c r="C37" s="24">
        <f ca="1">ROUND(C13*F37,1)</f>
        <v>11.4</v>
      </c>
      <c r="D37" s="1796" t="s">
        <v>1450</v>
      </c>
      <c r="E37" s="347" t="s">
        <v>1451</v>
      </c>
      <c r="F37" s="376">
        <f ca="1">INDIRECT("'数据-取费表'!Al"&amp;$G$1)</f>
        <v>1.5E-3</v>
      </c>
      <c r="G37" s="1849"/>
      <c r="H37" s="1857"/>
      <c r="I37" s="1858"/>
      <c r="J37" s="1859"/>
      <c r="K37" s="749"/>
      <c r="L37" s="1857"/>
      <c r="M37" s="1857"/>
    </row>
    <row r="38" spans="1:18" ht="18" customHeight="1" thickBot="1">
      <c r="A38" s="1337" t="s">
        <v>1389</v>
      </c>
      <c r="B38" s="1338" t="s">
        <v>1435</v>
      </c>
      <c r="C38" s="1339">
        <f ca="1">ROUND(C5*F38,1)</f>
        <v>53.5</v>
      </c>
      <c r="D38" s="1340" t="s">
        <v>1455</v>
      </c>
      <c r="E38" s="1338" t="s">
        <v>1451</v>
      </c>
      <c r="F38" s="1334">
        <f ca="1">INDIRECT("'数据-取费表'!Am"&amp;$G$1)</f>
        <v>1.4999999999999999E-2</v>
      </c>
      <c r="G38" s="1849"/>
      <c r="H38" s="1857"/>
      <c r="I38" s="1858"/>
      <c r="J38" s="1859"/>
      <c r="K38" s="1863"/>
      <c r="L38" s="1857"/>
      <c r="M38" s="1857"/>
    </row>
    <row r="39" spans="1:18" ht="24.6" customHeight="1" thickTop="1">
      <c r="A39" s="1327" t="s">
        <v>1028</v>
      </c>
      <c r="B39" s="1342" t="s">
        <v>1479</v>
      </c>
      <c r="C39" s="355">
        <f ca="1">C5-C30</f>
        <v>2763</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61846</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38.590000000000003</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31335</v>
      </c>
      <c r="D43" s="383" t="s">
        <v>1484</v>
      </c>
      <c r="E43" s="384" t="s">
        <v>1485</v>
      </c>
      <c r="F43" s="385">
        <f ca="1">INDIRECT("'数据-取费表'!k"&amp;$G$1)</f>
        <v>19736.88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-74866</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3184</v>
      </c>
      <c r="K47" s="1880" t="s">
        <v>1523</v>
      </c>
      <c r="L47" s="1881">
        <f ca="1">INDIRECT("'数据-取费表'!d"&amp;$G$1)</f>
        <v>50</v>
      </c>
      <c r="M47" s="1836" t="str">
        <f>IF(ISNUMBER(FIND("住宅",C1)),"住宅","非住宅")</f>
        <v>非住宅</v>
      </c>
      <c r="O47" s="1882" t="s">
        <v>1037</v>
      </c>
      <c r="P47" s="1883" t="s">
        <v>1524</v>
      </c>
      <c r="Q47" s="1884">
        <f ca="1">C40+J29</f>
        <v>61846</v>
      </c>
      <c r="R47" s="1884" t="s">
        <v>1525</v>
      </c>
    </row>
    <row r="48" spans="1:18" s="1840" customFormat="1" ht="28.5" thickBot="1">
      <c r="A48" s="1358" t="s">
        <v>1132</v>
      </c>
      <c r="B48" s="345" t="s">
        <v>1397</v>
      </c>
      <c r="C48" s="1815">
        <f ca="1">C49+C53+C55</f>
        <v>0</v>
      </c>
      <c r="D48" s="1360"/>
      <c r="E48" s="1361"/>
      <c r="F48" s="1179"/>
      <c r="G48" s="790"/>
      <c r="H48" s="791"/>
      <c r="I48" s="1885" t="s">
        <v>1526</v>
      </c>
      <c r="J48" s="1886" t="s">
        <v>3185</v>
      </c>
      <c r="K48" s="1887" t="s">
        <v>1527</v>
      </c>
      <c r="L48" s="1888">
        <f ca="1">INDIRECT("'数据-取费表'!f"&amp;$G$1)</f>
        <v>38.590000000000003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3034</v>
      </c>
      <c r="E49" s="1828" t="s">
        <v>1487</v>
      </c>
      <c r="F49" s="1279"/>
      <c r="G49" s="1889"/>
      <c r="H49" s="791"/>
      <c r="I49" s="1885" t="s">
        <v>1530</v>
      </c>
      <c r="J49" s="1890">
        <v>2015</v>
      </c>
      <c r="K49" s="1887" t="s">
        <v>1531</v>
      </c>
      <c r="L49" s="1891"/>
      <c r="O49" s="1892" t="s">
        <v>1039</v>
      </c>
      <c r="P49" s="1883" t="s">
        <v>1532</v>
      </c>
      <c r="Q49" s="1884">
        <f ca="1">C29</f>
        <v>8159</v>
      </c>
      <c r="R49" s="1884" t="s">
        <v>1525</v>
      </c>
    </row>
    <row r="50" spans="1:18" s="1840" customFormat="1" ht="13.5" thickBot="1">
      <c r="A50" s="1193"/>
      <c r="B50" s="1196"/>
      <c r="C50" s="1366"/>
      <c r="D50" s="1170"/>
      <c r="E50" s="1275" t="s">
        <v>1402</v>
      </c>
      <c r="F50" s="1276">
        <f ca="1">F7</f>
        <v>19736.88</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56</v>
      </c>
      <c r="K51" s="1898" t="s">
        <v>1537</v>
      </c>
      <c r="L51" s="1899">
        <f ca="1">ROUND(-PV(INDIRECT("'数据-取费表'!h"&amp;$G$1),L48,(C39-C13*C76),0),0)</f>
        <v>36558</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38.590000000000003</v>
      </c>
      <c r="R52" s="1884" t="s">
        <v>1542</v>
      </c>
    </row>
    <row r="53" spans="1:18" s="1840" customFormat="1" ht="24.75" thickBot="1">
      <c r="A53" s="1403" t="s">
        <v>1134</v>
      </c>
      <c r="B53" s="1829" t="s">
        <v>1405</v>
      </c>
      <c r="C53" s="361">
        <f ca="1">ROUND(IF(F53="押一",C49/12*F11,IF(F53="押二",C49/12*2*F11,IF(F53="押三",C49/12*3*F11,C54*F11))),0)</f>
        <v>0</v>
      </c>
      <c r="D53" s="1822" t="s">
        <v>3041</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38.590000000000003</v>
      </c>
      <c r="K53" s="3194" t="s">
        <v>1544</v>
      </c>
      <c r="L53" s="3195"/>
      <c r="O53" s="1882" t="s">
        <v>1043</v>
      </c>
      <c r="P53" s="1883" t="s">
        <v>1545</v>
      </c>
      <c r="Q53" s="1884">
        <f ca="1">Q47+Q48</f>
        <v>61846</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7588</v>
      </c>
      <c r="D56" s="1912"/>
      <c r="E56" s="1913"/>
      <c r="F56" s="1905"/>
      <c r="I56" s="1914" t="s">
        <v>1550</v>
      </c>
      <c r="J56" s="1915" t="s">
        <v>3068</v>
      </c>
      <c r="K56" s="1885" t="s">
        <v>1551</v>
      </c>
      <c r="L56" s="1888" t="str">
        <f ca="1">IF(L48&lt;J51,"——",L48-J53)</f>
        <v>——</v>
      </c>
      <c r="O56" s="1882" t="s">
        <v>1037</v>
      </c>
      <c r="P56" s="1883" t="s">
        <v>1524</v>
      </c>
      <c r="Q56" s="1884">
        <f ca="1">C40+J29</f>
        <v>61846</v>
      </c>
      <c r="R56" s="1884" t="s">
        <v>1525</v>
      </c>
    </row>
    <row r="57" spans="1:18" s="1840" customFormat="1" ht="24.75" thickBot="1">
      <c r="A57" s="1916"/>
      <c r="B57" s="1167" t="s">
        <v>1474</v>
      </c>
      <c r="C57" s="282">
        <f ca="1">C29</f>
        <v>8159</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820</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686</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685.36</v>
      </c>
      <c r="D61" s="1826" t="s">
        <v>1434</v>
      </c>
      <c r="E61" s="1167"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0.66</v>
      </c>
      <c r="D62" s="1182" t="s">
        <v>1493</v>
      </c>
      <c r="E62" s="1167" t="s">
        <v>1494</v>
      </c>
      <c r="F62" s="371">
        <f t="shared" si="0"/>
        <v>1.5</v>
      </c>
      <c r="I62" s="1927" t="s">
        <v>1566</v>
      </c>
      <c r="J62" s="1928" t="s">
        <v>1567</v>
      </c>
      <c r="K62" s="1928" t="s">
        <v>1568</v>
      </c>
      <c r="L62" s="1928" t="s">
        <v>1569</v>
      </c>
      <c r="M62" s="1929" t="s">
        <v>1570</v>
      </c>
      <c r="O62" s="1882" t="s">
        <v>1043</v>
      </c>
      <c r="P62" s="1883" t="s">
        <v>1571</v>
      </c>
      <c r="Q62" s="1884">
        <f ca="1">Q56+Q57</f>
        <v>61846</v>
      </c>
      <c r="R62" s="1884" t="s">
        <v>1044</v>
      </c>
    </row>
    <row r="63" spans="1:18" s="1840" customFormat="1" ht="13.5" thickBot="1">
      <c r="A63" s="372"/>
      <c r="B63" s="1173"/>
      <c r="C63" s="29"/>
      <c r="D63" s="1183"/>
      <c r="E63" s="1167" t="s">
        <v>1495</v>
      </c>
      <c r="F63" s="348">
        <f t="shared" ca="1" si="0"/>
        <v>4377.9399999999996</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122.4</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11.4</v>
      </c>
      <c r="D65" s="1181" t="s">
        <v>1450</v>
      </c>
      <c r="E65" s="1167" t="s">
        <v>1451</v>
      </c>
      <c r="F65" s="376">
        <f t="shared" ca="1" si="0"/>
        <v>1.5E-3</v>
      </c>
      <c r="I65" s="1927" t="s">
        <v>1575</v>
      </c>
      <c r="J65" s="1928">
        <v>40</v>
      </c>
      <c r="K65" s="1928">
        <v>30</v>
      </c>
      <c r="L65" s="1928">
        <v>50</v>
      </c>
      <c r="M65" s="1930">
        <v>0.02</v>
      </c>
      <c r="O65" s="1882" t="s">
        <v>1037</v>
      </c>
      <c r="P65" s="1883" t="s">
        <v>1576</v>
      </c>
      <c r="Q65" s="1884">
        <f ca="1">C40+J29</f>
        <v>61846</v>
      </c>
      <c r="R65" s="1884" t="s">
        <v>1525</v>
      </c>
    </row>
    <row r="66" spans="1:18" s="1840" customFormat="1" ht="16.5" thickBot="1">
      <c r="A66" s="1199" t="s">
        <v>1500</v>
      </c>
      <c r="B66" s="1167" t="s">
        <v>1435</v>
      </c>
      <c r="C66" s="24">
        <f ca="1">ROUND(C48*F66,1)</f>
        <v>0</v>
      </c>
      <c r="D66" s="1181" t="s">
        <v>1501</v>
      </c>
      <c r="E66" s="1167" t="s">
        <v>1418</v>
      </c>
      <c r="F66" s="357">
        <f t="shared" ca="1" si="0"/>
        <v>1.4999999999999999E-2</v>
      </c>
      <c r="O66" s="1882" t="s">
        <v>1038</v>
      </c>
      <c r="P66" s="1883" t="s">
        <v>1554</v>
      </c>
      <c r="Q66" s="1884">
        <f ca="1">L60</f>
        <v>0</v>
      </c>
      <c r="R66" s="1884" t="s">
        <v>1577</v>
      </c>
    </row>
    <row r="67" spans="1:18" s="1840" customFormat="1" ht="16.5" thickBot="1">
      <c r="A67" s="1174" t="s">
        <v>1028</v>
      </c>
      <c r="B67" s="1184" t="s">
        <v>1459</v>
      </c>
      <c r="C67" s="361">
        <f ca="1">C48-C58</f>
        <v>-820</v>
      </c>
      <c r="D67" s="1180" t="s">
        <v>1460</v>
      </c>
      <c r="E67" s="1185"/>
      <c r="F67" s="1186"/>
      <c r="O67" s="1892" t="s">
        <v>1039</v>
      </c>
      <c r="P67" s="1883" t="s">
        <v>1558</v>
      </c>
      <c r="Q67" s="1931">
        <f ca="1">L51</f>
        <v>36558</v>
      </c>
      <c r="R67" s="1884" t="s">
        <v>1578</v>
      </c>
    </row>
    <row r="68" spans="1:18" s="1840" customFormat="1" ht="16.5" thickBot="1">
      <c r="A68" s="1164" t="s">
        <v>1029</v>
      </c>
      <c r="B68" s="1165" t="s">
        <v>1481</v>
      </c>
      <c r="C68" s="346">
        <f ca="1">ROUND(C67*(1-((1+F70)/(1+F68))^F69)/(F68-F70),0)</f>
        <v>-13020</v>
      </c>
      <c r="D68" s="1182" t="s">
        <v>1465</v>
      </c>
      <c r="E68" s="1167" t="s">
        <v>1466</v>
      </c>
      <c r="F68" s="357">
        <f ca="1">F40</f>
        <v>5.5E-2</v>
      </c>
      <c r="O68" s="1892" t="s">
        <v>1040</v>
      </c>
      <c r="P68" s="1932" t="s">
        <v>1579</v>
      </c>
      <c r="Q68" s="1884">
        <f ca="1">ROUND(Q69-Q70*Q71,0)</f>
        <v>2156</v>
      </c>
      <c r="R68" s="1884" t="s">
        <v>1048</v>
      </c>
    </row>
    <row r="69" spans="1:18" s="1840" customFormat="1" ht="13.5" thickBot="1">
      <c r="A69" s="1168"/>
      <c r="B69" s="1169"/>
      <c r="C69" s="351"/>
      <c r="D69" s="1187" t="s">
        <v>1469</v>
      </c>
      <c r="E69" s="1167" t="s">
        <v>1470</v>
      </c>
      <c r="F69" s="379">
        <f ca="1">F41</f>
        <v>38.590000000000003</v>
      </c>
      <c r="O69" s="1892" t="s">
        <v>1045</v>
      </c>
      <c r="P69" s="1932" t="s">
        <v>1580</v>
      </c>
      <c r="Q69" s="1884">
        <f ca="1">C39</f>
        <v>2763</v>
      </c>
      <c r="R69" s="1884" t="s">
        <v>1525</v>
      </c>
    </row>
    <row r="70" spans="1:18" s="1840" customFormat="1" ht="13.5" thickBot="1">
      <c r="A70" s="1171"/>
      <c r="B70" s="1172"/>
      <c r="C70" s="355"/>
      <c r="D70" s="1183"/>
      <c r="E70" s="1167" t="s">
        <v>1473</v>
      </c>
      <c r="F70" s="1273"/>
      <c r="O70" s="1892" t="s">
        <v>1046</v>
      </c>
      <c r="P70" s="1932" t="s">
        <v>1581</v>
      </c>
      <c r="Q70" s="1884">
        <f ca="1">C13</f>
        <v>7588</v>
      </c>
      <c r="R70" s="1884" t="s">
        <v>1525</v>
      </c>
    </row>
    <row r="71" spans="1:18" s="1840" customFormat="1" ht="13.5" thickBot="1">
      <c r="A71" s="1188" t="s">
        <v>1030</v>
      </c>
      <c r="B71" s="1189" t="s">
        <v>1483</v>
      </c>
      <c r="C71" s="382">
        <f ca="1">ROUND(C68*10000/F71,0)</f>
        <v>-6597</v>
      </c>
      <c r="D71" s="1190" t="s">
        <v>1484</v>
      </c>
      <c r="E71" s="1191" t="s">
        <v>1485</v>
      </c>
      <c r="F71" s="385">
        <f ca="1">F43</f>
        <v>19736.88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607</v>
      </c>
      <c r="D75" s="1840"/>
      <c r="E75" s="1840"/>
      <c r="F75" s="1840"/>
      <c r="K75" s="1866"/>
      <c r="L75" s="1840"/>
      <c r="O75" s="1882" t="s">
        <v>1043</v>
      </c>
      <c r="P75" s="1883" t="s">
        <v>1545</v>
      </c>
      <c r="Q75" s="1884">
        <f ca="1">Q65+Q66</f>
        <v>61846</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0.78</v>
      </c>
    </row>
    <row r="80" spans="1:18">
      <c r="B80" s="386" t="s">
        <v>1507</v>
      </c>
      <c r="C80" s="318">
        <f ca="1">ROUND(C75/C39,3)</f>
        <v>0.22</v>
      </c>
    </row>
    <row r="81" spans="2:3">
      <c r="B81" s="314" t="s">
        <v>1508</v>
      </c>
      <c r="C81" s="282"/>
    </row>
    <row r="82" spans="2:3">
      <c r="B82" s="317" t="s">
        <v>1509</v>
      </c>
      <c r="C82" s="319">
        <f ca="1">1-C83</f>
        <v>0.877</v>
      </c>
    </row>
    <row r="83" spans="2:3">
      <c r="B83" s="317" t="s">
        <v>1510</v>
      </c>
      <c r="C83" s="318">
        <f ca="1">ROUND(C13/C40,3)</f>
        <v>0.123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1"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196" t="s">
        <v>1399</v>
      </c>
      <c r="C6" s="1294">
        <f ca="1">ROUND(F6*F8*F7*(1-F9),0)</f>
        <v>0</v>
      </c>
      <c r="D6" s="164" t="s">
        <v>3030</v>
      </c>
      <c r="E6" s="347" t="s">
        <v>1401</v>
      </c>
      <c r="F6" s="348">
        <f ca="1">INDIRECT("'数据-取费表'!u"&amp;$G$1)</f>
        <v>0</v>
      </c>
      <c r="G6" s="1849"/>
      <c r="H6" s="1289" t="s">
        <v>1032</v>
      </c>
      <c r="I6" s="3196" t="s">
        <v>1399</v>
      </c>
      <c r="J6" s="346">
        <f ca="1">ROUND(M6*M8*M7*(1-M9),0)</f>
        <v>0</v>
      </c>
      <c r="K6" s="1832" t="s">
        <v>3031</v>
      </c>
      <c r="L6" s="347" t="s">
        <v>1401</v>
      </c>
      <c r="M6" s="348">
        <f ca="1">INDIRECT("'数据-取费表'!z"&amp;$G$1)</f>
        <v>0</v>
      </c>
    </row>
    <row r="7" spans="1:37" ht="18" customHeight="1">
      <c r="A7" s="1293"/>
      <c r="B7" s="3197"/>
      <c r="C7" s="1295"/>
      <c r="D7" s="352"/>
      <c r="E7" s="1296" t="s">
        <v>1402</v>
      </c>
      <c r="F7" s="348">
        <f ca="1">IF(INDIRECT("'数据-取费表'!ah"&amp;$G$1)="",INDIRECT("'数据-取费表'!k"&amp;$G$1),INDIRECT("'数据-取费表'!ah"&amp;$G$1))</f>
        <v>0</v>
      </c>
      <c r="G7" s="1849"/>
      <c r="H7" s="349"/>
      <c r="I7" s="3197"/>
      <c r="J7" s="351"/>
      <c r="K7" s="352"/>
      <c r="L7" s="347" t="s">
        <v>1402</v>
      </c>
      <c r="M7" s="348">
        <f ca="1">F7</f>
        <v>0</v>
      </c>
    </row>
    <row r="8" spans="1:37" ht="18" customHeight="1">
      <c r="A8" s="349"/>
      <c r="B8" s="3197"/>
      <c r="C8" s="351"/>
      <c r="D8" s="352"/>
      <c r="E8" s="347" t="s">
        <v>1403</v>
      </c>
      <c r="F8" s="348">
        <f ca="1">INDIRECT("'数据-取费表'!ai"&amp;$G$1)</f>
        <v>0</v>
      </c>
      <c r="G8" s="1849"/>
      <c r="H8" s="349"/>
      <c r="I8" s="3197"/>
      <c r="J8" s="351"/>
      <c r="K8" s="352"/>
      <c r="L8" s="347" t="s">
        <v>1403</v>
      </c>
      <c r="M8" s="348">
        <f ca="1">INDIRECT("'数据-取费表'!ai"&amp;$G$1)</f>
        <v>0</v>
      </c>
    </row>
    <row r="9" spans="1:37" ht="18" customHeight="1">
      <c r="A9" s="349"/>
      <c r="B9" s="3198"/>
      <c r="C9" s="351"/>
      <c r="D9" s="352"/>
      <c r="E9" s="347" t="s">
        <v>1404</v>
      </c>
      <c r="F9" s="357">
        <f ca="1">INDIRECT("'数据-取费表'!w"&amp;$G$1)</f>
        <v>0</v>
      </c>
      <c r="G9" s="1849"/>
      <c r="H9" s="349"/>
      <c r="I9" s="3198"/>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3041</v>
      </c>
      <c r="E10" s="358" t="s">
        <v>1406</v>
      </c>
      <c r="F10" s="1364"/>
      <c r="G10" s="1849"/>
      <c r="H10" s="1289" t="s">
        <v>1036</v>
      </c>
      <c r="I10" s="1821" t="s">
        <v>1405</v>
      </c>
      <c r="J10" s="346">
        <f ca="1">ROUND(IF(M10="押一",J6/12*M11,IF(M10="押二",J6/12*2*M11,IF(M10="押三",J6/12*3*M11,J11*M11))),0)</f>
        <v>0</v>
      </c>
      <c r="K10" s="1833" t="s">
        <v>3043</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200</v>
      </c>
      <c r="G17" s="1852"/>
      <c r="H17" s="1199"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0.02</v>
      </c>
      <c r="G20" s="1852"/>
      <c r="H20" s="1199"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3"/>
      <c r="I30" s="744"/>
      <c r="J30" s="745"/>
      <c r="K30" s="746"/>
      <c r="L30" s="747"/>
      <c r="M30" s="748"/>
    </row>
    <row r="31" spans="1:37" ht="18" customHeight="1">
      <c r="A31" s="1199"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1.5</v>
      </c>
      <c r="G34" s="1849"/>
      <c r="H34" s="743"/>
      <c r="I34" s="1858"/>
      <c r="J34" s="1859"/>
      <c r="K34" s="1861"/>
      <c r="L34" s="1862"/>
      <c r="M34" s="1862"/>
    </row>
    <row r="35" spans="1:18" ht="18" customHeight="1">
      <c r="A35" s="1351"/>
      <c r="B35" s="1349"/>
      <c r="C35" s="29"/>
      <c r="D35" s="373"/>
      <c r="E35" s="347" t="s">
        <v>1443</v>
      </c>
      <c r="F35" s="348">
        <f ca="1">INDIRECT("'数据-取费表'!r"&amp;$G$1)</f>
        <v>0</v>
      </c>
      <c r="G35" s="1849"/>
      <c r="H35" s="743"/>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3044</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94" t="s">
        <v>1544</v>
      </c>
      <c r="L53" s="3195"/>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0" zoomScaleNormal="80" workbookViewId="0">
      <selection activeCell="C31" sqref="C3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66" t="s">
        <v>2687</v>
      </c>
      <c r="C1" s="1618" t="s">
        <v>2531</v>
      </c>
      <c r="D1" s="1619" t="s">
        <v>27</v>
      </c>
      <c r="E1" s="1628"/>
      <c r="F1" s="2581" t="s">
        <v>3186</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f>IF(C2="——",ROUND(C50*D3/10000,0),ROUND(C50*D3/10000,0)-D2)</f>
        <v>66371</v>
      </c>
      <c r="C2" s="2583" t="s">
        <v>70</v>
      </c>
      <c r="D2" s="1363" t="e">
        <f ca="1">SUMIF(INDIRECT("'"&amp;F2&amp;"'"&amp;"!A:A"),"承租人权益价值",INDIRECT("'"&amp;F2&amp;"'"&amp;"!c:c"))</f>
        <v>#REF!</v>
      </c>
      <c r="E2" s="2584" t="s">
        <v>2329</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33628</v>
      </c>
      <c r="C3" s="400" t="s">
        <v>2645</v>
      </c>
      <c r="D3" s="399">
        <f>IF(D1="",'数据-汇总表'!E3,SUMIF('数据-汇总表'!$C19:$C33,D1,'数据-汇总表'!$E19:$E33))</f>
        <v>19736.88</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24" t="s">
        <v>2652</v>
      </c>
      <c r="Q4" s="3225"/>
      <c r="R4" s="3204" t="s">
        <v>2648</v>
      </c>
      <c r="S4" s="3205"/>
      <c r="T4" s="3204" t="s">
        <v>2649</v>
      </c>
      <c r="U4" s="3205"/>
      <c r="V4" s="3232" t="s">
        <v>2650</v>
      </c>
      <c r="W4" s="3232"/>
      <c r="X4" s="2667"/>
      <c r="Y4" s="3204" t="s">
        <v>2652</v>
      </c>
      <c r="Z4" s="3205"/>
      <c r="AA4" s="3199" t="s">
        <v>2648</v>
      </c>
      <c r="AB4" s="3199" t="s">
        <v>2649</v>
      </c>
      <c r="AC4" s="3217" t="s">
        <v>2650</v>
      </c>
    </row>
    <row r="5" spans="1:29" ht="15">
      <c r="A5" s="404"/>
      <c r="B5" s="405"/>
      <c r="C5" s="3210" t="s">
        <v>3216</v>
      </c>
      <c r="D5" s="3211"/>
      <c r="E5" s="3208" t="s">
        <v>3213</v>
      </c>
      <c r="F5" s="3209"/>
      <c r="G5" s="3210" t="s">
        <v>3214</v>
      </c>
      <c r="H5" s="3211"/>
      <c r="I5" s="3210" t="s">
        <v>3215</v>
      </c>
      <c r="J5" s="3211"/>
      <c r="K5" s="610"/>
      <c r="L5" s="1128"/>
      <c r="M5" s="1129"/>
      <c r="N5" s="1129"/>
      <c r="O5" s="1129"/>
      <c r="P5" s="3226"/>
      <c r="Q5" s="3227"/>
      <c r="R5" s="3206"/>
      <c r="S5" s="3207"/>
      <c r="T5" s="3206"/>
      <c r="U5" s="3207"/>
      <c r="V5" s="3233"/>
      <c r="W5" s="3233"/>
      <c r="X5" s="1811"/>
      <c r="Y5" s="3206"/>
      <c r="Z5" s="3207"/>
      <c r="AA5" s="3200"/>
      <c r="AB5" s="3200"/>
      <c r="AC5" s="3218"/>
    </row>
    <row r="6" spans="1:29" ht="15.75" thickBot="1">
      <c r="A6" s="406"/>
      <c r="B6" s="407"/>
      <c r="C6" s="3212" t="s">
        <v>2547</v>
      </c>
      <c r="D6" s="3213"/>
      <c r="E6" s="3214" t="s">
        <v>2547</v>
      </c>
      <c r="F6" s="3215"/>
      <c r="G6" s="3212" t="s">
        <v>2547</v>
      </c>
      <c r="H6" s="3213"/>
      <c r="I6" s="3212" t="s">
        <v>2547</v>
      </c>
      <c r="J6" s="3213"/>
      <c r="K6" s="610" t="s">
        <v>2548</v>
      </c>
      <c r="L6" s="1128"/>
      <c r="M6" s="1129"/>
      <c r="N6" s="1129"/>
      <c r="O6" s="1129"/>
      <c r="P6" s="3228"/>
      <c r="Q6" s="3229"/>
      <c r="R6" s="3206"/>
      <c r="S6" s="3207"/>
      <c r="T6" s="3230"/>
      <c r="U6" s="3231"/>
      <c r="V6" s="3233"/>
      <c r="W6" s="3233"/>
      <c r="X6" s="1811"/>
      <c r="Y6" s="3230"/>
      <c r="Z6" s="3231"/>
      <c r="AA6" s="3201"/>
      <c r="AB6" s="3201"/>
      <c r="AC6" s="3219"/>
    </row>
    <row r="7" spans="1:29" s="117" customFormat="1" ht="15.75" thickBot="1">
      <c r="A7" s="408" t="s">
        <v>2549</v>
      </c>
      <c r="B7" s="409"/>
      <c r="C7" s="410">
        <f>'数据-取费表'!B2</f>
        <v>43602</v>
      </c>
      <c r="D7" s="411">
        <v>100</v>
      </c>
      <c r="E7" s="412">
        <v>43586</v>
      </c>
      <c r="F7" s="413">
        <f>SUMIF(59:59,YEAR(E7)&amp;"-"&amp;MONTH(E7),60:60)</f>
        <v>100</v>
      </c>
      <c r="G7" s="412">
        <v>43586</v>
      </c>
      <c r="H7" s="411">
        <f>SUMIF(59:59,YEAR(G7)&amp;"-"&amp;MONTH(G7),60:60)</f>
        <v>100</v>
      </c>
      <c r="I7" s="412">
        <v>43586</v>
      </c>
      <c r="J7" s="411">
        <f>SUMIF(59:59,YEAR(I7)&amp;"-"&amp;MONTH(I7),60:60)</f>
        <v>100</v>
      </c>
      <c r="K7" s="611"/>
      <c r="L7" s="1130"/>
      <c r="M7" s="1131"/>
      <c r="N7" s="1131"/>
      <c r="O7" s="1131"/>
      <c r="P7" s="3234" t="s">
        <v>2550</v>
      </c>
      <c r="Q7" s="3235"/>
      <c r="R7" s="768" t="s">
        <v>17</v>
      </c>
      <c r="S7" s="769">
        <f t="shared" ref="S7:S15" si="0">F7</f>
        <v>100</v>
      </c>
      <c r="T7" s="768" t="s">
        <v>17</v>
      </c>
      <c r="U7" s="769">
        <f t="shared" ref="U7:U15" si="1">H7</f>
        <v>100</v>
      </c>
      <c r="V7" s="768" t="s">
        <v>17</v>
      </c>
      <c r="W7" s="769">
        <f t="shared" ref="W7:W15" si="2">J7</f>
        <v>100</v>
      </c>
      <c r="X7" s="770"/>
      <c r="Y7" s="3202" t="s">
        <v>2550</v>
      </c>
      <c r="Z7" s="3203"/>
      <c r="AA7" s="771">
        <f>D7/F7</f>
        <v>1</v>
      </c>
      <c r="AB7" s="771">
        <f>D7/H7</f>
        <v>1</v>
      </c>
      <c r="AC7" s="2668">
        <f>D7/J7</f>
        <v>1</v>
      </c>
    </row>
    <row r="8" spans="1:29" s="117" customFormat="1" ht="15.7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0"/>
      <c r="M8" s="1131"/>
      <c r="N8" s="1131"/>
      <c r="O8" s="1131"/>
      <c r="P8" s="3234" t="s">
        <v>2553</v>
      </c>
      <c r="Q8" s="3203"/>
      <c r="R8" s="768" t="s">
        <v>17</v>
      </c>
      <c r="S8" s="769">
        <f t="shared" si="0"/>
        <v>100</v>
      </c>
      <c r="T8" s="768" t="s">
        <v>17</v>
      </c>
      <c r="U8" s="769">
        <f t="shared" si="1"/>
        <v>100</v>
      </c>
      <c r="V8" s="768" t="s">
        <v>17</v>
      </c>
      <c r="W8" s="769">
        <f t="shared" si="2"/>
        <v>100</v>
      </c>
      <c r="X8" s="770"/>
      <c r="Y8" s="3202" t="s">
        <v>2553</v>
      </c>
      <c r="Z8" s="3203"/>
      <c r="AA8" s="771">
        <f t="shared" ref="AA8:AA47" si="3">D8/F8</f>
        <v>1</v>
      </c>
      <c r="AB8" s="771">
        <f t="shared" ref="AB8:AB47" si="4">D8/H8</f>
        <v>1</v>
      </c>
      <c r="AC8" s="2668">
        <f t="shared" ref="AC8:AC47" si="5">D8/J8</f>
        <v>1</v>
      </c>
    </row>
    <row r="9" spans="1:29" s="117" customFormat="1">
      <c r="A9" s="415" t="s">
        <v>2554</v>
      </c>
      <c r="B9" s="71" t="s">
        <v>2555</v>
      </c>
      <c r="C9" s="2981" t="s">
        <v>3217</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216" t="s">
        <v>2556</v>
      </c>
      <c r="Q9" s="1793" t="str">
        <f t="shared" ref="Q9:Q15" si="6">B9</f>
        <v>用途</v>
      </c>
      <c r="R9" s="768" t="s">
        <v>17</v>
      </c>
      <c r="S9" s="769">
        <f t="shared" si="0"/>
        <v>100</v>
      </c>
      <c r="T9" s="768" t="s">
        <v>17</v>
      </c>
      <c r="U9" s="769">
        <f t="shared" si="1"/>
        <v>100</v>
      </c>
      <c r="V9" s="768" t="s">
        <v>17</v>
      </c>
      <c r="W9" s="769">
        <f t="shared" si="2"/>
        <v>100</v>
      </c>
      <c r="X9" s="770"/>
      <c r="Y9" s="3071" t="s">
        <v>2557</v>
      </c>
      <c r="Z9" s="55" t="str">
        <f t="shared" ref="Z9:Z15" si="7">Q9</f>
        <v>用途</v>
      </c>
      <c r="AA9" s="771">
        <f t="shared" si="3"/>
        <v>1</v>
      </c>
      <c r="AB9" s="771">
        <f t="shared" si="4"/>
        <v>1</v>
      </c>
      <c r="AC9" s="2668">
        <f t="shared" si="5"/>
        <v>1</v>
      </c>
    </row>
    <row r="10" spans="1:29" s="427" customFormat="1" ht="27">
      <c r="A10" s="421"/>
      <c r="B10" s="422" t="s">
        <v>2558</v>
      </c>
      <c r="C10" s="423" t="s">
        <v>3218</v>
      </c>
      <c r="D10" s="136">
        <v>100</v>
      </c>
      <c r="E10" s="423" t="s">
        <v>3219</v>
      </c>
      <c r="F10" s="136">
        <f>SUMIF(66:66,E10,67:67)-SUMIF(66:66,C10,67:67)+100</f>
        <v>102</v>
      </c>
      <c r="G10" s="424" t="s">
        <v>3219</v>
      </c>
      <c r="H10" s="136">
        <f>SUMIF(66:66,G10,67:67)-SUMIF(66:66,C10,67:67)+100</f>
        <v>102</v>
      </c>
      <c r="I10" s="423" t="s">
        <v>3219</v>
      </c>
      <c r="J10" s="136">
        <f>SUMIF(66:66,I10,67:67)-SUMIF(66:66,C10,67:67)+100</f>
        <v>102</v>
      </c>
      <c r="K10" s="612">
        <v>2</v>
      </c>
      <c r="L10" s="1133"/>
      <c r="M10" s="1134"/>
      <c r="N10" s="1134"/>
      <c r="O10" s="1134"/>
      <c r="P10" s="3216"/>
      <c r="Q10" s="1793" t="str">
        <f t="shared" si="6"/>
        <v>土地使用年限（年）</v>
      </c>
      <c r="R10" s="768" t="s">
        <v>17</v>
      </c>
      <c r="S10" s="769">
        <f t="shared" si="0"/>
        <v>102</v>
      </c>
      <c r="T10" s="768" t="s">
        <v>17</v>
      </c>
      <c r="U10" s="769">
        <f t="shared" si="1"/>
        <v>102</v>
      </c>
      <c r="V10" s="768" t="s">
        <v>17</v>
      </c>
      <c r="W10" s="769">
        <f t="shared" si="2"/>
        <v>102</v>
      </c>
      <c r="X10" s="770"/>
      <c r="Y10" s="3071"/>
      <c r="Z10" s="55" t="str">
        <f t="shared" si="7"/>
        <v>土地使用年限（年）</v>
      </c>
      <c r="AA10" s="771">
        <f t="shared" si="3"/>
        <v>0.98039215686274506</v>
      </c>
      <c r="AB10" s="771">
        <f t="shared" si="4"/>
        <v>0.98039215686274506</v>
      </c>
      <c r="AC10" s="2668">
        <f t="shared" si="5"/>
        <v>0.98039215686274506</v>
      </c>
    </row>
    <row r="11" spans="1:29" ht="15">
      <c r="A11" s="428"/>
      <c r="B11" s="422" t="s">
        <v>2559</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0</v>
      </c>
      <c r="L11" s="1136"/>
      <c r="M11" s="1129"/>
      <c r="N11" s="1129"/>
      <c r="O11" s="1129"/>
      <c r="P11" s="3216"/>
      <c r="Q11" s="1793" t="str">
        <f t="shared" si="6"/>
        <v>容积率</v>
      </c>
      <c r="R11" s="768" t="s">
        <v>17</v>
      </c>
      <c r="S11" s="769">
        <f t="shared" si="0"/>
        <v>100</v>
      </c>
      <c r="T11" s="768" t="s">
        <v>17</v>
      </c>
      <c r="U11" s="769">
        <f t="shared" si="1"/>
        <v>100</v>
      </c>
      <c r="V11" s="768" t="s">
        <v>17</v>
      </c>
      <c r="W11" s="769">
        <f t="shared" si="2"/>
        <v>100</v>
      </c>
      <c r="X11" s="770"/>
      <c r="Y11" s="3071"/>
      <c r="Z11" s="55" t="str">
        <f t="shared" si="7"/>
        <v>容积率</v>
      </c>
      <c r="AA11" s="771">
        <f t="shared" si="3"/>
        <v>1</v>
      </c>
      <c r="AB11" s="771">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0"/>
      <c r="M12" s="1131"/>
      <c r="N12" s="1131"/>
      <c r="O12" s="1131"/>
      <c r="P12" s="3216"/>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8"/>
      <c r="M13" s="1129"/>
      <c r="N13" s="1129"/>
      <c r="O13" s="1129"/>
      <c r="P13" s="3216"/>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8"/>
      <c r="M14" s="1129"/>
      <c r="N14" s="1129"/>
      <c r="O14" s="1129"/>
      <c r="P14" s="3216"/>
      <c r="Q14" s="1793">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2668">
        <f t="shared" si="5"/>
        <v>1</v>
      </c>
    </row>
    <row r="15" spans="1:29" ht="71.25">
      <c r="A15" s="440" t="s">
        <v>2560</v>
      </c>
      <c r="B15" s="629" t="s">
        <v>2688</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8"/>
      <c r="M15" s="1129"/>
      <c r="N15" s="1129"/>
      <c r="O15" s="1129"/>
      <c r="P15" s="3236" t="s">
        <v>2561</v>
      </c>
      <c r="Q15" s="1808" t="str">
        <f t="shared" si="6"/>
        <v>办公集聚程度</v>
      </c>
      <c r="R15" s="772" t="s">
        <v>17</v>
      </c>
      <c r="S15" s="773">
        <f t="shared" si="0"/>
        <v>100</v>
      </c>
      <c r="T15" s="772" t="s">
        <v>17</v>
      </c>
      <c r="U15" s="773">
        <f t="shared" si="1"/>
        <v>100</v>
      </c>
      <c r="V15" s="772" t="s">
        <v>17</v>
      </c>
      <c r="W15" s="773">
        <f t="shared" si="2"/>
        <v>100</v>
      </c>
      <c r="X15" s="1811"/>
      <c r="Y15" s="3238" t="s">
        <v>2561</v>
      </c>
      <c r="Z15" s="1812" t="str">
        <f t="shared" si="7"/>
        <v>办公集聚程度</v>
      </c>
      <c r="AA15" s="1809">
        <f t="shared" si="3"/>
        <v>1</v>
      </c>
      <c r="AB15" s="1809">
        <f t="shared" si="4"/>
        <v>1</v>
      </c>
      <c r="AC15" s="2671">
        <f t="shared" si="5"/>
        <v>1</v>
      </c>
    </row>
    <row r="16" spans="1:29" ht="15">
      <c r="A16" s="428"/>
      <c r="B16" s="630"/>
      <c r="C16" s="2608" t="s">
        <v>3220</v>
      </c>
      <c r="D16" s="448"/>
      <c r="E16" s="2608" t="s">
        <v>3220</v>
      </c>
      <c r="F16" s="448"/>
      <c r="G16" s="2608" t="s">
        <v>3220</v>
      </c>
      <c r="H16" s="450"/>
      <c r="I16" s="2608" t="s">
        <v>3220</v>
      </c>
      <c r="J16" s="448"/>
      <c r="K16" s="615"/>
      <c r="L16" s="1138"/>
      <c r="M16" s="1129"/>
      <c r="N16" s="1129"/>
      <c r="O16" s="1129"/>
      <c r="P16" s="3237"/>
      <c r="Q16" s="1808"/>
      <c r="R16" s="772"/>
      <c r="S16" s="773"/>
      <c r="T16" s="772"/>
      <c r="U16" s="773"/>
      <c r="V16" s="772"/>
      <c r="W16" s="773"/>
      <c r="X16" s="1811"/>
      <c r="Y16" s="3239"/>
      <c r="Z16" s="1812"/>
      <c r="AA16" s="1809">
        <v>1</v>
      </c>
      <c r="AB16" s="1809">
        <v>1</v>
      </c>
      <c r="AC16" s="2671">
        <v>1</v>
      </c>
    </row>
    <row r="17" spans="1:29" ht="71.25">
      <c r="A17" s="428"/>
      <c r="B17" s="631" t="s">
        <v>2097</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37"/>
      <c r="Q17" s="1808" t="str">
        <f>B17</f>
        <v>交通便捷度</v>
      </c>
      <c r="R17" s="772" t="s">
        <v>17</v>
      </c>
      <c r="S17" s="773">
        <f>F17</f>
        <v>100</v>
      </c>
      <c r="T17" s="772" t="s">
        <v>17</v>
      </c>
      <c r="U17" s="773">
        <f>H17</f>
        <v>100</v>
      </c>
      <c r="V17" s="772" t="s">
        <v>17</v>
      </c>
      <c r="W17" s="773">
        <f>J17</f>
        <v>100</v>
      </c>
      <c r="X17" s="1811"/>
      <c r="Y17" s="3239"/>
      <c r="Z17" s="1812" t="str">
        <f>Q17</f>
        <v>交通便捷度</v>
      </c>
      <c r="AA17" s="1809">
        <f t="shared" si="3"/>
        <v>1</v>
      </c>
      <c r="AB17" s="1809">
        <f t="shared" si="4"/>
        <v>1</v>
      </c>
      <c r="AC17" s="2671">
        <f t="shared" si="5"/>
        <v>1</v>
      </c>
    </row>
    <row r="18" spans="1:29" ht="15">
      <c r="A18" s="428"/>
      <c r="B18" s="632"/>
      <c r="C18" s="2673" t="s">
        <v>3220</v>
      </c>
      <c r="D18" s="450"/>
      <c r="E18" s="2673" t="s">
        <v>3220</v>
      </c>
      <c r="F18" s="450"/>
      <c r="G18" s="2673" t="s">
        <v>3220</v>
      </c>
      <c r="H18" s="448"/>
      <c r="I18" s="2673" t="s">
        <v>3220</v>
      </c>
      <c r="J18" s="448"/>
      <c r="K18" s="615"/>
      <c r="L18" s="1138"/>
      <c r="M18" s="1129"/>
      <c r="N18" s="1129"/>
      <c r="O18" s="1129"/>
      <c r="P18" s="3237"/>
      <c r="Q18" s="1808"/>
      <c r="R18" s="772"/>
      <c r="S18" s="773"/>
      <c r="T18" s="772"/>
      <c r="U18" s="773"/>
      <c r="V18" s="772"/>
      <c r="W18" s="773"/>
      <c r="X18" s="1811"/>
      <c r="Y18" s="3239"/>
      <c r="Z18" s="1812"/>
      <c r="AA18" s="1809">
        <v>1</v>
      </c>
      <c r="AB18" s="1809">
        <v>1</v>
      </c>
      <c r="AC18" s="2671">
        <v>1</v>
      </c>
    </row>
    <row r="19" spans="1:29" ht="42.75">
      <c r="A19" s="428"/>
      <c r="B19" s="631" t="s">
        <v>2689</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8"/>
      <c r="M19" s="1129"/>
      <c r="N19" s="1129"/>
      <c r="O19" s="1129"/>
      <c r="P19" s="3237"/>
      <c r="Q19" s="1808" t="str">
        <f>B19</f>
        <v>公共配套设施</v>
      </c>
      <c r="R19" s="772" t="s">
        <v>17</v>
      </c>
      <c r="S19" s="773">
        <f>F19</f>
        <v>100</v>
      </c>
      <c r="T19" s="772" t="s">
        <v>17</v>
      </c>
      <c r="U19" s="773">
        <f>H19</f>
        <v>100</v>
      </c>
      <c r="V19" s="772" t="s">
        <v>17</v>
      </c>
      <c r="W19" s="773">
        <f>J19</f>
        <v>100</v>
      </c>
      <c r="X19" s="1811"/>
      <c r="Y19" s="3239"/>
      <c r="Z19" s="1812" t="str">
        <f>Q19</f>
        <v>公共配套设施</v>
      </c>
      <c r="AA19" s="1809">
        <f t="shared" si="3"/>
        <v>1</v>
      </c>
      <c r="AB19" s="1809">
        <f t="shared" si="4"/>
        <v>1</v>
      </c>
      <c r="AC19" s="2671">
        <f t="shared" si="5"/>
        <v>1</v>
      </c>
    </row>
    <row r="20" spans="1:29" ht="15">
      <c r="A20" s="428"/>
      <c r="B20" s="632"/>
      <c r="C20" s="2608" t="s">
        <v>3221</v>
      </c>
      <c r="D20" s="448"/>
      <c r="E20" s="2608" t="s">
        <v>3221</v>
      </c>
      <c r="F20" s="448"/>
      <c r="G20" s="2608" t="s">
        <v>3221</v>
      </c>
      <c r="H20" s="448"/>
      <c r="I20" s="2608" t="s">
        <v>3221</v>
      </c>
      <c r="J20" s="448"/>
      <c r="K20" s="615"/>
      <c r="L20" s="1138"/>
      <c r="M20" s="1129"/>
      <c r="N20" s="1129"/>
      <c r="O20" s="1129"/>
      <c r="P20" s="3237"/>
      <c r="Q20" s="1808"/>
      <c r="R20" s="772"/>
      <c r="S20" s="773"/>
      <c r="T20" s="772"/>
      <c r="U20" s="773"/>
      <c r="V20" s="772"/>
      <c r="W20" s="773"/>
      <c r="X20" s="1811"/>
      <c r="Y20" s="3239"/>
      <c r="Z20" s="1812"/>
      <c r="AA20" s="1809">
        <v>1</v>
      </c>
      <c r="AB20" s="1809">
        <v>1</v>
      </c>
      <c r="AC20" s="2671">
        <v>1</v>
      </c>
    </row>
    <row r="21" spans="1:29" ht="28.5">
      <c r="A21" s="428"/>
      <c r="B21" s="633" t="s">
        <v>2690</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237"/>
      <c r="Q21" s="1808" t="str">
        <f>B21</f>
        <v>基础设施水平</v>
      </c>
      <c r="R21" s="772" t="s">
        <v>17</v>
      </c>
      <c r="S21" s="773">
        <f>F21</f>
        <v>100</v>
      </c>
      <c r="T21" s="772" t="s">
        <v>17</v>
      </c>
      <c r="U21" s="773">
        <f>H21</f>
        <v>100</v>
      </c>
      <c r="V21" s="772" t="s">
        <v>17</v>
      </c>
      <c r="W21" s="773">
        <f>J21</f>
        <v>100</v>
      </c>
      <c r="X21" s="1811"/>
      <c r="Y21" s="3239"/>
      <c r="Z21" s="1812" t="str">
        <f>Q21</f>
        <v>基础设施水平</v>
      </c>
      <c r="AA21" s="1809">
        <f t="shared" ref="AA21" si="8">D21/F21</f>
        <v>1</v>
      </c>
      <c r="AB21" s="1809">
        <f t="shared" ref="AB21" si="9">D21/H21</f>
        <v>1</v>
      </c>
      <c r="AC21" s="2671">
        <f t="shared" ref="AC21" si="10">D21/J21</f>
        <v>1</v>
      </c>
    </row>
    <row r="22" spans="1:29" ht="15">
      <c r="A22" s="428"/>
      <c r="B22" s="633"/>
      <c r="C22" s="2673" t="s">
        <v>3206</v>
      </c>
      <c r="D22" s="448"/>
      <c r="E22" s="2673" t="s">
        <v>3206</v>
      </c>
      <c r="F22" s="448"/>
      <c r="G22" s="2673" t="s">
        <v>3206</v>
      </c>
      <c r="H22" s="448"/>
      <c r="I22" s="2673" t="s">
        <v>3206</v>
      </c>
      <c r="J22" s="448"/>
      <c r="K22" s="1381"/>
      <c r="L22" s="1138"/>
      <c r="M22" s="1129"/>
      <c r="N22" s="1129"/>
      <c r="O22" s="1129"/>
      <c r="P22" s="3237"/>
      <c r="Q22" s="1808"/>
      <c r="R22" s="772"/>
      <c r="S22" s="773"/>
      <c r="T22" s="772"/>
      <c r="U22" s="773"/>
      <c r="V22" s="772"/>
      <c r="W22" s="773"/>
      <c r="X22" s="1811"/>
      <c r="Y22" s="3239"/>
      <c r="Z22" s="1812"/>
      <c r="AA22" s="1809">
        <v>1</v>
      </c>
      <c r="AB22" s="1809">
        <v>1</v>
      </c>
      <c r="AC22" s="2671">
        <v>1</v>
      </c>
    </row>
    <row r="23" spans="1:29" ht="42.75">
      <c r="A23" s="428"/>
      <c r="B23" s="631" t="s">
        <v>2691</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237"/>
      <c r="Q23" s="1808" t="str">
        <f>B23</f>
        <v>环境质量</v>
      </c>
      <c r="R23" s="772" t="s">
        <v>17</v>
      </c>
      <c r="S23" s="773">
        <f>F23</f>
        <v>100</v>
      </c>
      <c r="T23" s="772" t="s">
        <v>17</v>
      </c>
      <c r="U23" s="773">
        <f>H23</f>
        <v>100</v>
      </c>
      <c r="V23" s="772" t="s">
        <v>17</v>
      </c>
      <c r="W23" s="773">
        <f>J23</f>
        <v>100</v>
      </c>
      <c r="X23" s="1811"/>
      <c r="Y23" s="3239"/>
      <c r="Z23" s="1812" t="str">
        <f>Q23</f>
        <v>环境质量</v>
      </c>
      <c r="AA23" s="1809">
        <f t="shared" si="3"/>
        <v>1</v>
      </c>
      <c r="AB23" s="1809">
        <f t="shared" si="4"/>
        <v>1</v>
      </c>
      <c r="AC23" s="2671">
        <f t="shared" si="5"/>
        <v>1</v>
      </c>
    </row>
    <row r="24" spans="1:29" ht="15">
      <c r="A24" s="428"/>
      <c r="B24" s="633"/>
      <c r="C24" s="2608" t="s">
        <v>3220</v>
      </c>
      <c r="D24" s="448"/>
      <c r="E24" s="2608" t="s">
        <v>3220</v>
      </c>
      <c r="F24" s="448"/>
      <c r="G24" s="2608" t="s">
        <v>3220</v>
      </c>
      <c r="H24" s="448"/>
      <c r="I24" s="2608" t="s">
        <v>3220</v>
      </c>
      <c r="J24" s="448"/>
      <c r="K24" s="615"/>
      <c r="L24" s="1138"/>
      <c r="M24" s="1129"/>
      <c r="N24" s="1129"/>
      <c r="O24" s="1129"/>
      <c r="P24" s="3237"/>
      <c r="Q24" s="1808"/>
      <c r="R24" s="772"/>
      <c r="S24" s="773"/>
      <c r="T24" s="772"/>
      <c r="U24" s="773"/>
      <c r="V24" s="772"/>
      <c r="W24" s="773"/>
      <c r="X24" s="1811"/>
      <c r="Y24" s="3239"/>
      <c r="Z24" s="1812"/>
      <c r="AA24" s="1809">
        <v>1</v>
      </c>
      <c r="AB24" s="1809">
        <v>1</v>
      </c>
      <c r="AC24" s="2671">
        <v>1</v>
      </c>
    </row>
    <row r="25" spans="1:29" ht="27">
      <c r="A25" s="404"/>
      <c r="B25" s="631" t="s">
        <v>2692</v>
      </c>
      <c r="C25" s="2612"/>
      <c r="D25" s="435">
        <v>100</v>
      </c>
      <c r="E25" s="434"/>
      <c r="F25" s="435">
        <f>SUMIF(87:87,E26,88:88)-SUMIF(87:87,C26,88:88)+100</f>
        <v>100</v>
      </c>
      <c r="G25" s="2612"/>
      <c r="H25" s="435">
        <f>SUMIF(87:87,G26,88:88)-SUMIF(87:87,C26,88:88)+100</f>
        <v>100</v>
      </c>
      <c r="I25" s="434"/>
      <c r="J25" s="435">
        <f>SUMIF(87:87,I26,88:88)-SUMIF(87:87,C26,88:88)+100</f>
        <v>100</v>
      </c>
      <c r="K25" s="614">
        <v>2</v>
      </c>
      <c r="L25" s="1138"/>
      <c r="M25" s="1129"/>
      <c r="N25" s="1129"/>
      <c r="O25" s="1129"/>
      <c r="P25" s="3237"/>
      <c r="Q25" s="1808" t="str">
        <f>B25</f>
        <v>毗邻道路的类型与等级</v>
      </c>
      <c r="R25" s="772" t="s">
        <v>17</v>
      </c>
      <c r="S25" s="773">
        <f>F25</f>
        <v>100</v>
      </c>
      <c r="T25" s="772" t="s">
        <v>17</v>
      </c>
      <c r="U25" s="773">
        <f>H25</f>
        <v>100</v>
      </c>
      <c r="V25" s="772" t="s">
        <v>17</v>
      </c>
      <c r="W25" s="773">
        <f>J25</f>
        <v>100</v>
      </c>
      <c r="X25" s="1811"/>
      <c r="Y25" s="3239"/>
      <c r="Z25" s="1812" t="str">
        <f>Q25</f>
        <v>毗邻道路的类型与等级</v>
      </c>
      <c r="AA25" s="1809">
        <f t="shared" si="3"/>
        <v>1</v>
      </c>
      <c r="AB25" s="1809">
        <f t="shared" si="4"/>
        <v>1</v>
      </c>
      <c r="AC25" s="2671">
        <f t="shared" si="5"/>
        <v>1</v>
      </c>
    </row>
    <row r="26" spans="1:29" ht="15">
      <c r="A26" s="404"/>
      <c r="B26" s="632"/>
      <c r="C26" s="634" t="s">
        <v>3190</v>
      </c>
      <c r="D26" s="435"/>
      <c r="E26" s="634" t="s">
        <v>3190</v>
      </c>
      <c r="F26" s="435"/>
      <c r="G26" s="634" t="s">
        <v>3190</v>
      </c>
      <c r="H26" s="435"/>
      <c r="I26" s="634" t="s">
        <v>3190</v>
      </c>
      <c r="J26" s="435"/>
      <c r="K26" s="615"/>
      <c r="L26" s="1138"/>
      <c r="M26" s="1129"/>
      <c r="N26" s="1129"/>
      <c r="O26" s="1129"/>
      <c r="P26" s="3237"/>
      <c r="Q26" s="1808"/>
      <c r="R26" s="772"/>
      <c r="S26" s="773"/>
      <c r="T26" s="772"/>
      <c r="U26" s="773"/>
      <c r="V26" s="772"/>
      <c r="W26" s="773"/>
      <c r="X26" s="1811"/>
      <c r="Y26" s="3239"/>
      <c r="Z26" s="1812"/>
      <c r="AA26" s="1809">
        <v>1</v>
      </c>
      <c r="AB26" s="1809">
        <v>1</v>
      </c>
      <c r="AC26" s="2671">
        <v>1</v>
      </c>
    </row>
    <row r="27" spans="1:29" ht="15">
      <c r="A27" s="428"/>
      <c r="B27" s="632" t="s">
        <v>2660</v>
      </c>
      <c r="C27" s="634" t="s">
        <v>3193</v>
      </c>
      <c r="D27" s="435">
        <v>100</v>
      </c>
      <c r="E27" s="616" t="s">
        <v>3192</v>
      </c>
      <c r="F27" s="435">
        <f>SUMIF(89:89,E27,90:90)-SUMIF(89:89,C27,90:90)+100</f>
        <v>102</v>
      </c>
      <c r="G27" s="634" t="s">
        <v>3194</v>
      </c>
      <c r="H27" s="435">
        <f>SUMIF(89:89,G27,90:90)-SUMIF(89:89,C27,90:90)+100</f>
        <v>98</v>
      </c>
      <c r="I27" s="616" t="s">
        <v>3194</v>
      </c>
      <c r="J27" s="435">
        <f>SUMIF(89:89,I27,90:90)-SUMIF(89:89,C27,90:90)+100</f>
        <v>98</v>
      </c>
      <c r="K27" s="612">
        <v>2</v>
      </c>
      <c r="L27" s="1138"/>
      <c r="M27" s="1129"/>
      <c r="N27" s="1129"/>
      <c r="O27" s="1129"/>
      <c r="P27" s="3237"/>
      <c r="Q27" s="1808" t="str">
        <f t="shared" ref="Q27:Q47" si="11">B27</f>
        <v>楼层</v>
      </c>
      <c r="R27" s="772" t="s">
        <v>17</v>
      </c>
      <c r="S27" s="773">
        <f>F27</f>
        <v>102</v>
      </c>
      <c r="T27" s="772" t="s">
        <v>17</v>
      </c>
      <c r="U27" s="773">
        <f>H27</f>
        <v>98</v>
      </c>
      <c r="V27" s="772" t="s">
        <v>17</v>
      </c>
      <c r="W27" s="773">
        <f>J27</f>
        <v>98</v>
      </c>
      <c r="X27" s="1811"/>
      <c r="Y27" s="3239"/>
      <c r="Z27" s="1812" t="str">
        <f>Q27</f>
        <v>楼层</v>
      </c>
      <c r="AA27" s="1809">
        <f t="shared" si="3"/>
        <v>0.98039215686274506</v>
      </c>
      <c r="AB27" s="1809">
        <f t="shared" si="4"/>
        <v>1.0204081632653061</v>
      </c>
      <c r="AC27" s="2671">
        <f t="shared" si="5"/>
        <v>1.0204081632653061</v>
      </c>
    </row>
    <row r="28" spans="1:29" s="117" customFormat="1" ht="15">
      <c r="A28" s="431"/>
      <c r="B28" s="631" t="s">
        <v>2693</v>
      </c>
      <c r="C28" s="2674"/>
      <c r="D28" s="462">
        <v>100</v>
      </c>
      <c r="E28" s="2662"/>
      <c r="F28" s="462">
        <f>SUMIF(91:91,E28,92:92)-SUMIF(91:91,C28,92:92)+100</f>
        <v>100</v>
      </c>
      <c r="G28" s="2674"/>
      <c r="H28" s="462">
        <f>SUMIF(91:91,G28,92:92)-SUMIF(91:91,C28,92:92)+100</f>
        <v>100</v>
      </c>
      <c r="I28" s="2662"/>
      <c r="J28" s="462">
        <f>SUMIF(91:91,I28,92:92)-SUMIF(91:91,C28,92:92)+100</f>
        <v>100</v>
      </c>
      <c r="K28" s="612">
        <v>0</v>
      </c>
      <c r="L28" s="1130"/>
      <c r="M28" s="1131"/>
      <c r="N28" s="1131"/>
      <c r="O28" s="1131"/>
      <c r="P28" s="3237"/>
      <c r="Q28" s="1793" t="str">
        <f t="shared" si="11"/>
        <v>朝向</v>
      </c>
      <c r="R28" s="768" t="s">
        <v>17</v>
      </c>
      <c r="S28" s="769">
        <f>F28</f>
        <v>100</v>
      </c>
      <c r="T28" s="768" t="s">
        <v>17</v>
      </c>
      <c r="U28" s="769">
        <f>H28</f>
        <v>100</v>
      </c>
      <c r="V28" s="768" t="s">
        <v>17</v>
      </c>
      <c r="W28" s="769">
        <f>J28</f>
        <v>100</v>
      </c>
      <c r="X28" s="770"/>
      <c r="Y28" s="3239"/>
      <c r="Z28" s="55" t="str">
        <f>Q28</f>
        <v>朝向</v>
      </c>
      <c r="AA28" s="1809">
        <f>D28/F28</f>
        <v>1</v>
      </c>
      <c r="AB28" s="1809">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8"/>
      <c r="M29" s="1129"/>
      <c r="N29" s="1129"/>
      <c r="O29" s="1129"/>
      <c r="P29" s="3237"/>
      <c r="Q29" s="1808">
        <f t="shared" si="11"/>
        <v>111</v>
      </c>
      <c r="R29" s="772" t="s">
        <v>17</v>
      </c>
      <c r="S29" s="773">
        <f t="shared" ref="S29:S47" si="12">F29</f>
        <v>100</v>
      </c>
      <c r="T29" s="772" t="s">
        <v>17</v>
      </c>
      <c r="U29" s="773">
        <f t="shared" ref="U29:U47" si="13">H29</f>
        <v>100</v>
      </c>
      <c r="V29" s="772" t="s">
        <v>17</v>
      </c>
      <c r="W29" s="773">
        <f t="shared" ref="W29:W47" si="14">J29</f>
        <v>100</v>
      </c>
      <c r="X29" s="1811"/>
      <c r="Y29" s="3239"/>
      <c r="Z29" s="1812">
        <f t="shared" ref="Z29:Z47" si="15">Q29</f>
        <v>111</v>
      </c>
      <c r="AA29" s="1809">
        <f t="shared" si="3"/>
        <v>1</v>
      </c>
      <c r="AB29" s="1809">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8"/>
      <c r="M30" s="1129"/>
      <c r="N30" s="1129"/>
      <c r="O30" s="1129"/>
      <c r="P30" s="3237"/>
      <c r="Q30" s="1808">
        <f t="shared" si="11"/>
        <v>111</v>
      </c>
      <c r="R30" s="772" t="s">
        <v>17</v>
      </c>
      <c r="S30" s="773">
        <f t="shared" si="12"/>
        <v>100</v>
      </c>
      <c r="T30" s="772" t="s">
        <v>17</v>
      </c>
      <c r="U30" s="773">
        <f t="shared" si="13"/>
        <v>100</v>
      </c>
      <c r="V30" s="772" t="s">
        <v>17</v>
      </c>
      <c r="W30" s="773">
        <f t="shared" si="14"/>
        <v>100</v>
      </c>
      <c r="X30" s="1811"/>
      <c r="Y30" s="3239"/>
      <c r="Z30" s="1812">
        <f t="shared" si="15"/>
        <v>111</v>
      </c>
      <c r="AA30" s="1809">
        <f t="shared" si="3"/>
        <v>1</v>
      </c>
      <c r="AB30" s="1809">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8"/>
      <c r="M31" s="1129"/>
      <c r="N31" s="1129"/>
      <c r="O31" s="1129"/>
      <c r="P31" s="3237"/>
      <c r="Q31" s="1808">
        <f t="shared" si="11"/>
        <v>111</v>
      </c>
      <c r="R31" s="772" t="s">
        <v>17</v>
      </c>
      <c r="S31" s="773">
        <f t="shared" si="12"/>
        <v>100</v>
      </c>
      <c r="T31" s="772" t="s">
        <v>17</v>
      </c>
      <c r="U31" s="773">
        <f t="shared" si="13"/>
        <v>100</v>
      </c>
      <c r="V31" s="772" t="s">
        <v>17</v>
      </c>
      <c r="W31" s="773">
        <f t="shared" si="14"/>
        <v>100</v>
      </c>
      <c r="X31" s="1811"/>
      <c r="Y31" s="3239"/>
      <c r="Z31" s="1812">
        <f t="shared" si="15"/>
        <v>111</v>
      </c>
      <c r="AA31" s="1809">
        <f t="shared" si="3"/>
        <v>1</v>
      </c>
      <c r="AB31" s="1809">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8"/>
      <c r="M32" s="1129"/>
      <c r="N32" s="1129"/>
      <c r="O32" s="1129"/>
      <c r="P32" s="3237"/>
      <c r="Q32" s="1808">
        <f t="shared" si="11"/>
        <v>111</v>
      </c>
      <c r="R32" s="772" t="s">
        <v>17</v>
      </c>
      <c r="S32" s="773">
        <f t="shared" si="12"/>
        <v>100</v>
      </c>
      <c r="T32" s="772" t="s">
        <v>17</v>
      </c>
      <c r="U32" s="773">
        <f t="shared" si="13"/>
        <v>100</v>
      </c>
      <c r="V32" s="772" t="s">
        <v>17</v>
      </c>
      <c r="W32" s="773">
        <f t="shared" si="14"/>
        <v>100</v>
      </c>
      <c r="X32" s="1811"/>
      <c r="Y32" s="3239"/>
      <c r="Z32" s="1812">
        <f t="shared" si="15"/>
        <v>111</v>
      </c>
      <c r="AA32" s="1809">
        <f t="shared" si="3"/>
        <v>1</v>
      </c>
      <c r="AB32" s="1809">
        <f t="shared" si="4"/>
        <v>1</v>
      </c>
      <c r="AC32" s="2671">
        <f t="shared" si="5"/>
        <v>1</v>
      </c>
    </row>
    <row r="33" spans="1:29" ht="15">
      <c r="A33" s="440" t="s">
        <v>2564</v>
      </c>
      <c r="B33" s="71" t="s">
        <v>2694</v>
      </c>
      <c r="C33" s="2676" t="s">
        <v>3195</v>
      </c>
      <c r="D33" s="467">
        <v>100</v>
      </c>
      <c r="E33" s="2676" t="s">
        <v>3195</v>
      </c>
      <c r="F33" s="461">
        <f>SUMIF(101:101,E33,102:102)-SUMIF(101:101,C33,102:102)+100</f>
        <v>100</v>
      </c>
      <c r="G33" s="2676" t="s">
        <v>3195</v>
      </c>
      <c r="H33" s="435">
        <f>SUMIF(101:101,G33,102:102)-SUMIF(101:101,C33,102:102)+100</f>
        <v>100</v>
      </c>
      <c r="I33" s="2676" t="s">
        <v>3195</v>
      </c>
      <c r="J33" s="467">
        <f>SUMIF(101:101,I33,102:102)-SUMIF(101:101,C33,102:102)+100</f>
        <v>100</v>
      </c>
      <c r="K33" s="612">
        <v>2</v>
      </c>
      <c r="L33" s="1138"/>
      <c r="M33" s="1129"/>
      <c r="N33" s="1129"/>
      <c r="O33" s="1129"/>
      <c r="P33" s="3240" t="s">
        <v>2566</v>
      </c>
      <c r="Q33" s="1808" t="str">
        <f t="shared" si="11"/>
        <v>建筑类型</v>
      </c>
      <c r="R33" s="772" t="s">
        <v>17</v>
      </c>
      <c r="S33" s="773">
        <f t="shared" si="12"/>
        <v>100</v>
      </c>
      <c r="T33" s="772" t="s">
        <v>17</v>
      </c>
      <c r="U33" s="773">
        <f t="shared" si="13"/>
        <v>100</v>
      </c>
      <c r="V33" s="772" t="s">
        <v>17</v>
      </c>
      <c r="W33" s="773">
        <f t="shared" si="14"/>
        <v>100</v>
      </c>
      <c r="X33" s="1811"/>
      <c r="Y33" s="3243" t="s">
        <v>2566</v>
      </c>
      <c r="Z33" s="1812" t="str">
        <f t="shared" si="15"/>
        <v>建筑类型</v>
      </c>
      <c r="AA33" s="1809">
        <f t="shared" si="3"/>
        <v>1</v>
      </c>
      <c r="AB33" s="1809">
        <f t="shared" si="4"/>
        <v>1</v>
      </c>
      <c r="AC33" s="2671">
        <f t="shared" si="5"/>
        <v>1</v>
      </c>
    </row>
    <row r="34" spans="1:29" s="471" customFormat="1" ht="15">
      <c r="A34" s="468"/>
      <c r="B34" s="422" t="s">
        <v>2567</v>
      </c>
      <c r="C34" s="469">
        <f>测绘报告办公!F9</f>
        <v>1559.3</v>
      </c>
      <c r="D34" s="136">
        <v>100</v>
      </c>
      <c r="E34" s="430">
        <v>1010</v>
      </c>
      <c r="F34" s="425">
        <f>LOOKUP(E34,104:104,105:105)-LOOKUP(C34,104:104,105:105)+100</f>
        <v>102</v>
      </c>
      <c r="G34" s="429">
        <v>150</v>
      </c>
      <c r="H34" s="136">
        <f>LOOKUP(G34,104:104,105:105)-LOOKUP(C34,104:104,105:105)+100</f>
        <v>98</v>
      </c>
      <c r="I34" s="429">
        <v>166</v>
      </c>
      <c r="J34" s="136">
        <f>LOOKUP(I34,104:104,105:105)-LOOKUP(C34,104:104,105:105)+100</f>
        <v>98</v>
      </c>
      <c r="K34" s="613"/>
      <c r="L34" s="1136"/>
      <c r="M34" s="1139"/>
      <c r="N34" s="1139"/>
      <c r="O34" s="1139"/>
      <c r="P34" s="3241"/>
      <c r="Q34" s="774" t="str">
        <f t="shared" si="11"/>
        <v>项目建筑规模</v>
      </c>
      <c r="R34" s="775" t="s">
        <v>17</v>
      </c>
      <c r="S34" s="776">
        <f t="shared" si="12"/>
        <v>102</v>
      </c>
      <c r="T34" s="775" t="s">
        <v>17</v>
      </c>
      <c r="U34" s="776">
        <f t="shared" si="13"/>
        <v>98</v>
      </c>
      <c r="V34" s="775" t="s">
        <v>17</v>
      </c>
      <c r="W34" s="776">
        <f t="shared" si="14"/>
        <v>98</v>
      </c>
      <c r="X34" s="777"/>
      <c r="Y34" s="3243"/>
      <c r="Z34" s="778" t="str">
        <f t="shared" si="15"/>
        <v>项目建筑规模</v>
      </c>
      <c r="AA34" s="1809">
        <f t="shared" si="3"/>
        <v>0.98039215686274506</v>
      </c>
      <c r="AB34" s="1809">
        <f t="shared" si="4"/>
        <v>1.0204081632653061</v>
      </c>
      <c r="AC34" s="2671">
        <f t="shared" si="5"/>
        <v>1.0204081632653061</v>
      </c>
    </row>
    <row r="35" spans="1:29" ht="15">
      <c r="A35" s="472"/>
      <c r="B35" s="422" t="s">
        <v>2568</v>
      </c>
      <c r="C35" s="460" t="s">
        <v>3184</v>
      </c>
      <c r="D35" s="435">
        <v>100</v>
      </c>
      <c r="E35" s="460" t="s">
        <v>3184</v>
      </c>
      <c r="F35" s="461">
        <f>SUMIF(106:106,E35,107:107)-SUMIF(106:106,C35,107:107)+100</f>
        <v>100</v>
      </c>
      <c r="G35" s="460" t="s">
        <v>3184</v>
      </c>
      <c r="H35" s="435">
        <f>SUMIF(106:106,G35,107:107)-SUMIF(106:106,C35,107:107)+100</f>
        <v>100</v>
      </c>
      <c r="I35" s="460" t="s">
        <v>3184</v>
      </c>
      <c r="J35" s="435">
        <f>SUMIF(106:106,I35,107:107)-SUMIF(106:106,C35,107:107)+100</f>
        <v>100</v>
      </c>
      <c r="K35" s="612">
        <v>2</v>
      </c>
      <c r="L35" s="1138"/>
      <c r="M35" s="1129"/>
      <c r="N35" s="1129"/>
      <c r="O35" s="1129"/>
      <c r="P35" s="3241"/>
      <c r="Q35" s="1808" t="str">
        <f t="shared" si="11"/>
        <v>建筑结构</v>
      </c>
      <c r="R35" s="772" t="s">
        <v>17</v>
      </c>
      <c r="S35" s="773">
        <f t="shared" si="12"/>
        <v>100</v>
      </c>
      <c r="T35" s="772" t="s">
        <v>17</v>
      </c>
      <c r="U35" s="773">
        <f t="shared" si="13"/>
        <v>100</v>
      </c>
      <c r="V35" s="772" t="s">
        <v>17</v>
      </c>
      <c r="W35" s="773">
        <f t="shared" si="14"/>
        <v>100</v>
      </c>
      <c r="X35" s="1811"/>
      <c r="Y35" s="3243"/>
      <c r="Z35" s="1812" t="str">
        <f t="shared" si="15"/>
        <v>建筑结构</v>
      </c>
      <c r="AA35" s="1809">
        <f t="shared" si="3"/>
        <v>1</v>
      </c>
      <c r="AB35" s="1809">
        <f t="shared" si="4"/>
        <v>1</v>
      </c>
      <c r="AC35" s="2671">
        <f t="shared" si="5"/>
        <v>1</v>
      </c>
    </row>
    <row r="36" spans="1:29" ht="15">
      <c r="A36" s="472"/>
      <c r="B36" s="422" t="s">
        <v>2662</v>
      </c>
      <c r="C36" s="460" t="s">
        <v>3197</v>
      </c>
      <c r="D36" s="435">
        <v>100</v>
      </c>
      <c r="E36" s="460" t="s">
        <v>3197</v>
      </c>
      <c r="F36" s="461">
        <f>SUMIF(108:108,E36,109:109)-SUMIF(108:108,C36,109:109)+100</f>
        <v>100</v>
      </c>
      <c r="G36" s="460" t="s">
        <v>3197</v>
      </c>
      <c r="H36" s="435">
        <f>SUMIF(108:108,G36,109:109)-SUMIF(108:108,C36,109:109)+100</f>
        <v>100</v>
      </c>
      <c r="I36" s="460" t="s">
        <v>3197</v>
      </c>
      <c r="J36" s="435">
        <f>SUMIF(108:108,I36,109:109)-SUMIF(108:108,C36,109:109)+100</f>
        <v>100</v>
      </c>
      <c r="K36" s="612">
        <v>2</v>
      </c>
      <c r="L36" s="1138"/>
      <c r="M36" s="1129"/>
      <c r="N36" s="1129"/>
      <c r="O36" s="1129"/>
      <c r="P36" s="3241"/>
      <c r="Q36" s="1808" t="str">
        <f t="shared" si="11"/>
        <v>公共部分装修</v>
      </c>
      <c r="R36" s="772" t="s">
        <v>17</v>
      </c>
      <c r="S36" s="773">
        <f t="shared" si="12"/>
        <v>100</v>
      </c>
      <c r="T36" s="772" t="s">
        <v>17</v>
      </c>
      <c r="U36" s="773">
        <f t="shared" si="13"/>
        <v>100</v>
      </c>
      <c r="V36" s="772" t="s">
        <v>17</v>
      </c>
      <c r="W36" s="773">
        <f t="shared" si="14"/>
        <v>100</v>
      </c>
      <c r="X36" s="1811"/>
      <c r="Y36" s="3243"/>
      <c r="Z36" s="1812" t="str">
        <f t="shared" si="15"/>
        <v>公共部分装修</v>
      </c>
      <c r="AA36" s="1809">
        <f t="shared" si="3"/>
        <v>1</v>
      </c>
      <c r="AB36" s="1809">
        <f t="shared" si="4"/>
        <v>1</v>
      </c>
      <c r="AC36" s="2671">
        <f t="shared" si="5"/>
        <v>1</v>
      </c>
    </row>
    <row r="37" spans="1:29" ht="15">
      <c r="A37" s="472"/>
      <c r="B37" s="422" t="s">
        <v>2663</v>
      </c>
      <c r="C37" s="474">
        <v>0.93</v>
      </c>
      <c r="D37" s="435">
        <v>100</v>
      </c>
      <c r="E37" s="474">
        <v>0.92</v>
      </c>
      <c r="F37" s="461">
        <f>LOOKUP(E37,111:111,112:112)-LOOKUP(C37,111:111,112:112)+100</f>
        <v>100</v>
      </c>
      <c r="G37" s="474">
        <v>0.9</v>
      </c>
      <c r="H37" s="461">
        <f>LOOKUP(G37,111:111,112:112)-LOOKUP(C37,111:111,112:112)+100</f>
        <v>100</v>
      </c>
      <c r="I37" s="474">
        <v>0.92</v>
      </c>
      <c r="J37" s="435">
        <f>LOOKUP(I37,111:111,112:112)-LOOKUP(C37,111:111,112:112)+100</f>
        <v>100</v>
      </c>
      <c r="K37" s="612">
        <v>1</v>
      </c>
      <c r="L37" s="1138"/>
      <c r="M37" s="1129"/>
      <c r="N37" s="1129"/>
      <c r="O37" s="1129"/>
      <c r="P37" s="3241"/>
      <c r="Q37" s="1808" t="str">
        <f t="shared" si="11"/>
        <v>成新度</v>
      </c>
      <c r="R37" s="772" t="s">
        <v>17</v>
      </c>
      <c r="S37" s="773">
        <f t="shared" si="12"/>
        <v>100</v>
      </c>
      <c r="T37" s="772" t="s">
        <v>17</v>
      </c>
      <c r="U37" s="773">
        <f t="shared" si="13"/>
        <v>100</v>
      </c>
      <c r="V37" s="772" t="s">
        <v>17</v>
      </c>
      <c r="W37" s="773">
        <f t="shared" si="14"/>
        <v>100</v>
      </c>
      <c r="X37" s="1811"/>
      <c r="Y37" s="3243"/>
      <c r="Z37" s="1812" t="str">
        <f t="shared" si="15"/>
        <v>成新度</v>
      </c>
      <c r="AA37" s="1809">
        <f t="shared" si="3"/>
        <v>1</v>
      </c>
      <c r="AB37" s="1809">
        <f t="shared" si="4"/>
        <v>1</v>
      </c>
      <c r="AC37" s="2671">
        <f t="shared" si="5"/>
        <v>1</v>
      </c>
    </row>
    <row r="38" spans="1:29" s="117" customFormat="1" ht="15">
      <c r="A38" s="473"/>
      <c r="B38" s="422" t="s">
        <v>2695</v>
      </c>
      <c r="C38" s="460" t="s">
        <v>3201</v>
      </c>
      <c r="D38" s="136">
        <v>100</v>
      </c>
      <c r="E38" s="460" t="s">
        <v>3201</v>
      </c>
      <c r="F38" s="461">
        <f>SUMIF(113:113,E38,114:114)-SUMIF(113:113,C38,114:114)+100</f>
        <v>100</v>
      </c>
      <c r="G38" s="460" t="s">
        <v>3201</v>
      </c>
      <c r="H38" s="435">
        <f>SUMIF(113:113,G38,114:114)-SUMIF(113:113,C38,114:114)+100</f>
        <v>100</v>
      </c>
      <c r="I38" s="460" t="s">
        <v>3201</v>
      </c>
      <c r="J38" s="435">
        <f>SUMIF(113:113,I38,114:114)-SUMIF(113:113,C38,114:114)+100</f>
        <v>100</v>
      </c>
      <c r="K38" s="612">
        <v>2</v>
      </c>
      <c r="L38" s="1130"/>
      <c r="M38" s="1131"/>
      <c r="N38" s="1131"/>
      <c r="O38" s="1131"/>
      <c r="P38" s="3241"/>
      <c r="Q38" s="1793" t="str">
        <f t="shared" si="11"/>
        <v>写字楼等级</v>
      </c>
      <c r="R38" s="768" t="s">
        <v>17</v>
      </c>
      <c r="S38" s="769">
        <f t="shared" si="12"/>
        <v>100</v>
      </c>
      <c r="T38" s="768" t="s">
        <v>17</v>
      </c>
      <c r="U38" s="769">
        <f t="shared" si="13"/>
        <v>100</v>
      </c>
      <c r="V38" s="768" t="s">
        <v>17</v>
      </c>
      <c r="W38" s="769">
        <f t="shared" si="14"/>
        <v>100</v>
      </c>
      <c r="X38" s="770"/>
      <c r="Y38" s="3243"/>
      <c r="Z38" s="55" t="str">
        <f t="shared" si="15"/>
        <v>写字楼等级</v>
      </c>
      <c r="AA38" s="771">
        <f t="shared" si="3"/>
        <v>1</v>
      </c>
      <c r="AB38" s="771">
        <f t="shared" si="4"/>
        <v>1</v>
      </c>
      <c r="AC38" s="2668">
        <f t="shared" si="5"/>
        <v>1</v>
      </c>
    </row>
    <row r="39" spans="1:29" ht="15">
      <c r="A39" s="472"/>
      <c r="B39" s="422" t="s">
        <v>2696</v>
      </c>
      <c r="C39" s="460" t="s">
        <v>3204</v>
      </c>
      <c r="D39" s="435">
        <v>100</v>
      </c>
      <c r="E39" s="460" t="s">
        <v>3204</v>
      </c>
      <c r="F39" s="461">
        <f>SUMIF(115:115,E39,116:116)-SUMIF(115:115,C39,116:116)+100</f>
        <v>100</v>
      </c>
      <c r="G39" s="460" t="s">
        <v>3204</v>
      </c>
      <c r="H39" s="435">
        <f>SUMIF(115:115,G39,116:116)-SUMIF(115:115,C39,116:116)+100</f>
        <v>100</v>
      </c>
      <c r="I39" s="460" t="s">
        <v>3204</v>
      </c>
      <c r="J39" s="435">
        <f>SUMIF(115:115,I39,116:116)-SUMIF(115:115,C39,116:116)+100</f>
        <v>100</v>
      </c>
      <c r="K39" s="612">
        <v>2</v>
      </c>
      <c r="L39" s="1138"/>
      <c r="M39" s="1129"/>
      <c r="N39" s="1129"/>
      <c r="O39" s="1129"/>
      <c r="P39" s="3241" t="s">
        <v>2566</v>
      </c>
      <c r="Q39" s="1808" t="str">
        <f t="shared" si="11"/>
        <v>物业管理</v>
      </c>
      <c r="R39" s="772" t="s">
        <v>17</v>
      </c>
      <c r="S39" s="773">
        <f t="shared" si="12"/>
        <v>100</v>
      </c>
      <c r="T39" s="772" t="s">
        <v>17</v>
      </c>
      <c r="U39" s="773">
        <f t="shared" si="13"/>
        <v>100</v>
      </c>
      <c r="V39" s="772" t="s">
        <v>17</v>
      </c>
      <c r="W39" s="773">
        <f t="shared" si="14"/>
        <v>100</v>
      </c>
      <c r="X39" s="1811"/>
      <c r="Y39" s="3243" t="s">
        <v>2566</v>
      </c>
      <c r="Z39" s="1812" t="str">
        <f t="shared" si="15"/>
        <v>物业管理</v>
      </c>
      <c r="AA39" s="1809">
        <f t="shared" si="3"/>
        <v>1</v>
      </c>
      <c r="AB39" s="1809">
        <f t="shared" si="4"/>
        <v>1</v>
      </c>
      <c r="AC39" s="2671">
        <f t="shared" si="5"/>
        <v>1</v>
      </c>
    </row>
    <row r="40" spans="1:29" ht="15">
      <c r="A40" s="472"/>
      <c r="B40" s="422" t="s">
        <v>2664</v>
      </c>
      <c r="C40" s="460" t="s">
        <v>3206</v>
      </c>
      <c r="D40" s="435">
        <v>100</v>
      </c>
      <c r="E40" s="460" t="s">
        <v>3207</v>
      </c>
      <c r="F40" s="461">
        <f>SUMIF(117:117,E40,118:118)-SUMIF(117:117,C40,118:118)+100</f>
        <v>99</v>
      </c>
      <c r="G40" s="460" t="s">
        <v>3207</v>
      </c>
      <c r="H40" s="435">
        <f>SUMIF(117:117,G40,118:118)-SUMIF(117:117,C40,118:118)+100</f>
        <v>99</v>
      </c>
      <c r="I40" s="460" t="s">
        <v>3206</v>
      </c>
      <c r="J40" s="435">
        <f>SUMIF(117:117,I40,118:118)-SUMIF(117:117,C40,118:118)+100</f>
        <v>100</v>
      </c>
      <c r="K40" s="612">
        <v>1</v>
      </c>
      <c r="L40" s="1138"/>
      <c r="M40" s="1129"/>
      <c r="N40" s="1129"/>
      <c r="O40" s="1129"/>
      <c r="P40" s="3241"/>
      <c r="Q40" s="1808" t="str">
        <f t="shared" si="11"/>
        <v>市政基础设施</v>
      </c>
      <c r="R40" s="772" t="s">
        <v>17</v>
      </c>
      <c r="S40" s="773">
        <f t="shared" si="12"/>
        <v>99</v>
      </c>
      <c r="T40" s="772" t="s">
        <v>17</v>
      </c>
      <c r="U40" s="773">
        <f t="shared" si="13"/>
        <v>99</v>
      </c>
      <c r="V40" s="772" t="s">
        <v>17</v>
      </c>
      <c r="W40" s="773">
        <f t="shared" si="14"/>
        <v>100</v>
      </c>
      <c r="X40" s="1811"/>
      <c r="Y40" s="3243"/>
      <c r="Z40" s="1812" t="str">
        <f t="shared" si="15"/>
        <v>市政基础设施</v>
      </c>
      <c r="AA40" s="1809">
        <f t="shared" si="3"/>
        <v>1.0101010101010102</v>
      </c>
      <c r="AB40" s="1809">
        <f t="shared" si="4"/>
        <v>1.0101010101010102</v>
      </c>
      <c r="AC40" s="2671">
        <f t="shared" si="5"/>
        <v>1</v>
      </c>
    </row>
    <row r="41" spans="1:29" ht="15">
      <c r="A41" s="472"/>
      <c r="B41" s="422" t="s">
        <v>2666</v>
      </c>
      <c r="C41" s="616" t="s">
        <v>3212</v>
      </c>
      <c r="D41" s="435">
        <v>100</v>
      </c>
      <c r="E41" s="616" t="s">
        <v>3212</v>
      </c>
      <c r="F41" s="461">
        <f>SUMIF(119:119,E41,120:120)-SUMIF(119:119,C41,120:120)+100</f>
        <v>100</v>
      </c>
      <c r="G41" s="616" t="s">
        <v>3212</v>
      </c>
      <c r="H41" s="435">
        <f>SUMIF(119:119,G41,120:120)-SUMIF(119:119,C41,120:120)+100</f>
        <v>100</v>
      </c>
      <c r="I41" s="616" t="s">
        <v>3212</v>
      </c>
      <c r="J41" s="435">
        <f>SUMIF(119:119,I41,120:120)-SUMIF(119:119,C41,120:120)+100</f>
        <v>100</v>
      </c>
      <c r="K41" s="612">
        <v>2</v>
      </c>
      <c r="L41" s="1138"/>
      <c r="M41" s="1129"/>
      <c r="N41" s="1129"/>
      <c r="O41" s="1129"/>
      <c r="P41" s="3241"/>
      <c r="Q41" s="1808" t="str">
        <f t="shared" si="11"/>
        <v>层高</v>
      </c>
      <c r="R41" s="772" t="s">
        <v>17</v>
      </c>
      <c r="S41" s="773">
        <f t="shared" si="12"/>
        <v>100</v>
      </c>
      <c r="T41" s="772" t="s">
        <v>17</v>
      </c>
      <c r="U41" s="773">
        <f t="shared" si="13"/>
        <v>100</v>
      </c>
      <c r="V41" s="772" t="s">
        <v>17</v>
      </c>
      <c r="W41" s="773">
        <f t="shared" si="14"/>
        <v>100</v>
      </c>
      <c r="X41" s="1811"/>
      <c r="Y41" s="3243"/>
      <c r="Z41" s="1812" t="str">
        <f t="shared" si="15"/>
        <v>层高</v>
      </c>
      <c r="AA41" s="1809">
        <f t="shared" si="3"/>
        <v>1</v>
      </c>
      <c r="AB41" s="1809">
        <f t="shared" si="4"/>
        <v>1</v>
      </c>
      <c r="AC41" s="2671">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41"/>
      <c r="Q42" s="774" t="str">
        <f t="shared" si="11"/>
        <v>单套建筑面积</v>
      </c>
      <c r="R42" s="775" t="s">
        <v>17</v>
      </c>
      <c r="S42" s="776">
        <f t="shared" si="12"/>
        <v>100</v>
      </c>
      <c r="T42" s="775" t="s">
        <v>17</v>
      </c>
      <c r="U42" s="776">
        <f t="shared" si="13"/>
        <v>100</v>
      </c>
      <c r="V42" s="775" t="s">
        <v>17</v>
      </c>
      <c r="W42" s="776">
        <f t="shared" si="14"/>
        <v>100</v>
      </c>
      <c r="X42" s="777"/>
      <c r="Y42" s="3243"/>
      <c r="Z42" s="778" t="str">
        <f t="shared" si="15"/>
        <v>单套建筑面积</v>
      </c>
      <c r="AA42" s="1809">
        <f t="shared" si="3"/>
        <v>1</v>
      </c>
      <c r="AB42" s="1809">
        <f t="shared" si="4"/>
        <v>1</v>
      </c>
      <c r="AC42" s="2671">
        <f t="shared" si="5"/>
        <v>1</v>
      </c>
    </row>
    <row r="43" spans="1:29" ht="15">
      <c r="A43" s="472"/>
      <c r="B43" s="422" t="s">
        <v>2669</v>
      </c>
      <c r="C43" s="460" t="s">
        <v>3200</v>
      </c>
      <c r="D43" s="435">
        <v>100</v>
      </c>
      <c r="E43" s="460" t="s">
        <v>3199</v>
      </c>
      <c r="F43" s="461">
        <f>SUMIF(123:123,E43,124:124)-SUMIF(123:123,C43,124:124)+100</f>
        <v>102</v>
      </c>
      <c r="G43" s="460" t="s">
        <v>3199</v>
      </c>
      <c r="H43" s="435">
        <f>SUMIF(123:123,G43,124:124)-SUMIF(123:123,C43,124:124)+100</f>
        <v>102</v>
      </c>
      <c r="I43" s="460" t="s">
        <v>3199</v>
      </c>
      <c r="J43" s="435">
        <f>SUMIF(123:123,I43,124:124)-SUMIF(123:123,C43,124:124)+100</f>
        <v>102</v>
      </c>
      <c r="K43" s="612">
        <v>2</v>
      </c>
      <c r="L43" s="1138"/>
      <c r="M43" s="1129"/>
      <c r="N43" s="1129"/>
      <c r="O43" s="1129"/>
      <c r="P43" s="3241"/>
      <c r="Q43" s="1808" t="str">
        <f t="shared" si="11"/>
        <v>内部装修</v>
      </c>
      <c r="R43" s="772" t="s">
        <v>17</v>
      </c>
      <c r="S43" s="773">
        <f t="shared" si="12"/>
        <v>102</v>
      </c>
      <c r="T43" s="772" t="s">
        <v>17</v>
      </c>
      <c r="U43" s="773">
        <f t="shared" si="13"/>
        <v>102</v>
      </c>
      <c r="V43" s="772" t="s">
        <v>17</v>
      </c>
      <c r="W43" s="773">
        <f t="shared" si="14"/>
        <v>102</v>
      </c>
      <c r="X43" s="1811"/>
      <c r="Y43" s="3243"/>
      <c r="Z43" s="1812" t="str">
        <f t="shared" si="15"/>
        <v>内部装修</v>
      </c>
      <c r="AA43" s="1809">
        <f t="shared" si="3"/>
        <v>0.98039215686274506</v>
      </c>
      <c r="AB43" s="1809">
        <f t="shared" si="4"/>
        <v>0.98039215686274506</v>
      </c>
      <c r="AC43" s="2671">
        <f t="shared" si="5"/>
        <v>0.98039215686274506</v>
      </c>
    </row>
    <row r="44" spans="1:29" ht="15">
      <c r="A44" s="472"/>
      <c r="B44" s="422" t="s">
        <v>2577</v>
      </c>
      <c r="C44" s="460" t="s">
        <v>3220</v>
      </c>
      <c r="D44" s="435">
        <v>100</v>
      </c>
      <c r="E44" s="460" t="s">
        <v>3220</v>
      </c>
      <c r="F44" s="461">
        <f>SUMIF(125:125,E44,126:126)-SUMIF(125:125,C44,126:126)+100</f>
        <v>100</v>
      </c>
      <c r="G44" s="460" t="s">
        <v>3220</v>
      </c>
      <c r="H44" s="435">
        <f>SUMIF(125:125,G44,126:126)-SUMIF(125:125,C44,126:126)+100</f>
        <v>100</v>
      </c>
      <c r="I44" s="460" t="s">
        <v>3220</v>
      </c>
      <c r="J44" s="435">
        <f>SUMIF(125:125,I44,126:126)-SUMIF(125:125,C44,126:126)+100</f>
        <v>100</v>
      </c>
      <c r="K44" s="612">
        <v>1</v>
      </c>
      <c r="L44" s="1138"/>
      <c r="M44" s="1129"/>
      <c r="N44" s="1129"/>
      <c r="O44" s="1129"/>
      <c r="P44" s="3241"/>
      <c r="Q44" s="1808" t="str">
        <f t="shared" si="11"/>
        <v>内部装修维护情况</v>
      </c>
      <c r="R44" s="772" t="s">
        <v>17</v>
      </c>
      <c r="S44" s="773">
        <f t="shared" si="12"/>
        <v>100</v>
      </c>
      <c r="T44" s="772" t="s">
        <v>17</v>
      </c>
      <c r="U44" s="773">
        <f t="shared" si="13"/>
        <v>100</v>
      </c>
      <c r="V44" s="772" t="s">
        <v>17</v>
      </c>
      <c r="W44" s="773">
        <f t="shared" si="14"/>
        <v>100</v>
      </c>
      <c r="X44" s="1811"/>
      <c r="Y44" s="3243"/>
      <c r="Z44" s="1812" t="str">
        <f t="shared" si="15"/>
        <v>内部装修维护情况</v>
      </c>
      <c r="AA44" s="1809">
        <f t="shared" si="3"/>
        <v>1</v>
      </c>
      <c r="AB44" s="1809">
        <f t="shared" si="4"/>
        <v>1</v>
      </c>
      <c r="AC44" s="2671">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41"/>
      <c r="Q45" s="1793">
        <f t="shared" si="11"/>
        <v>111</v>
      </c>
      <c r="R45" s="768" t="s">
        <v>17</v>
      </c>
      <c r="S45" s="769">
        <f t="shared" si="12"/>
        <v>100</v>
      </c>
      <c r="T45" s="768" t="s">
        <v>17</v>
      </c>
      <c r="U45" s="769">
        <f t="shared" si="13"/>
        <v>100</v>
      </c>
      <c r="V45" s="768" t="s">
        <v>17</v>
      </c>
      <c r="W45" s="769">
        <f t="shared" si="14"/>
        <v>100</v>
      </c>
      <c r="X45" s="770"/>
      <c r="Y45" s="3243"/>
      <c r="Z45" s="55">
        <f t="shared" si="15"/>
        <v>111</v>
      </c>
      <c r="AA45" s="771">
        <f t="shared" si="3"/>
        <v>1</v>
      </c>
      <c r="AB45" s="771">
        <f t="shared" si="4"/>
        <v>1</v>
      </c>
      <c r="AC45" s="2668">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41"/>
      <c r="Q46" s="1808">
        <f t="shared" si="11"/>
        <v>111</v>
      </c>
      <c r="R46" s="772" t="s">
        <v>17</v>
      </c>
      <c r="S46" s="773">
        <f t="shared" si="12"/>
        <v>100</v>
      </c>
      <c r="T46" s="772" t="s">
        <v>17</v>
      </c>
      <c r="U46" s="773">
        <f t="shared" si="13"/>
        <v>100</v>
      </c>
      <c r="V46" s="772" t="s">
        <v>17</v>
      </c>
      <c r="W46" s="773">
        <f t="shared" si="14"/>
        <v>100</v>
      </c>
      <c r="X46" s="1811"/>
      <c r="Y46" s="3243"/>
      <c r="Z46" s="1812">
        <f t="shared" si="15"/>
        <v>111</v>
      </c>
      <c r="AA46" s="1809">
        <f t="shared" si="3"/>
        <v>1</v>
      </c>
      <c r="AB46" s="1809">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42"/>
      <c r="Q47" s="1808">
        <f t="shared" si="11"/>
        <v>111</v>
      </c>
      <c r="R47" s="772" t="s">
        <v>17</v>
      </c>
      <c r="S47" s="773">
        <f t="shared" si="12"/>
        <v>100</v>
      </c>
      <c r="T47" s="772" t="s">
        <v>17</v>
      </c>
      <c r="U47" s="773">
        <f t="shared" si="13"/>
        <v>100</v>
      </c>
      <c r="V47" s="772" t="s">
        <v>17</v>
      </c>
      <c r="W47" s="773">
        <f t="shared" si="14"/>
        <v>100</v>
      </c>
      <c r="X47" s="1811"/>
      <c r="Y47" s="3244"/>
      <c r="Z47" s="1812">
        <f t="shared" si="15"/>
        <v>111</v>
      </c>
      <c r="AA47" s="1809">
        <f t="shared" si="3"/>
        <v>1</v>
      </c>
      <c r="AB47" s="1809">
        <f t="shared" si="4"/>
        <v>1</v>
      </c>
      <c r="AC47" s="2671">
        <f t="shared" si="5"/>
        <v>1</v>
      </c>
    </row>
    <row r="48" spans="1:29" ht="15">
      <c r="A48" s="479" t="s">
        <v>2578</v>
      </c>
      <c r="B48" s="480"/>
      <c r="C48" s="1405" t="s">
        <v>1</v>
      </c>
      <c r="D48" s="1406"/>
      <c r="E48" s="1407">
        <v>37000</v>
      </c>
      <c r="F48" s="1408"/>
      <c r="G48" s="1409">
        <v>30000</v>
      </c>
      <c r="H48" s="1410"/>
      <c r="I48" s="1407">
        <v>36000</v>
      </c>
      <c r="J48" s="485"/>
      <c r="K48" s="781"/>
      <c r="L48" s="1141"/>
      <c r="M48" s="1129"/>
      <c r="N48" s="1129"/>
      <c r="O48" s="1129"/>
      <c r="P48" s="3216" t="str">
        <f>A48</f>
        <v>成交单价（元/平方米）</v>
      </c>
      <c r="Q48" s="3245"/>
      <c r="R48" s="3246">
        <f>E48</f>
        <v>37000</v>
      </c>
      <c r="S48" s="3246"/>
      <c r="T48" s="3246">
        <f>G48</f>
        <v>30000</v>
      </c>
      <c r="U48" s="3246"/>
      <c r="V48" s="3246">
        <f>I48</f>
        <v>36000</v>
      </c>
      <c r="W48" s="3246"/>
      <c r="X48" s="446"/>
      <c r="Y48" s="779"/>
      <c r="Z48" s="446"/>
      <c r="AA48" s="446"/>
      <c r="AB48" s="446"/>
      <c r="AC48" s="630"/>
    </row>
    <row r="49" spans="1:29" ht="15.75" thickBot="1">
      <c r="A49" s="486" t="s">
        <v>2670</v>
      </c>
      <c r="B49" s="487"/>
      <c r="C49" s="1411">
        <f>R50</f>
        <v>33628</v>
      </c>
      <c r="D49" s="1412"/>
      <c r="E49" s="1413">
        <f>R49</f>
        <v>34528</v>
      </c>
      <c r="F49" s="1413"/>
      <c r="G49" s="1411">
        <f>T49</f>
        <v>30327</v>
      </c>
      <c r="H49" s="1412"/>
      <c r="I49" s="1413">
        <f>V49</f>
        <v>36029</v>
      </c>
      <c r="J49" s="489"/>
      <c r="K49" s="782"/>
      <c r="L49" s="1141"/>
      <c r="M49" s="1129"/>
      <c r="N49" s="1129"/>
      <c r="O49" s="1129"/>
      <c r="P49" s="3216" t="str">
        <f>A49</f>
        <v>比较价值（元/平方米）</v>
      </c>
      <c r="Q49" s="3245"/>
      <c r="R49" s="3246">
        <f>IF(F1="售价",ROUND(PRODUCT(R48,AA7:AA47),0),ROUND(PRODUCT(R48,AA7:AA47),1))</f>
        <v>34528</v>
      </c>
      <c r="S49" s="3246"/>
      <c r="T49" s="3246">
        <f>IF(F1="售价",ROUND(PRODUCT(T48,AB7:AB47),0),ROUND(PRODUCT(T48,AB7:AB47),1))</f>
        <v>30327</v>
      </c>
      <c r="U49" s="3246"/>
      <c r="V49" s="3246">
        <f>IF(F1="售价",ROUND(PRODUCT(V48,AC7:AC47),0),ROUND(PRODUCT(V48,AC7:AC47),1))</f>
        <v>36029</v>
      </c>
      <c r="W49" s="3246"/>
      <c r="X49" s="446"/>
      <c r="Y49" s="446"/>
      <c r="Z49" s="446"/>
      <c r="AA49" s="446"/>
      <c r="AB49" s="446"/>
      <c r="AC49" s="630"/>
    </row>
    <row r="50" spans="1:29" ht="15.75" thickBot="1">
      <c r="A50" s="492" t="s">
        <v>2671</v>
      </c>
      <c r="B50" s="493"/>
      <c r="C50" s="1415">
        <f>R50</f>
        <v>33628</v>
      </c>
      <c r="D50" s="1415"/>
      <c r="E50" s="1415"/>
      <c r="F50" s="1415"/>
      <c r="G50" s="1415"/>
      <c r="H50" s="1415"/>
      <c r="I50" s="1415"/>
      <c r="J50" s="494"/>
      <c r="K50" s="783"/>
      <c r="L50" s="1141"/>
      <c r="M50" s="1129"/>
      <c r="N50" s="1129"/>
      <c r="O50" s="1129"/>
      <c r="P50" s="3247" t="str">
        <f>A50</f>
        <v>估价对象XX用房的比较价值（楼面单价，元/平方米）</v>
      </c>
      <c r="Q50" s="3248"/>
      <c r="R50" s="3249">
        <f>IF(F1="售价",ROUND(AVERAGE(R49:V49),0),ROUND(AVERAGE(R49:V49),1))</f>
        <v>33628</v>
      </c>
      <c r="S50" s="3249"/>
      <c r="T50" s="3249"/>
      <c r="U50" s="3249"/>
      <c r="V50" s="3249"/>
      <c r="W50" s="3249"/>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f>IF(E48&lt;E49,E49/E48-1,E48/E49-1)</f>
        <v>7.1594068582020443E-2</v>
      </c>
      <c r="F53" s="500" t="str">
        <f>IF(OR(E53&gt;=0.3,E53&lt;=-0.3),"超过30%","")</f>
        <v/>
      </c>
      <c r="G53" s="499">
        <f>IF(G48&lt;G49,G49/G48-1,G48/G49-1)</f>
        <v>1.089999999999991E-2</v>
      </c>
      <c r="H53" s="500" t="str">
        <f>IF(OR(G53&gt;=0.3,G53&lt;=-0.3),"超过30%","")</f>
        <v/>
      </c>
      <c r="I53" s="499">
        <f>IF(I48&lt;I49,I49/I48-1,I48/I49-1)</f>
        <v>8.0555555555550384E-4</v>
      </c>
      <c r="J53" s="500" t="str">
        <f>IF(OR(I53&gt;=0.3,I53&lt;=-0.3),"超过30%","")</f>
        <v/>
      </c>
      <c r="K53" s="1103"/>
      <c r="L53" s="1104"/>
      <c r="M53" s="1142"/>
      <c r="N53" s="1142"/>
      <c r="O53" s="1142"/>
    </row>
    <row r="54" spans="1:29" ht="13.5" customHeight="1">
      <c r="A54" s="1142"/>
      <c r="B54" s="1142"/>
      <c r="C54" s="497" t="s">
        <v>2673</v>
      </c>
      <c r="D54" s="501"/>
      <c r="E54" s="499">
        <f>IF(E49&lt;G49,G49/E49-1,E49/G49-1)</f>
        <v>0.13852342796847683</v>
      </c>
      <c r="F54" s="500" t="str">
        <f>IF(OR(E54&gt;=0.2,E54&lt;=-0.2),"超过20%","")</f>
        <v/>
      </c>
      <c r="G54" s="499">
        <f>IF(G49&lt;I49,I49/G49-1,G49/I49-1)</f>
        <v>0.18801727833283866</v>
      </c>
      <c r="H54" s="500" t="str">
        <f>IF(OR(G54&gt;=0.2,G54&lt;=-0.2),"超过20%","")</f>
        <v/>
      </c>
      <c r="I54" s="499">
        <f>IF(I49&lt;E49,E49/I49-1,I49/E49-1)</f>
        <v>4.3471964782205719E-2</v>
      </c>
      <c r="J54" s="500" t="str">
        <f>IF(OR(I54&gt;=0.2,I54&lt;=-0.2),"超过20%","")</f>
        <v/>
      </c>
      <c r="K54" s="1103"/>
      <c r="L54" s="1104"/>
      <c r="M54" s="1142"/>
      <c r="N54" s="1142"/>
      <c r="O54" s="1142"/>
    </row>
    <row r="55" spans="1:29" s="502" customFormat="1" ht="13.5" customHeight="1">
      <c r="A55" s="1143"/>
      <c r="B55" s="1143"/>
      <c r="C55" s="497" t="s">
        <v>2674</v>
      </c>
      <c r="D55" s="501"/>
      <c r="E55" s="499">
        <f>IF(E48&lt;G48,G48/E48-1,E48/G48-1)</f>
        <v>0.23333333333333339</v>
      </c>
      <c r="F55" s="500" t="str">
        <f>IF(OR(E55&gt;=0.3,E55&lt;=-0.3),"超过30%","")</f>
        <v/>
      </c>
      <c r="G55" s="499">
        <f>IF(G48&lt;I48,I48/G48-1,G48/I48-1)</f>
        <v>0.19999999999999996</v>
      </c>
      <c r="H55" s="500" t="str">
        <f>IF(OR(G55&gt;=0.3,G55&lt;=-0.3),"超过30%","")</f>
        <v/>
      </c>
      <c r="I55" s="499">
        <f>IF(I48&lt;E48,E48/I48-1,I48/E48-1)</f>
        <v>2.7777777777777679E-2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78"/>
      <c r="Q58" s="504"/>
    </row>
    <row r="59" spans="1:29" s="508" customFormat="1" ht="15">
      <c r="A59" s="505" t="s">
        <v>2549</v>
      </c>
      <c r="B59" s="506"/>
      <c r="C59" s="1572" t="str">
        <f>YEAR(C7)&amp;"-"&amp;MONTH(C7)</f>
        <v>2019-5</v>
      </c>
      <c r="D59" s="1573">
        <f>EDATE(C59,-1)</f>
        <v>43556</v>
      </c>
      <c r="E59" s="1573">
        <f>EDATE(D59,-1)</f>
        <v>43525</v>
      </c>
      <c r="F59" s="1573">
        <f t="shared" ref="F59:O59" si="16">EDATE(E59,-1)</f>
        <v>43497</v>
      </c>
      <c r="G59" s="1573">
        <f t="shared" si="16"/>
        <v>43466</v>
      </c>
      <c r="H59" s="1573">
        <f t="shared" si="16"/>
        <v>43435</v>
      </c>
      <c r="I59" s="1573">
        <f t="shared" si="16"/>
        <v>43405</v>
      </c>
      <c r="J59" s="1573">
        <f t="shared" si="16"/>
        <v>43374</v>
      </c>
      <c r="K59" s="1573">
        <f t="shared" si="16"/>
        <v>43344</v>
      </c>
      <c r="L59" s="1573">
        <f t="shared" si="16"/>
        <v>43313</v>
      </c>
      <c r="M59" s="1573">
        <f t="shared" si="16"/>
        <v>43282</v>
      </c>
      <c r="N59" s="1573">
        <f t="shared" si="16"/>
        <v>43252</v>
      </c>
      <c r="O59" s="1573">
        <f t="shared" si="16"/>
        <v>43221</v>
      </c>
      <c r="P59" s="1569"/>
    </row>
    <row r="60" spans="1:29" s="117" customFormat="1" ht="15">
      <c r="A60" s="509"/>
      <c r="B60" s="510"/>
      <c r="C60" s="1571">
        <v>100</v>
      </c>
      <c r="D60" s="512"/>
      <c r="E60" s="512"/>
      <c r="F60" s="512"/>
      <c r="G60" s="512"/>
      <c r="H60" s="512"/>
      <c r="I60" s="512"/>
      <c r="J60" s="512"/>
      <c r="K60" s="512"/>
      <c r="L60" s="512"/>
      <c r="M60" s="513"/>
      <c r="N60" s="512"/>
      <c r="O60" s="513"/>
      <c r="P60" s="2679"/>
    </row>
    <row r="61" spans="1:29" s="117" customFormat="1" ht="15.75" thickBot="1">
      <c r="A61" s="515" t="s">
        <v>2586</v>
      </c>
      <c r="B61" s="516"/>
      <c r="C61" s="517"/>
      <c r="D61" s="518"/>
      <c r="E61" s="518"/>
      <c r="F61" s="518"/>
      <c r="G61" s="518"/>
      <c r="H61" s="518"/>
      <c r="I61" s="518"/>
      <c r="J61" s="518"/>
      <c r="K61" s="518"/>
      <c r="L61" s="518"/>
      <c r="M61" s="519"/>
      <c r="N61" s="518"/>
      <c r="O61" s="519"/>
      <c r="P61" s="2679"/>
      <c r="Q61" s="504"/>
    </row>
    <row r="62" spans="1:29" s="117" customFormat="1" ht="15">
      <c r="A62" s="521" t="s">
        <v>2551</v>
      </c>
      <c r="B62" s="510"/>
      <c r="C62" s="522" t="s">
        <v>2653</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2589</v>
      </c>
      <c r="B64" s="528" t="s">
        <v>2555</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1"/>
      <c r="Q67" s="504"/>
    </row>
    <row r="68" spans="1:17" ht="15.75" thickTop="1">
      <c r="A68" s="534"/>
      <c r="B68" s="546" t="s">
        <v>2559</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1"/>
      <c r="Q68" s="504"/>
    </row>
    <row r="69" spans="1:17" ht="15">
      <c r="A69" s="534"/>
      <c r="B69" s="548"/>
      <c r="C69" s="549">
        <v>1</v>
      </c>
      <c r="D69" s="549">
        <v>2</v>
      </c>
      <c r="E69" s="549">
        <v>3</v>
      </c>
      <c r="F69" s="549">
        <v>4</v>
      </c>
      <c r="G69" s="549">
        <v>5</v>
      </c>
      <c r="H69" s="549"/>
      <c r="I69" s="549"/>
      <c r="J69" s="549"/>
      <c r="K69" s="550"/>
      <c r="L69" s="551"/>
      <c r="M69" s="552"/>
      <c r="N69" s="1150"/>
      <c r="O69" s="1150"/>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thickTop="1">
      <c r="A71" s="553"/>
      <c r="B71" s="538">
        <f>B12</f>
        <v>111</v>
      </c>
      <c r="C71" s="554"/>
      <c r="D71" s="554"/>
      <c r="E71" s="554"/>
      <c r="F71" s="554"/>
      <c r="G71" s="554"/>
      <c r="H71" s="555"/>
      <c r="I71" s="555"/>
      <c r="J71" s="555"/>
      <c r="K71" s="555"/>
      <c r="L71" s="556"/>
      <c r="M71" s="557"/>
      <c r="N71" s="1152"/>
      <c r="O71" s="1152"/>
      <c r="P71" s="2682"/>
      <c r="Q71" s="559"/>
    </row>
    <row r="72" spans="1:17" s="471" customFormat="1" ht="15.75" thickBot="1">
      <c r="A72" s="553"/>
      <c r="B72" s="543"/>
      <c r="C72" s="560"/>
      <c r="D72" s="536"/>
      <c r="E72" s="536"/>
      <c r="F72" s="536"/>
      <c r="G72" s="536"/>
      <c r="H72" s="536"/>
      <c r="I72" s="536"/>
      <c r="J72" s="536"/>
      <c r="K72" s="536"/>
      <c r="L72" s="536"/>
      <c r="M72" s="537"/>
      <c r="N72" s="1151"/>
      <c r="O72" s="1151"/>
      <c r="P72" s="2682"/>
      <c r="Q72" s="559"/>
    </row>
    <row r="73" spans="1:17" s="471" customFormat="1" ht="15.75" thickTop="1">
      <c r="A73" s="553"/>
      <c r="B73" s="538">
        <f>B13</f>
        <v>111</v>
      </c>
      <c r="C73" s="554"/>
      <c r="D73" s="554"/>
      <c r="E73" s="554"/>
      <c r="F73" s="554"/>
      <c r="G73" s="554"/>
      <c r="H73" s="555"/>
      <c r="I73" s="555"/>
      <c r="J73" s="555"/>
      <c r="K73" s="555"/>
      <c r="L73" s="556"/>
      <c r="M73" s="557"/>
      <c r="N73" s="1152"/>
      <c r="O73" s="1152"/>
      <c r="P73" s="2683"/>
      <c r="Q73" s="561"/>
    </row>
    <row r="74" spans="1:17" s="471" customFormat="1" ht="15.75" thickBot="1">
      <c r="A74" s="553"/>
      <c r="B74" s="543"/>
      <c r="C74" s="560"/>
      <c r="D74" s="560"/>
      <c r="E74" s="560"/>
      <c r="F74" s="560"/>
      <c r="G74" s="560"/>
      <c r="H74" s="562"/>
      <c r="I74" s="562"/>
      <c r="J74" s="562"/>
      <c r="K74" s="562"/>
      <c r="L74" s="562"/>
      <c r="M74" s="563"/>
      <c r="N74" s="1152"/>
      <c r="O74" s="1152"/>
      <c r="P74" s="2682"/>
      <c r="Q74" s="559"/>
    </row>
    <row r="75" spans="1:17" s="471" customFormat="1" ht="15.75" thickTop="1">
      <c r="A75" s="553"/>
      <c r="B75" s="546">
        <f>B14</f>
        <v>111</v>
      </c>
      <c r="C75" s="523"/>
      <c r="D75" s="523"/>
      <c r="E75" s="523"/>
      <c r="F75" s="523"/>
      <c r="G75" s="523"/>
      <c r="H75" s="564"/>
      <c r="I75" s="564"/>
      <c r="J75" s="564"/>
      <c r="K75" s="564"/>
      <c r="L75" s="565"/>
      <c r="M75" s="566"/>
      <c r="N75" s="1152"/>
      <c r="O75" s="1152"/>
      <c r="P75" s="2684"/>
      <c r="Q75" s="559"/>
    </row>
    <row r="76" spans="1:17" s="471" customFormat="1" ht="15.75" thickBot="1">
      <c r="A76" s="568"/>
      <c r="B76" s="569"/>
      <c r="C76" s="570"/>
      <c r="D76" s="570"/>
      <c r="E76" s="570"/>
      <c r="F76" s="570"/>
      <c r="G76" s="570"/>
      <c r="H76" s="571"/>
      <c r="I76" s="571"/>
      <c r="J76" s="571"/>
      <c r="K76" s="571"/>
      <c r="L76" s="571"/>
      <c r="M76" s="572"/>
      <c r="N76" s="1152"/>
      <c r="O76" s="1152"/>
      <c r="P76" s="268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1"/>
      <c r="O78" s="1151"/>
      <c r="P78" s="268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1"/>
      <c r="O82" s="1151"/>
      <c r="P82" s="2681"/>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1"/>
      <c r="O84" s="1151"/>
      <c r="P84" s="268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2700</v>
      </c>
      <c r="C87" s="2978" t="s">
        <v>3187</v>
      </c>
      <c r="D87" s="2978" t="s">
        <v>3188</v>
      </c>
      <c r="E87" s="2978" t="s">
        <v>3189</v>
      </c>
      <c r="F87" s="2978" t="s">
        <v>3190</v>
      </c>
      <c r="G87" s="2978" t="s">
        <v>3191</v>
      </c>
      <c r="H87" s="554"/>
      <c r="I87" s="554"/>
      <c r="J87" s="554"/>
      <c r="K87" s="554"/>
      <c r="L87" s="580"/>
      <c r="M87" s="581"/>
      <c r="N87" s="1149"/>
      <c r="O87" s="1149"/>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1"/>
      <c r="Q88" s="504"/>
    </row>
    <row r="89" spans="1:17" s="117" customFormat="1" ht="15.75" thickTop="1">
      <c r="A89" s="579"/>
      <c r="B89" s="538" t="str">
        <f>B27</f>
        <v>楼层</v>
      </c>
      <c r="C89" s="2978" t="s">
        <v>3192</v>
      </c>
      <c r="D89" s="2978" t="s">
        <v>3193</v>
      </c>
      <c r="E89" s="2978" t="s">
        <v>3194</v>
      </c>
      <c r="F89" s="2632"/>
      <c r="G89" s="554"/>
      <c r="H89" s="554"/>
      <c r="I89" s="554"/>
      <c r="J89" s="554"/>
      <c r="K89" s="554"/>
      <c r="L89" s="554"/>
      <c r="M89" s="581"/>
      <c r="N89" s="1149"/>
      <c r="O89" s="1149"/>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1"/>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thickTop="1">
      <c r="A93" s="534"/>
      <c r="B93" s="538">
        <f>B29</f>
        <v>111</v>
      </c>
      <c r="C93" s="554"/>
      <c r="D93" s="554"/>
      <c r="E93" s="554"/>
      <c r="F93" s="554"/>
      <c r="G93" s="554"/>
      <c r="H93" s="554"/>
      <c r="I93" s="554"/>
      <c r="J93" s="554"/>
      <c r="K93" s="554"/>
      <c r="L93" s="580"/>
      <c r="M93" s="581"/>
      <c r="N93" s="1150"/>
      <c r="O93" s="1150"/>
      <c r="P93" s="2681"/>
      <c r="Q93" s="504"/>
    </row>
    <row r="94" spans="1:17" ht="15.75" thickBot="1">
      <c r="A94" s="534"/>
      <c r="B94" s="543"/>
      <c r="C94" s="560"/>
      <c r="D94" s="536"/>
      <c r="E94" s="536"/>
      <c r="F94" s="536"/>
      <c r="G94" s="536"/>
      <c r="H94" s="536"/>
      <c r="I94" s="536"/>
      <c r="J94" s="536"/>
      <c r="K94" s="536"/>
      <c r="L94" s="536"/>
      <c r="M94" s="537"/>
      <c r="N94" s="1151"/>
      <c r="O94" s="1151"/>
      <c r="P94" s="2681"/>
      <c r="Q94" s="504"/>
    </row>
    <row r="95" spans="1:17" ht="15.75" thickTop="1">
      <c r="A95" s="534"/>
      <c r="B95" s="538">
        <f>B30</f>
        <v>111</v>
      </c>
      <c r="C95" s="554"/>
      <c r="D95" s="554"/>
      <c r="E95" s="554"/>
      <c r="F95" s="554"/>
      <c r="G95" s="583"/>
      <c r="H95" s="583"/>
      <c r="I95" s="583"/>
      <c r="J95" s="583"/>
      <c r="K95" s="584"/>
      <c r="L95" s="585"/>
      <c r="M95" s="586"/>
      <c r="N95" s="1150"/>
      <c r="O95" s="1150"/>
      <c r="P95" s="2681"/>
      <c r="Q95" s="504"/>
    </row>
    <row r="96" spans="1:17" ht="15.75" thickBot="1">
      <c r="A96" s="534"/>
      <c r="B96" s="543"/>
      <c r="C96" s="560"/>
      <c r="D96" s="560"/>
      <c r="E96" s="560"/>
      <c r="F96" s="560"/>
      <c r="G96" s="536"/>
      <c r="H96" s="536"/>
      <c r="I96" s="536"/>
      <c r="J96" s="536"/>
      <c r="K96" s="536"/>
      <c r="L96" s="536"/>
      <c r="M96" s="537"/>
      <c r="N96" s="1151"/>
      <c r="O96" s="1151"/>
      <c r="P96" s="2681"/>
      <c r="Q96" s="504"/>
    </row>
    <row r="97" spans="1:17" ht="15.75" thickTop="1">
      <c r="A97" s="534"/>
      <c r="B97" s="538">
        <f>B31</f>
        <v>111</v>
      </c>
      <c r="C97" s="554"/>
      <c r="D97" s="554"/>
      <c r="E97" s="554"/>
      <c r="F97" s="554"/>
      <c r="G97" s="583"/>
      <c r="H97" s="583"/>
      <c r="I97" s="583"/>
      <c r="J97" s="583"/>
      <c r="K97" s="584"/>
      <c r="L97" s="585"/>
      <c r="M97" s="586"/>
      <c r="N97" s="1150"/>
      <c r="O97" s="1150"/>
      <c r="P97" s="2681"/>
      <c r="Q97" s="504"/>
    </row>
    <row r="98" spans="1:17" ht="15.75" thickBot="1">
      <c r="A98" s="534"/>
      <c r="B98" s="543"/>
      <c r="C98" s="560"/>
      <c r="D98" s="536"/>
      <c r="E98" s="536"/>
      <c r="F98" s="536"/>
      <c r="G98" s="536"/>
      <c r="H98" s="536"/>
      <c r="I98" s="536"/>
      <c r="J98" s="536"/>
      <c r="K98" s="536"/>
      <c r="L98" s="536"/>
      <c r="M98" s="537"/>
      <c r="N98" s="1151"/>
      <c r="O98" s="1151"/>
      <c r="P98" s="2681"/>
      <c r="Q98" s="504"/>
    </row>
    <row r="99" spans="1:17" ht="15.75" thickTop="1">
      <c r="A99" s="534"/>
      <c r="B99" s="546">
        <f>B32</f>
        <v>111</v>
      </c>
      <c r="C99" s="523"/>
      <c r="D99" s="523"/>
      <c r="E99" s="523"/>
      <c r="F99" s="523"/>
      <c r="G99" s="587"/>
      <c r="H99" s="587"/>
      <c r="I99" s="587"/>
      <c r="J99" s="587"/>
      <c r="K99" s="588"/>
      <c r="L99" s="589"/>
      <c r="M99" s="590"/>
      <c r="N99" s="1150"/>
      <c r="O99" s="1150"/>
      <c r="P99" s="2681"/>
      <c r="Q99" s="504"/>
    </row>
    <row r="100" spans="1:17" ht="15.75" thickBot="1">
      <c r="A100" s="2633"/>
      <c r="B100" s="569"/>
      <c r="C100" s="570"/>
      <c r="D100" s="570"/>
      <c r="E100" s="570"/>
      <c r="F100" s="570"/>
      <c r="G100" s="591"/>
      <c r="H100" s="591"/>
      <c r="I100" s="591"/>
      <c r="J100" s="591"/>
      <c r="K100" s="591"/>
      <c r="L100" s="591"/>
      <c r="M100" s="592"/>
      <c r="N100" s="1151"/>
      <c r="O100" s="1151"/>
      <c r="P100" s="2681"/>
      <c r="Q100" s="504"/>
    </row>
    <row r="101" spans="1:17">
      <c r="A101" s="527" t="s">
        <v>2564</v>
      </c>
      <c r="B101" s="528" t="s">
        <v>2613</v>
      </c>
      <c r="C101" s="2979" t="s">
        <v>3195</v>
      </c>
      <c r="D101" s="2979" t="s">
        <v>3196</v>
      </c>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1"/>
      <c r="O102" s="1151"/>
      <c r="P102" s="2681"/>
      <c r="Q102" s="504"/>
    </row>
    <row r="103" spans="1:17" ht="29.25" thickTop="1">
      <c r="A103" s="534"/>
      <c r="B103" s="538" t="s">
        <v>2614</v>
      </c>
      <c r="C103" s="578" t="str">
        <f>C104&amp;"(含)"&amp;"-"&amp;D104</f>
        <v>0(含)-300</v>
      </c>
      <c r="D103" s="578" t="str">
        <f t="shared" ref="D103:L103" si="23">D104&amp;"(含)"&amp;"-"&amp;E104</f>
        <v>300(含)-800</v>
      </c>
      <c r="E103" s="578" t="str">
        <f t="shared" si="23"/>
        <v>800(含)-1300</v>
      </c>
      <c r="F103" s="578" t="str">
        <f t="shared" si="23"/>
        <v>1300(含)-1800</v>
      </c>
      <c r="G103" s="578" t="str">
        <f t="shared" si="23"/>
        <v>1800(含)-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1"/>
      <c r="Q103" s="504"/>
    </row>
    <row r="104" spans="1:17" s="471" customFormat="1">
      <c r="A104" s="593"/>
      <c r="B104" s="594"/>
      <c r="C104" s="595">
        <v>0</v>
      </c>
      <c r="D104" s="595">
        <v>300</v>
      </c>
      <c r="E104" s="595">
        <v>800</v>
      </c>
      <c r="F104" s="595">
        <v>1300</v>
      </c>
      <c r="G104" s="595">
        <v>1800</v>
      </c>
      <c r="H104" s="595"/>
      <c r="I104" s="595"/>
      <c r="J104" s="596"/>
      <c r="K104" s="596"/>
      <c r="L104" s="597"/>
      <c r="M104" s="598"/>
      <c r="N104" s="1152"/>
      <c r="O104" s="1152"/>
      <c r="P104" s="2682"/>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1"/>
      <c r="O105" s="1151"/>
      <c r="P105" s="2682"/>
      <c r="Q105" s="559"/>
    </row>
    <row r="106" spans="1:17" ht="15" thickTop="1">
      <c r="A106" s="599"/>
      <c r="B106" s="538" t="s">
        <v>2615</v>
      </c>
      <c r="C106" s="2987" t="s">
        <v>3228</v>
      </c>
      <c r="D106" s="2978"/>
      <c r="E106" s="2978"/>
      <c r="F106" s="2980"/>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2617</v>
      </c>
      <c r="C108" s="2978" t="s">
        <v>3197</v>
      </c>
      <c r="D108" s="2978" t="s">
        <v>3198</v>
      </c>
      <c r="E108" s="2978" t="s">
        <v>3199</v>
      </c>
      <c r="F108" s="2980" t="s">
        <v>3200</v>
      </c>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1"/>
      <c r="Q112" s="504"/>
    </row>
    <row r="113" spans="1:17" s="471" customFormat="1" ht="15" thickTop="1">
      <c r="A113" s="593"/>
      <c r="B113" s="538" t="s">
        <v>2701</v>
      </c>
      <c r="C113" s="2978" t="s">
        <v>3201</v>
      </c>
      <c r="D113" s="2978" t="s">
        <v>3202</v>
      </c>
      <c r="E113" s="2978" t="s">
        <v>3203</v>
      </c>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2"/>
      <c r="Q114" s="559"/>
    </row>
    <row r="115" spans="1:17" ht="15" thickTop="1">
      <c r="A115" s="599"/>
      <c r="B115" s="538" t="s">
        <v>2618</v>
      </c>
      <c r="C115" s="2978" t="s">
        <v>3204</v>
      </c>
      <c r="D115" s="2978" t="s">
        <v>3205</v>
      </c>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2619</v>
      </c>
      <c r="C117" s="2978" t="s">
        <v>3206</v>
      </c>
      <c r="D117" s="2978" t="s">
        <v>3207</v>
      </c>
      <c r="E117" s="2978" t="s">
        <v>3208</v>
      </c>
      <c r="F117" s="2978" t="s">
        <v>3209</v>
      </c>
      <c r="G117" s="2978" t="s">
        <v>3210</v>
      </c>
      <c r="H117" s="583"/>
      <c r="I117" s="583"/>
      <c r="J117" s="583"/>
      <c r="K117" s="584"/>
      <c r="L117" s="585"/>
      <c r="M117" s="586"/>
      <c r="N117" s="1150"/>
      <c r="O117" s="1150"/>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1"/>
      <c r="Q118" s="504"/>
    </row>
    <row r="119" spans="1:17" ht="15" thickTop="1">
      <c r="A119" s="599"/>
      <c r="B119" s="636" t="s">
        <v>2702</v>
      </c>
      <c r="C119" s="2980" t="s">
        <v>3211</v>
      </c>
      <c r="D119" s="2980" t="s">
        <v>3212</v>
      </c>
      <c r="E119" s="583"/>
      <c r="F119" s="583"/>
      <c r="G119" s="583"/>
      <c r="H119" s="583"/>
      <c r="I119" s="583"/>
      <c r="J119" s="583"/>
      <c r="K119" s="583"/>
      <c r="L119" s="2686"/>
      <c r="M119" s="2687"/>
      <c r="N119" s="1151"/>
      <c r="O119" s="1151"/>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2"/>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2621</v>
      </c>
      <c r="C123" s="2978" t="s">
        <v>3197</v>
      </c>
      <c r="D123" s="2978" t="s">
        <v>3198</v>
      </c>
      <c r="E123" s="2978" t="s">
        <v>3199</v>
      </c>
      <c r="F123" s="2980" t="s">
        <v>3200</v>
      </c>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1"/>
      <c r="O126" s="1151"/>
      <c r="P126" s="2681"/>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2"/>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2"/>
      <c r="Q128" s="559"/>
    </row>
    <row r="129" spans="1:17" ht="15" thickTop="1">
      <c r="A129" s="599"/>
      <c r="B129" s="538">
        <f>B46</f>
        <v>111</v>
      </c>
      <c r="C129" s="554"/>
      <c r="D129" s="554"/>
      <c r="E129" s="554"/>
      <c r="F129" s="554"/>
      <c r="G129" s="583"/>
      <c r="H129" s="583"/>
      <c r="I129" s="583"/>
      <c r="J129" s="583"/>
      <c r="K129" s="584"/>
      <c r="L129" s="585"/>
      <c r="M129" s="586"/>
      <c r="N129" s="1150"/>
      <c r="O129" s="1150"/>
      <c r="P129" s="2681"/>
      <c r="Q129" s="504"/>
    </row>
    <row r="130" spans="1:17" ht="15.75" thickBot="1">
      <c r="A130" s="534"/>
      <c r="B130" s="543"/>
      <c r="C130" s="560"/>
      <c r="D130" s="560"/>
      <c r="E130" s="560"/>
      <c r="F130" s="560"/>
      <c r="G130" s="536"/>
      <c r="H130" s="536"/>
      <c r="I130" s="536"/>
      <c r="J130" s="536"/>
      <c r="K130" s="536"/>
      <c r="L130" s="536"/>
      <c r="M130" s="537"/>
      <c r="N130" s="1151"/>
      <c r="O130" s="1151"/>
      <c r="P130" s="2681"/>
      <c r="Q130" s="504"/>
    </row>
    <row r="131" spans="1:17" ht="15" thickTop="1">
      <c r="A131" s="599"/>
      <c r="B131" s="546">
        <f>B47</f>
        <v>111</v>
      </c>
      <c r="C131" s="523"/>
      <c r="D131" s="523"/>
      <c r="E131" s="523"/>
      <c r="F131" s="523"/>
      <c r="G131" s="587"/>
      <c r="H131" s="587"/>
      <c r="I131" s="587"/>
      <c r="J131" s="587"/>
      <c r="K131" s="523"/>
      <c r="L131" s="524"/>
      <c r="M131" s="590"/>
      <c r="N131" s="1150"/>
      <c r="O131" s="1150"/>
      <c r="P131" s="2681"/>
      <c r="Q131" s="504"/>
    </row>
    <row r="132" spans="1:17" ht="15.75" thickBot="1">
      <c r="A132" s="2633"/>
      <c r="B132" s="569"/>
      <c r="C132" s="570"/>
      <c r="D132" s="570"/>
      <c r="E132" s="570"/>
      <c r="F132" s="570"/>
      <c r="G132" s="591"/>
      <c r="H132" s="591"/>
      <c r="I132" s="591"/>
      <c r="J132" s="591"/>
      <c r="K132" s="591"/>
      <c r="L132" s="591"/>
      <c r="M132" s="592"/>
      <c r="N132" s="1151"/>
      <c r="O132" s="1151"/>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3" sqref="N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3007</v>
      </c>
      <c r="C1" s="3251" t="s">
        <v>3008</v>
      </c>
      <c r="D1" s="3252"/>
      <c r="E1" s="3252"/>
      <c r="F1" s="3252"/>
      <c r="G1" s="3252"/>
      <c r="H1" s="3252"/>
      <c r="I1" s="3252"/>
      <c r="J1" s="3252"/>
      <c r="K1" s="3252"/>
      <c r="L1" s="3252"/>
      <c r="M1" s="3252"/>
      <c r="N1" s="3252"/>
      <c r="O1" s="3252"/>
      <c r="P1" s="3252"/>
      <c r="Q1" s="3252"/>
      <c r="R1" s="3252"/>
      <c r="S1" s="3253"/>
      <c r="T1" s="1202" t="s">
        <v>3009</v>
      </c>
    </row>
    <row r="2" spans="1:45" s="707" customFormat="1" ht="38.25">
      <c r="A2" s="1203"/>
      <c r="B2" s="703" t="s">
        <v>3010</v>
      </c>
      <c r="C2" s="704" t="str">
        <f t="shared" ref="C2:L2" si="0">C3&amp;"(含)"&amp;"-"&amp;D3</f>
        <v>0(含)-300</v>
      </c>
      <c r="D2" s="705" t="str">
        <f t="shared" si="0"/>
        <v>300(含)-800</v>
      </c>
      <c r="E2" s="705" t="str">
        <f t="shared" si="0"/>
        <v>800(含)-1300</v>
      </c>
      <c r="F2" s="705" t="str">
        <f t="shared" si="0"/>
        <v>1300(含)-1800</v>
      </c>
      <c r="G2" s="705" t="str">
        <f t="shared" si="0"/>
        <v>1800(含)-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300</v>
      </c>
      <c r="E3" s="595">
        <v>800</v>
      </c>
      <c r="F3" s="595">
        <v>1300</v>
      </c>
      <c r="G3" s="595">
        <v>1800</v>
      </c>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98</v>
      </c>
      <c r="E4" s="536">
        <v>100</v>
      </c>
      <c r="F4" s="536">
        <v>98</v>
      </c>
      <c r="G4" s="536">
        <v>96</v>
      </c>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3011</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3012</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3013</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3014</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3015</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3016</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3017</v>
      </c>
      <c r="B17" s="2906" t="s">
        <v>3018</v>
      </c>
      <c r="C17" s="2988" t="s">
        <v>3229</v>
      </c>
      <c r="D17" s="2989" t="s">
        <v>3230</v>
      </c>
      <c r="E17" s="2989" t="s">
        <v>3231</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3019</v>
      </c>
      <c r="E19" s="1790"/>
      <c r="F19" s="1790"/>
      <c r="G19" s="1790"/>
      <c r="H19" s="1278"/>
      <c r="I19" s="168"/>
      <c r="J19" s="168"/>
      <c r="K19" s="168"/>
      <c r="L19" s="168"/>
      <c r="M19" s="168"/>
      <c r="N19" s="168"/>
      <c r="O19" s="168"/>
      <c r="P19" s="168"/>
      <c r="Q19" s="168"/>
      <c r="R19" s="786"/>
      <c r="S19" s="138"/>
    </row>
    <row r="20" spans="1:45" ht="16.5" thickBot="1">
      <c r="A20" s="713" t="s">
        <v>3020</v>
      </c>
      <c r="B20" s="338">
        <f>IF(D20="——",S22,S22-F20)</f>
        <v>66338</v>
      </c>
      <c r="C20" s="168"/>
      <c r="D20" s="2908" t="s">
        <v>70</v>
      </c>
      <c r="E20" s="1791"/>
      <c r="F20" s="1202" t="e">
        <f ca="1">SUMIF(INDIRECT("'"&amp;H20&amp;"'"&amp;"!A:A"),"承租人权益价值",INDIRECT("'"&amp;H20&amp;"'"&amp;"!c:c"))</f>
        <v>#REF!</v>
      </c>
      <c r="G20" s="1202" t="s">
        <v>3021</v>
      </c>
      <c r="H20" s="2909"/>
      <c r="I20" s="168"/>
      <c r="J20" s="168"/>
      <c r="K20" s="168"/>
      <c r="L20" s="168"/>
      <c r="M20" s="168"/>
      <c r="N20" s="168"/>
      <c r="O20" s="168"/>
      <c r="P20" s="168"/>
      <c r="Q20" s="168"/>
      <c r="R20" s="786"/>
      <c r="S20" s="138"/>
    </row>
    <row r="21" spans="1:45" ht="15.75">
      <c r="A21" s="713" t="s">
        <v>3022</v>
      </c>
      <c r="B21" s="338">
        <f>R22</f>
        <v>33611</v>
      </c>
      <c r="C21" s="168"/>
      <c r="D21" s="168"/>
      <c r="E21" s="168"/>
      <c r="F21" s="168"/>
      <c r="G21" s="168"/>
      <c r="H21" s="168"/>
      <c r="I21" s="168"/>
      <c r="J21" s="168"/>
      <c r="K21" s="168"/>
      <c r="L21" s="168"/>
      <c r="M21" s="168"/>
      <c r="N21" s="168"/>
      <c r="O21" s="168"/>
      <c r="P21" s="168"/>
      <c r="Q21" s="168"/>
      <c r="R21" s="786"/>
      <c r="S21" s="138"/>
    </row>
    <row r="22" spans="1:45">
      <c r="A22" s="361" t="s">
        <v>3023</v>
      </c>
      <c r="B22" s="24">
        <f>SUM(B24:B10000)</f>
        <v>19736.879999999997</v>
      </c>
      <c r="C22" s="3106" t="s">
        <v>33</v>
      </c>
      <c r="D22" s="3107"/>
      <c r="E22" s="3107"/>
      <c r="F22" s="3107"/>
      <c r="G22" s="3107"/>
      <c r="H22" s="3107"/>
      <c r="I22" s="3107"/>
      <c r="J22" s="3107"/>
      <c r="K22" s="3107"/>
      <c r="L22" s="3107"/>
      <c r="M22" s="3107"/>
      <c r="N22" s="3107"/>
      <c r="O22" s="3107"/>
      <c r="P22" s="3107"/>
      <c r="Q22" s="3250"/>
      <c r="R22" s="714">
        <f>ROUND(S22*10000/B22,0)</f>
        <v>33611</v>
      </c>
      <c r="S22" s="24">
        <f>SUM(S24:S10000)</f>
        <v>66338</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f>'比较法-办公'!C34</f>
        <v>1559.3</v>
      </c>
      <c r="C24" s="717">
        <v>1</v>
      </c>
      <c r="D24" s="718"/>
      <c r="E24" s="717">
        <v>1</v>
      </c>
      <c r="F24" s="718"/>
      <c r="G24" s="717">
        <v>1</v>
      </c>
      <c r="H24" s="718"/>
      <c r="I24" s="717">
        <v>1</v>
      </c>
      <c r="J24" s="718"/>
      <c r="K24" s="717">
        <v>1</v>
      </c>
      <c r="L24" s="718"/>
      <c r="M24" s="717">
        <v>1</v>
      </c>
      <c r="N24" s="718"/>
      <c r="O24" s="717">
        <v>1</v>
      </c>
      <c r="P24" s="718" t="s">
        <v>3193</v>
      </c>
      <c r="Q24" s="717">
        <v>1</v>
      </c>
      <c r="R24" s="719">
        <f>'比较法-办公'!B3</f>
        <v>33628</v>
      </c>
      <c r="S24" s="717">
        <f t="shared" ref="S24:S54" si="11">ROUND(R24*B24/10000,0)</f>
        <v>5244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v>1394.44</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3194</v>
      </c>
      <c r="Q25" s="24">
        <f>(SUMIF($17:$17,P25,$18:$18)-SUMIF($17:$17,$P$24,$18:$18)+100)/100</f>
        <v>0.98</v>
      </c>
      <c r="R25" s="714">
        <f>IF(B25="",0,ROUND($R$24*C25*E25*G25*I25*K25*M25*O25*Q25,0))</f>
        <v>32955</v>
      </c>
      <c r="S25" s="361">
        <f t="shared" si="11"/>
        <v>4595</v>
      </c>
    </row>
    <row r="26" spans="1:45">
      <c r="A26" s="159"/>
      <c r="B26" s="59">
        <v>1559.3</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3194</v>
      </c>
      <c r="Q26" s="24">
        <f t="shared" ref="Q26:Q89" si="19">(SUMIF($17:$17,P26,$18:$18)-SUMIF($17:$17,$P$24,$18:$18)+100)/100</f>
        <v>0.98</v>
      </c>
      <c r="R26" s="714">
        <f t="shared" ref="R26:R89" si="20">IF(B26="",0,ROUND($R$24*C26*E26*G26*I26*K26*M26*O26*Q26,0))</f>
        <v>32955</v>
      </c>
      <c r="S26" s="361">
        <f t="shared" si="11"/>
        <v>5139</v>
      </c>
    </row>
    <row r="27" spans="1:45">
      <c r="A27" s="159"/>
      <c r="B27" s="59">
        <v>1559.3</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3194</v>
      </c>
      <c r="Q27" s="24">
        <f t="shared" si="19"/>
        <v>0.98</v>
      </c>
      <c r="R27" s="714">
        <f t="shared" si="20"/>
        <v>32955</v>
      </c>
      <c r="S27" s="361">
        <f t="shared" si="11"/>
        <v>5139</v>
      </c>
    </row>
    <row r="28" spans="1:45">
      <c r="A28" s="159"/>
      <c r="B28" s="59">
        <v>1559.3</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3194</v>
      </c>
      <c r="Q28" s="24">
        <f t="shared" si="19"/>
        <v>0.98</v>
      </c>
      <c r="R28" s="714">
        <f t="shared" si="20"/>
        <v>32955</v>
      </c>
      <c r="S28" s="361">
        <f t="shared" si="11"/>
        <v>5139</v>
      </c>
    </row>
    <row r="29" spans="1:45">
      <c r="A29" s="159"/>
      <c r="B29" s="59">
        <v>1559.3</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3194</v>
      </c>
      <c r="Q29" s="24">
        <f t="shared" si="19"/>
        <v>0.98</v>
      </c>
      <c r="R29" s="714">
        <f t="shared" si="20"/>
        <v>32955</v>
      </c>
      <c r="S29" s="361">
        <f t="shared" si="11"/>
        <v>5139</v>
      </c>
    </row>
    <row r="30" spans="1:45">
      <c r="A30" s="159"/>
      <c r="B30" s="59">
        <v>1559.3</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3193</v>
      </c>
      <c r="Q30" s="24">
        <f t="shared" si="19"/>
        <v>1</v>
      </c>
      <c r="R30" s="714">
        <f t="shared" si="20"/>
        <v>33628</v>
      </c>
      <c r="S30" s="361">
        <f t="shared" si="11"/>
        <v>5244</v>
      </c>
    </row>
    <row r="31" spans="1:45">
      <c r="A31" s="159"/>
      <c r="B31" s="59">
        <v>1559.3</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3193</v>
      </c>
      <c r="Q31" s="24">
        <f t="shared" si="19"/>
        <v>1</v>
      </c>
      <c r="R31" s="714">
        <f t="shared" si="20"/>
        <v>33628</v>
      </c>
      <c r="S31" s="361">
        <f t="shared" si="11"/>
        <v>5244</v>
      </c>
    </row>
    <row r="32" spans="1:45">
      <c r="A32" s="159"/>
      <c r="B32" s="59">
        <v>1559.3</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3193</v>
      </c>
      <c r="Q32" s="24">
        <f t="shared" si="19"/>
        <v>1</v>
      </c>
      <c r="R32" s="714">
        <f t="shared" si="20"/>
        <v>33628</v>
      </c>
      <c r="S32" s="361">
        <f t="shared" si="11"/>
        <v>5244</v>
      </c>
    </row>
    <row r="33" spans="1:19">
      <c r="A33" s="159"/>
      <c r="B33" s="59">
        <v>1559.3</v>
      </c>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3192</v>
      </c>
      <c r="Q33" s="24">
        <f t="shared" si="19"/>
        <v>1.02</v>
      </c>
      <c r="R33" s="714">
        <f t="shared" si="20"/>
        <v>34301</v>
      </c>
      <c r="S33" s="361">
        <f t="shared" si="11"/>
        <v>5349</v>
      </c>
    </row>
    <row r="34" spans="1:19">
      <c r="A34" s="159"/>
      <c r="B34" s="59">
        <v>1559.3</v>
      </c>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3192</v>
      </c>
      <c r="Q34" s="24">
        <f t="shared" si="19"/>
        <v>1.02</v>
      </c>
      <c r="R34" s="714">
        <f t="shared" si="20"/>
        <v>34301</v>
      </c>
      <c r="S34" s="361">
        <f t="shared" si="11"/>
        <v>5349</v>
      </c>
    </row>
    <row r="35" spans="1:19">
      <c r="A35" s="159"/>
      <c r="B35" s="59">
        <v>1559.3</v>
      </c>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t="s">
        <v>3192</v>
      </c>
      <c r="Q35" s="24">
        <f t="shared" si="19"/>
        <v>1.02</v>
      </c>
      <c r="R35" s="714">
        <f t="shared" si="20"/>
        <v>34301</v>
      </c>
      <c r="S35" s="361">
        <f t="shared" si="11"/>
        <v>5349</v>
      </c>
    </row>
    <row r="36" spans="1:19">
      <c r="A36" s="159"/>
      <c r="B36" s="59">
        <v>1190.1400000000001</v>
      </c>
      <c r="C36" s="24">
        <f t="shared" si="12"/>
        <v>1.02</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t="s">
        <v>3192</v>
      </c>
      <c r="Q36" s="24">
        <f t="shared" si="19"/>
        <v>1.02</v>
      </c>
      <c r="R36" s="714">
        <f t="shared" si="20"/>
        <v>34987</v>
      </c>
      <c r="S36" s="361">
        <f t="shared" si="11"/>
        <v>4164</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0.02</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0.02</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0.02</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0.02</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0.02</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0.02</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0.02</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0.02</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0.02</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0.02</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0.02</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0.02</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0.02</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0.02</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0.02</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0.02</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0.02</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0.02</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0.02</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0.02</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0.02</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0.02</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0.02</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0.02</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0.02</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0.02</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0.02</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0.02</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0.02</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0.02</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0.02</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0.02</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0.02</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0.02</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0.02</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0.02</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0.02</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0.02</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0.02</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0.02</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0.02</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0.02</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0.02</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0.02</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0.02</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0.02</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0.02</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0.02</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0.02</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0.02</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0.02</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0.02</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0.02</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0.02</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0.02</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0.02</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0.02</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0.02</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0.02</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0.02</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0.02</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0.02</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0.02</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0.02</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0.02</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0.02</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0.02</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0.02</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0.02</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0.02</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0.02</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0.02</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0.02</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0.02</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0.02</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0.02</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0.02</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0.02</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0.02</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0.02</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0.02</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0.02</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0.02</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0.02</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0.02</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0.02</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0.02</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0.02</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0.02</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0.02</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0.02</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0.02</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0.02</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0.02</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0.02</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0.02</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0.02</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0.02</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0.02</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0.02</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0.02</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0.02</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0.02</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0.02</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0.02</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0.02</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0.02</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0.02</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0.02</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0.02</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0.02</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0.02</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0.02</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0.02</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0.02</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0.02</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0.02</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0.02</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0.02</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0.02</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0.02</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0.02</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0.02</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0.02</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0.02</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0.02</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0.02</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0.02</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0.02</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0.02</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0.02</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0.02</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0.02</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0.02</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0.02</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0.02</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0.02</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0.02</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0.02</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0.02</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0.02</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0.02</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0.02</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0.02</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0.02</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0.02</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0.02</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0.02</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0.02</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0.02</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0.02</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0.02</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0.02</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0.02</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0.02</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0.02</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0.02</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0.02</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0.02</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0.02</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0.02</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0.02</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0.02</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0.02</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0.02</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0.02</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0.02</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0.02</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0.02</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0.02</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0.02</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0.02</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0.02</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0.02</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0.02</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0.02</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0.02</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0.02</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0.02</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0.02</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0.02</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0.02</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0.02</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0.02</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0.02</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0.02</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0.02</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0.02</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0.02</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0.02</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0.02</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0.02</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0.02</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0.02</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0.02</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0.02</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0.02</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0.02</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0.02</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0.02</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0.02</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0.02</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0.02</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0.02</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0.02</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0.02</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0.02</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0.02</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0.02</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0.02</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0.02</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0.02</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0.02</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0.02</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0.02</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0.02</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0.02</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0.02</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0.02</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0.02</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0.02</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0.02</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0.02</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0.02</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0.02</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0.02</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0.02</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0.02</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0.02</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0.02</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0.02</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0.02</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0.02</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0.02</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0.02</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0.02</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0.02</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0.02</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0.02</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0.02</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0.02</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0.02</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0.02</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0.02</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0.02</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0.02</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0.02</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0.02</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0.02</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0.02</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0.02</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0.02</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0.02</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0.02</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0.02</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0.02</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0.02</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0.02</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0.02</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0.02</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0.02</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0.02</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0.02</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0.02</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0.02</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0.02</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0.02</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0.02</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0.02</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0.02</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0.02</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0.02</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0.02</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0.02</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0.02</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0.02</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0.02</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0.02</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0.02</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0.02</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0.02</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0.02</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0.02</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0.02</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0.02</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0.02</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0.02</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0.02</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0.02</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0.02</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0.02</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0.02</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0.02</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0.02</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0.02</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0.02</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0.02</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0.02</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0.02</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0.02</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0.02</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0.02</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0.02</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0.02</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0.02</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0.02</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0.02</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0.02</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0.02</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0.02</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0.02</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0.02</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0.02</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0.02</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0.02</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0.02</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0.02</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0.02</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0.02</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0.02</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0.02</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0.02</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0.02</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0.02</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0.02</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0.02</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0.02</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0.02</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0.02</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0.02</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0.02</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0.02</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0.02</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0.02</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0.02</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0.02</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0.02</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0.02</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0.02</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0.02</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0.02</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0.02</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0.02</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0.02</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0.02</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0.02</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0.02</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0.02</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0.02</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0.02</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0.02</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0.02</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0.02</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0.02</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0.02</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0.02</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0.02</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0.02</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0.02</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0.02</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0.02</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0.02</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0.02</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0.02</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0.02</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0.02</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0.02</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0.02</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0.02</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0.02</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0.02</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0.02</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0.02</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0.02</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0.02</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0.02</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0.02</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0.02</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0.02</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0.02</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0.02</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0.02</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0.02</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0.02</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0.02</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0.02</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0.02</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0.02</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0.02</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0.02</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0.02</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0.02</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0.02</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0.02</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0.02</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0.02</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0.02</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0.02</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0.02</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0.02</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0.02</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0.02</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0.02</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0.02</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0.02</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0.02</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0.02</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0.02</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0.02</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0.02</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0.02</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0.02</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0.02</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0.02</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0.02</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0.02</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0.02</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0.02</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0.02</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0.02</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0.02</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0.02</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0.02</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0.02</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0.02</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0.02</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0.02</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0.02</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0.02</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0.02</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0.02</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0.02</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0.02</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0.02</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0.02</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0.02</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0.02</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0.02</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0.02</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0.02</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0.02</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0.02</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0.02</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0.02</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0.02</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0.02</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0.02</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0.02</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0.02</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0.02</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0.02</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0.02</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0.02</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0.02</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0.02</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0.02</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0.02</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0.02</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0.02</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0.02</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0.02</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0.02</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0.02</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0.02</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0.02</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0.02</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0.02</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0.02</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0.02</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0.02</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0.02</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0.02</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0.02</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0.02</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0.02</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0.02</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0.02</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0.02</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0.02</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0.02</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0.02</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0.02</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0.02</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0.02</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0.02</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0.02</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0.02</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0.02</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3" zoomScaleNormal="100" zoomScaleSheetLayoutView="100" zoomScalePageLayoutView="80" workbookViewId="0">
      <selection activeCell="E25" sqref="E25"/>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2118</v>
      </c>
      <c r="B1" s="2413"/>
      <c r="C1" s="2414" t="s">
        <v>1373</v>
      </c>
      <c r="D1" s="2413"/>
      <c r="E1" s="2413"/>
      <c r="F1" s="2415" t="s">
        <v>2119</v>
      </c>
      <c r="G1" s="2065" t="s">
        <v>3072</v>
      </c>
      <c r="H1" s="2416" t="str">
        <f>IF(G1="现房","——","估价对象范围")</f>
        <v>——</v>
      </c>
      <c r="I1" s="2417"/>
    </row>
    <row r="2" spans="1:12" ht="21.75" customHeight="1" thickBot="1">
      <c r="A2" s="3170" t="str">
        <f>项目基本情况!S2</f>
        <v>北京市北京经济技术开发区天华北街11号院1号楼，2号楼，3号楼，4幢等部分办公、商业用房房地产抵押价值评估房地产</v>
      </c>
      <c r="B2" s="3171"/>
      <c r="C2" s="3171"/>
      <c r="D2" s="3171"/>
      <c r="E2" s="3171"/>
      <c r="F2" s="3171"/>
      <c r="G2" s="3171"/>
      <c r="H2" s="3171"/>
      <c r="I2" s="3172"/>
    </row>
    <row r="3" spans="1:12" ht="12.75">
      <c r="A3" s="3173" t="s">
        <v>2120</v>
      </c>
      <c r="B3" s="3174"/>
      <c r="C3" s="3174"/>
      <c r="D3" s="3174"/>
      <c r="E3" s="3174"/>
      <c r="F3" s="3174"/>
      <c r="G3" s="3174"/>
      <c r="H3" s="3174"/>
      <c r="I3" s="3174"/>
    </row>
    <row r="4" spans="1:12" ht="14.25">
      <c r="A4" s="2420" t="s">
        <v>2121</v>
      </c>
      <c r="B4" s="2421" t="s">
        <v>2122</v>
      </c>
      <c r="C4" s="2422" t="s">
        <v>3174</v>
      </c>
      <c r="D4" s="2422" t="s">
        <v>3180</v>
      </c>
      <c r="E4" s="3154" t="s">
        <v>2123</v>
      </c>
      <c r="F4" s="3167"/>
      <c r="G4" s="3167"/>
      <c r="H4" s="3167"/>
      <c r="I4" s="3155"/>
      <c r="K4" s="2423" t="str">
        <f>IF(ISNUMBER(FIND("比较法",结果表商业!C4)),"比较法",IF(ISNUMBER(FIND("成本法",结果表商业!C4)),"成本法",IF(ISNUMBER(FIND("假设开发法",结果表商业!C4)),"假设开发法",IF(ISNUMBER(FIND("收益法",结果表商业!C4)),"收益法","基准地价系数修正法"))))</f>
        <v>收益法</v>
      </c>
      <c r="L4" s="2423" t="str">
        <f>IF(ISNUMBER(FIND("比较法",结果表商业!D4)),"比较法",IF(ISNUMBER(FIND("成本法",结果表商业!D4)),"成本法",IF(ISNUMBER(FIND("假设开发法",结果表商业!D4)),"假设开发法",IF(ISNUMBER(FIND("收益法",结果表商业!D4)),"收益法","基准地价系数修正法"))))</f>
        <v>基准地价系数修正法</v>
      </c>
    </row>
    <row r="5" spans="1:12" ht="12.75">
      <c r="A5" s="3145" t="s">
        <v>2124</v>
      </c>
      <c r="B5" s="3071">
        <v>25</v>
      </c>
      <c r="C5" s="3175"/>
      <c r="D5" s="3163"/>
      <c r="E5" s="140" t="s">
        <v>2125</v>
      </c>
      <c r="F5" s="2424"/>
      <c r="G5" s="2424"/>
      <c r="H5" s="2424"/>
      <c r="I5" s="1829"/>
    </row>
    <row r="6" spans="1:12" ht="12.75">
      <c r="A6" s="3145"/>
      <c r="B6" s="3071"/>
      <c r="C6" s="3177"/>
      <c r="D6" s="3163"/>
      <c r="E6" s="140" t="s">
        <v>2126</v>
      </c>
      <c r="F6" s="2424"/>
      <c r="G6" s="2424"/>
      <c r="H6" s="2424"/>
      <c r="I6" s="1829"/>
    </row>
    <row r="7" spans="1:12" ht="12.75">
      <c r="A7" s="3145"/>
      <c r="B7" s="3071"/>
      <c r="C7" s="3176"/>
      <c r="D7" s="3163"/>
      <c r="E7" s="140" t="s">
        <v>2127</v>
      </c>
      <c r="F7" s="2424"/>
      <c r="G7" s="2424"/>
      <c r="H7" s="2424"/>
      <c r="I7" s="1829"/>
    </row>
    <row r="8" spans="1:12" ht="12.75">
      <c r="A8" s="3145" t="s">
        <v>2128</v>
      </c>
      <c r="B8" s="3071">
        <v>15</v>
      </c>
      <c r="C8" s="3175"/>
      <c r="D8" s="3163"/>
      <c r="E8" s="140" t="s">
        <v>2129</v>
      </c>
      <c r="F8" s="2424"/>
      <c r="G8" s="2424"/>
      <c r="H8" s="2424"/>
      <c r="I8" s="1829"/>
    </row>
    <row r="9" spans="1:12" ht="12.75">
      <c r="A9" s="3145"/>
      <c r="B9" s="3071"/>
      <c r="C9" s="3176"/>
      <c r="D9" s="3163"/>
      <c r="E9" s="140" t="s">
        <v>2130</v>
      </c>
      <c r="F9" s="2424"/>
      <c r="G9" s="2424"/>
      <c r="H9" s="2424"/>
      <c r="I9" s="1829"/>
    </row>
    <row r="10" spans="1:12" ht="12.75">
      <c r="A10" s="3145" t="s">
        <v>2131</v>
      </c>
      <c r="B10" s="3071">
        <v>15</v>
      </c>
      <c r="C10" s="3175"/>
      <c r="D10" s="3163"/>
      <c r="E10" s="140" t="s">
        <v>2132</v>
      </c>
      <c r="F10" s="2424"/>
      <c r="G10" s="2424"/>
      <c r="H10" s="2424"/>
      <c r="I10" s="1829"/>
    </row>
    <row r="11" spans="1:12" ht="12.75">
      <c r="A11" s="3145"/>
      <c r="B11" s="3071"/>
      <c r="C11" s="3176"/>
      <c r="D11" s="3163"/>
      <c r="E11" s="140" t="s">
        <v>2133</v>
      </c>
      <c r="F11" s="2424"/>
      <c r="G11" s="2424"/>
      <c r="H11" s="2424"/>
      <c r="I11" s="1829"/>
    </row>
    <row r="12" spans="1:12" ht="12.75">
      <c r="A12" s="3145" t="s">
        <v>2134</v>
      </c>
      <c r="B12" s="3071">
        <v>15</v>
      </c>
      <c r="C12" s="3175"/>
      <c r="D12" s="3163"/>
      <c r="E12" s="140" t="s">
        <v>2135</v>
      </c>
      <c r="F12" s="2424"/>
      <c r="G12" s="2424"/>
      <c r="H12" s="2424"/>
      <c r="I12" s="1829"/>
    </row>
    <row r="13" spans="1:12" ht="12.75">
      <c r="A13" s="3145"/>
      <c r="B13" s="3071"/>
      <c r="C13" s="3176"/>
      <c r="D13" s="3163"/>
      <c r="E13" s="140" t="s">
        <v>2136</v>
      </c>
      <c r="F13" s="2424"/>
      <c r="G13" s="2424"/>
      <c r="H13" s="2424"/>
      <c r="I13" s="1829"/>
    </row>
    <row r="14" spans="1:12" ht="12.75">
      <c r="A14" s="3145" t="s">
        <v>2137</v>
      </c>
      <c r="B14" s="3071">
        <v>30</v>
      </c>
      <c r="C14" s="3175">
        <v>5</v>
      </c>
      <c r="D14" s="3163">
        <v>5</v>
      </c>
      <c r="E14" s="140" t="s">
        <v>2138</v>
      </c>
      <c r="F14" s="2424"/>
      <c r="G14" s="2424"/>
      <c r="H14" s="2424"/>
      <c r="I14" s="1829"/>
    </row>
    <row r="15" spans="1:12" ht="12.75">
      <c r="A15" s="3145"/>
      <c r="B15" s="3071"/>
      <c r="C15" s="3177"/>
      <c r="D15" s="3163"/>
      <c r="E15" s="140" t="s">
        <v>2139</v>
      </c>
      <c r="F15" s="2424"/>
      <c r="G15" s="2424"/>
      <c r="H15" s="2424"/>
      <c r="I15" s="1829"/>
    </row>
    <row r="16" spans="1:12" ht="12.75">
      <c r="A16" s="3145"/>
      <c r="B16" s="3071"/>
      <c r="C16" s="3176"/>
      <c r="D16" s="3163"/>
      <c r="E16" s="140" t="s">
        <v>2140</v>
      </c>
      <c r="F16" s="2424"/>
      <c r="G16" s="2424"/>
      <c r="H16" s="2424"/>
      <c r="I16" s="1829"/>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19900.510000000002</v>
      </c>
      <c r="M18" s="2423">
        <f>IF(C1="",'数据-汇总表'!E3,SUMIF(项目类型,C1,'数据-汇总表'!E17:E26))</f>
        <v>19900.510000000002</v>
      </c>
    </row>
    <row r="19" spans="1:35" ht="15">
      <c r="A19" s="2429" t="s">
        <v>2146</v>
      </c>
      <c r="B19" s="2430" t="s">
        <v>2147</v>
      </c>
      <c r="C19" s="143">
        <f ca="1">SUMIF(INDIRECT("'"&amp;C4&amp;"'"&amp;"!A:A"),结果表商业!B19,INDIRECT("'"&amp;C4&amp;"'"&amp;"!B:B"))</f>
        <v>36144</v>
      </c>
      <c r="D19" s="144">
        <f ca="1">SUMIF(INDIRECT("'"&amp;D4&amp;"'"&amp;"!A:A"),结果表商业!B19,INDIRECT("'"&amp;D4&amp;"'"&amp;"!B:B"))</f>
        <v>48772</v>
      </c>
      <c r="E19" s="2429" t="s">
        <v>2148</v>
      </c>
      <c r="F19" s="2430" t="s">
        <v>2147</v>
      </c>
      <c r="G19" s="145">
        <f ca="1">ROUND(C19*$C$18+D19*$D$18,0)</f>
        <v>42458</v>
      </c>
      <c r="H19" s="2431" t="s">
        <v>2149</v>
      </c>
      <c r="I19" s="138"/>
      <c r="K19" s="2423" t="s">
        <v>2150</v>
      </c>
      <c r="L19" s="2423">
        <f>IF(C1="",'数据-汇总表'!D3,SUMIF(项目类型,C1,'数据-汇总表'!D17:D26)+SUMIF(项目类型,C1,'数据-汇总表'!H17:H27))</f>
        <v>4414.24</v>
      </c>
      <c r="M19" s="2423">
        <f>IF(C1="",'数据-汇总表'!D3,SUMIF(项目类型,C1,'数据-汇总表'!D17:D26))</f>
        <v>4414.24</v>
      </c>
    </row>
    <row r="20" spans="1:35" ht="15">
      <c r="A20" s="2432"/>
      <c r="B20" s="1245" t="s">
        <v>2151</v>
      </c>
      <c r="C20" s="146">
        <f ca="1">SUMIF(INDIRECT("'"&amp;C4&amp;"'"&amp;"!A:A"),结果表商业!B20,INDIRECT("'"&amp;C4&amp;"'"&amp;"!B:B"))</f>
        <v>18162</v>
      </c>
      <c r="D20" s="147">
        <f ca="1">SUMIF(INDIRECT("'"&amp;D4&amp;"'"&amp;"!A:A"),结果表商业!B20,INDIRECT("'"&amp;D4&amp;"'"&amp;"!B:B"))</f>
        <v>24508</v>
      </c>
      <c r="E20" s="2432"/>
      <c r="F20" s="1245" t="s">
        <v>2151</v>
      </c>
      <c r="G20" s="148">
        <f ca="1">ROUND(C20*$C$18+D20*$D$18,0)</f>
        <v>21335</v>
      </c>
      <c r="H20" s="978" t="s">
        <v>2152</v>
      </c>
      <c r="I20" s="138"/>
    </row>
    <row r="21" spans="1:35" ht="15" customHeight="1" thickBot="1">
      <c r="A21" s="998"/>
      <c r="B21" s="2433" t="s">
        <v>2153</v>
      </c>
      <c r="C21" s="787">
        <f ca="1">ROUND(C19*10000/L19,0)</f>
        <v>81880</v>
      </c>
      <c r="D21" s="788">
        <f ca="1">ROUND(D19*10000/L19,0)</f>
        <v>110488</v>
      </c>
      <c r="E21" s="998"/>
      <c r="F21" s="2433" t="s">
        <v>2153</v>
      </c>
      <c r="G21" s="149">
        <f ca="1">ROUND(G19*10000/L19,0)</f>
        <v>96184</v>
      </c>
      <c r="H21" s="2434" t="s">
        <v>2152</v>
      </c>
      <c r="I21" s="138"/>
    </row>
    <row r="22" spans="1:35" ht="15" thickBot="1">
      <c r="A22" s="2275" t="s">
        <v>2154</v>
      </c>
      <c r="B22" s="2435"/>
      <c r="C22" s="2436"/>
      <c r="D22" s="789">
        <f ca="1">IF(C19&lt;D19,D19/C19-1,C19/D19-1)</f>
        <v>0.34938025675077466</v>
      </c>
      <c r="E22" s="138"/>
      <c r="F22" s="138"/>
      <c r="G22" s="138"/>
      <c r="H22" s="138"/>
      <c r="I22" s="138"/>
    </row>
    <row r="23" spans="1:35" ht="13.5" thickBot="1">
      <c r="A23" s="2413"/>
      <c r="B23" s="2413"/>
      <c r="C23" s="2413"/>
      <c r="D23" s="2413"/>
      <c r="E23" s="138"/>
      <c r="F23" s="138"/>
      <c r="G23" s="138"/>
      <c r="H23" s="138"/>
      <c r="I23" s="138"/>
    </row>
    <row r="24" spans="1:35" ht="14.25">
      <c r="A24" s="3184" t="s">
        <v>2155</v>
      </c>
      <c r="B24" s="2430" t="s">
        <v>2147</v>
      </c>
      <c r="C24" s="145">
        <f>IF(B30=0,0,D30)</f>
        <v>0</v>
      </c>
      <c r="D24" s="2437"/>
      <c r="E24" s="138"/>
      <c r="F24" s="138"/>
      <c r="G24" s="138"/>
      <c r="H24" s="138"/>
      <c r="I24" s="138"/>
    </row>
    <row r="25" spans="1:35" ht="14.25">
      <c r="A25" s="3185"/>
      <c r="B25" s="1245"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12" t="s">
        <v>3037</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2161</v>
      </c>
      <c r="B32" s="2443"/>
      <c r="C32" s="153">
        <f ca="1">IF(D32="总价",G19-C24,G20-C25)</f>
        <v>42458</v>
      </c>
      <c r="D32" s="2444" t="s">
        <v>2162</v>
      </c>
      <c r="E32" s="138"/>
      <c r="F32" s="138"/>
      <c r="G32" s="138"/>
      <c r="H32" s="138"/>
      <c r="I32" s="138"/>
    </row>
    <row r="33" spans="1:15" ht="15">
      <c r="A33" s="955" t="s">
        <v>2163</v>
      </c>
      <c r="B33" s="2445"/>
      <c r="C33" s="2446" t="s">
        <v>3232</v>
      </c>
      <c r="D33" s="2447" t="s">
        <v>3174</v>
      </c>
      <c r="E33" s="2448" t="s">
        <v>2164</v>
      </c>
      <c r="F33" s="2948" t="str">
        <f>IF(D32="楼面单价","取值（单价）","取值（总价）")</f>
        <v>取值（总价）</v>
      </c>
      <c r="G33" s="138"/>
      <c r="H33" s="138"/>
      <c r="I33" s="138"/>
    </row>
    <row r="34" spans="1:15" ht="15">
      <c r="A34" s="2450"/>
      <c r="B34" s="2451" t="s">
        <v>2165</v>
      </c>
      <c r="C34" s="157">
        <f ca="1">IF(C33="自定义",F34,C32-C35)</f>
        <v>28447</v>
      </c>
      <c r="D34" s="1053">
        <f ca="1">IF(C33="自定义",ROUND(C34/C32,3),IF(C33="收益比率",SUMIF(INDIRECT("'"&amp;D33&amp;"'"&amp;"!b:b"),"土地收益比率",INDIRECT("'"&amp;D33&amp;"'"&amp;"!c:c")),SUMIF(INDIRECT("'"&amp;D33&amp;"'"&amp;"!b:b"),"土地成本比率",INDIRECT("'"&amp;D33&amp;"'"&amp;"!c:c"))))</f>
        <v>0.66999999999999993</v>
      </c>
      <c r="E34" s="2452" t="s">
        <v>2166</v>
      </c>
      <c r="F34" s="1734"/>
      <c r="G34" s="138"/>
      <c r="H34" s="138"/>
      <c r="I34" s="138"/>
    </row>
    <row r="35" spans="1:15" ht="15.75" thickBot="1">
      <c r="A35" s="2453"/>
      <c r="B35" s="2454" t="s">
        <v>2167</v>
      </c>
      <c r="C35" s="1439">
        <f ca="1">IF(C33="自定义",F35,ROUND(C32*D35,0))</f>
        <v>14011</v>
      </c>
      <c r="D35" s="1440">
        <f ca="1">IF(C33="自定义",ROUND(C35/C32,3),IF(C33="收益比率",SUMIF(INDIRECT("'"&amp;D33&amp;"'"&amp;"!b:b"),"建筑物收益比率",INDIRECT("'"&amp;D33&amp;"'"&amp;"!c:c")),SUMIF(INDIRECT("'"&amp;D33&amp;"'"&amp;"!b:b"),"建筑物成本比率",INDIRECT("'"&amp;D33&amp;"'"&amp;"!c:c"))))</f>
        <v>0.33</v>
      </c>
      <c r="E35" s="2455" t="s">
        <v>2168</v>
      </c>
      <c r="F35" s="163"/>
      <c r="G35" s="138"/>
      <c r="H35" s="138"/>
      <c r="I35" s="138"/>
    </row>
    <row r="36" spans="1:15" ht="15.75" thickBot="1">
      <c r="A36" s="3164" t="s">
        <v>2169</v>
      </c>
      <c r="B36" s="2456" t="s">
        <v>2170</v>
      </c>
      <c r="C36" s="154"/>
      <c r="D36" s="2457"/>
      <c r="E36" s="2458"/>
      <c r="F36" s="2459"/>
      <c r="G36" s="138"/>
      <c r="H36" s="138"/>
      <c r="I36" s="138"/>
    </row>
    <row r="37" spans="1:15" ht="15.75" thickBot="1">
      <c r="A37" s="3165"/>
      <c r="B37" s="2261" t="s">
        <v>2171</v>
      </c>
      <c r="C37" s="156"/>
      <c r="D37" s="1390"/>
      <c r="E37" s="1390"/>
      <c r="F37" s="2459"/>
      <c r="G37" s="138"/>
      <c r="H37" s="138"/>
      <c r="I37" s="138"/>
    </row>
    <row r="38" spans="1:15" ht="15.75" thickBot="1">
      <c r="A38" s="3166"/>
      <c r="B38" s="2460" t="s">
        <v>2172</v>
      </c>
      <c r="C38" s="725"/>
      <c r="D38" s="2461" t="s">
        <v>2173</v>
      </c>
      <c r="E38" s="1390"/>
      <c r="F38" s="2459"/>
      <c r="G38" s="138"/>
      <c r="H38" s="138"/>
      <c r="I38" s="138"/>
    </row>
    <row r="39" spans="1:15" ht="15">
      <c r="A39" s="2432" t="s">
        <v>2174</v>
      </c>
      <c r="B39" s="2462" t="s">
        <v>2157</v>
      </c>
      <c r="C39" s="2463" t="s">
        <v>2158</v>
      </c>
      <c r="D39" s="2463" t="s">
        <v>2177</v>
      </c>
      <c r="E39" s="2464" t="s">
        <v>2159</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81" t="s">
        <v>2183</v>
      </c>
      <c r="B45" s="3182"/>
      <c r="C45" s="3183"/>
      <c r="D45" s="164">
        <f ca="1">ROUND(H101*F45,0)</f>
        <v>42458</v>
      </c>
      <c r="E45" s="165" t="s">
        <v>2184</v>
      </c>
      <c r="F45" s="166">
        <v>1</v>
      </c>
      <c r="G45" s="167" t="s">
        <v>2185</v>
      </c>
      <c r="H45" s="138"/>
      <c r="I45" s="138"/>
      <c r="J45" s="3100" t="s">
        <v>2186</v>
      </c>
      <c r="K45" s="3100"/>
      <c r="L45" s="3100"/>
      <c r="M45" s="3100"/>
      <c r="N45" s="3100"/>
      <c r="O45" s="3100"/>
    </row>
    <row r="46" spans="1:15" ht="14.25" customHeight="1">
      <c r="A46" s="3178" t="s">
        <v>2187</v>
      </c>
      <c r="B46" s="3179"/>
      <c r="C46" s="3179"/>
      <c r="D46" s="3179"/>
      <c r="E46" s="3179"/>
      <c r="F46" s="3179"/>
      <c r="G46" s="3180"/>
      <c r="H46" s="2475"/>
      <c r="I46" s="168"/>
      <c r="J46" s="2960">
        <v>1</v>
      </c>
      <c r="K46" s="3100" t="s">
        <v>2188</v>
      </c>
      <c r="L46" s="3100"/>
      <c r="M46" s="3101"/>
      <c r="N46" s="3101"/>
      <c r="O46" s="3101"/>
    </row>
    <row r="47" spans="1:15" ht="12" customHeight="1">
      <c r="A47" s="169" t="s">
        <v>2189</v>
      </c>
      <c r="B47" s="170"/>
      <c r="C47" s="171"/>
      <c r="D47" s="172" t="s">
        <v>2190</v>
      </c>
      <c r="E47" s="24" t="s">
        <v>2191</v>
      </c>
      <c r="F47" s="173" t="s">
        <v>2192</v>
      </c>
      <c r="G47" s="174" t="s">
        <v>2193</v>
      </c>
      <c r="H47" s="2475"/>
      <c r="I47" s="168"/>
      <c r="J47" s="2960">
        <v>2</v>
      </c>
      <c r="K47" s="3100" t="s">
        <v>2194</v>
      </c>
      <c r="L47" s="3100"/>
      <c r="M47" s="3102">
        <f>'数据-取费表'!B2</f>
        <v>43602</v>
      </c>
      <c r="N47" s="3102"/>
      <c r="O47" s="3102"/>
    </row>
    <row r="48" spans="1:15" ht="25.5">
      <c r="A48" s="3168" t="s">
        <v>2195</v>
      </c>
      <c r="B48" s="3169"/>
      <c r="C48" s="3169"/>
      <c r="D48" s="140">
        <f>IF(H48="情况1",0,IF(H48="情况2",D52,IF(H48="情况3",D53,IF(H48="情况4",D54))))</f>
        <v>0</v>
      </c>
      <c r="E48" s="2952" t="str">
        <f>IF(H48="情况4","(销售额-原购置价)×税（费）率","销售额×税（费）率")</f>
        <v>销售额×税（费）率</v>
      </c>
      <c r="F48" s="175" t="str">
        <f>IF(H48="情况1","免征",'数据-取费表'!B41)</f>
        <v>免征</v>
      </c>
      <c r="G48" s="2476" t="s">
        <v>2196</v>
      </c>
      <c r="H48" s="2477" t="s">
        <v>2197</v>
      </c>
      <c r="I48" s="2475"/>
      <c r="J48" s="2960">
        <v>3</v>
      </c>
      <c r="K48" s="3100" t="s">
        <v>2198</v>
      </c>
      <c r="L48" s="3100"/>
      <c r="M48" s="3103">
        <f ca="1">H101</f>
        <v>42458</v>
      </c>
      <c r="N48" s="3103"/>
      <c r="O48" s="3103"/>
    </row>
    <row r="49" spans="1:35" ht="25.5" customHeight="1">
      <c r="A49" s="176" t="s">
        <v>2199</v>
      </c>
      <c r="B49" s="3148" t="s">
        <v>2200</v>
      </c>
      <c r="C49" s="3148"/>
      <c r="D49" s="177">
        <v>0</v>
      </c>
      <c r="E49" s="23" t="s">
        <v>2201</v>
      </c>
      <c r="F49" s="28" t="s">
        <v>34</v>
      </c>
      <c r="G49" s="3129"/>
      <c r="H49" s="138"/>
      <c r="I49" s="2478"/>
      <c r="J49" s="2960">
        <v>4</v>
      </c>
      <c r="K49" s="3100" t="str">
        <f>IF(项目基本情况!E8="房地产抵押价值","房地产抵押价值","抵押担保权已注销时的房地产抵押价值")</f>
        <v>房地产抵押价值</v>
      </c>
      <c r="L49" s="3100"/>
      <c r="M49" s="3103">
        <f ca="1">IF(项目基本情况!E8="房地产抵押价值",H107,H109)</f>
        <v>42458</v>
      </c>
      <c r="N49" s="3103"/>
      <c r="O49" s="3103"/>
    </row>
    <row r="50" spans="1:35" ht="25.5" customHeight="1">
      <c r="A50" s="178"/>
      <c r="B50" s="3148" t="s">
        <v>2202</v>
      </c>
      <c r="C50" s="3148"/>
      <c r="D50" s="179"/>
      <c r="E50" s="31"/>
      <c r="F50" s="180"/>
      <c r="G50" s="3130"/>
      <c r="H50" s="138"/>
      <c r="I50" s="2478"/>
      <c r="J50" s="3100" t="s">
        <v>2203</v>
      </c>
      <c r="K50" s="3100"/>
      <c r="L50" s="3100"/>
      <c r="M50" s="3100"/>
      <c r="N50" s="3100"/>
      <c r="O50" s="3100"/>
    </row>
    <row r="51" spans="1:35" ht="12" customHeight="1">
      <c r="A51" s="181"/>
      <c r="B51" s="3148" t="s">
        <v>2204</v>
      </c>
      <c r="C51" s="3148"/>
      <c r="D51" s="182"/>
      <c r="E51" s="30"/>
      <c r="F51" s="180"/>
      <c r="G51" s="3131"/>
      <c r="H51" s="138"/>
      <c r="I51" s="2478"/>
      <c r="J51" s="2959" t="s">
        <v>2205</v>
      </c>
      <c r="K51" s="3100" t="s">
        <v>2206</v>
      </c>
      <c r="L51" s="3100"/>
      <c r="M51" s="2959" t="s">
        <v>2207</v>
      </c>
      <c r="N51" s="2959" t="s">
        <v>2208</v>
      </c>
      <c r="O51" s="2959" t="s">
        <v>2209</v>
      </c>
    </row>
    <row r="52" spans="1:35" ht="24" customHeight="1">
      <c r="A52" s="183" t="s">
        <v>2210</v>
      </c>
      <c r="B52" s="3148" t="s">
        <v>2211</v>
      </c>
      <c r="C52" s="3148"/>
      <c r="D52" s="182">
        <f ca="1">ROUND(D45*'数据-取费表'!B41/(1+'数据-取费表'!C42),0)</f>
        <v>2224</v>
      </c>
      <c r="E52" s="11" t="s">
        <v>2212</v>
      </c>
      <c r="F52" s="184">
        <f>'数据-取费表'!B41</f>
        <v>5.5000000000000007E-2</v>
      </c>
      <c r="G52" s="2480"/>
      <c r="H52" s="138"/>
      <c r="I52" s="2478"/>
      <c r="J52" s="2960">
        <v>1</v>
      </c>
      <c r="K52" s="3123" t="s">
        <v>2213</v>
      </c>
      <c r="L52" s="3123"/>
      <c r="M52" s="1749">
        <f>D48</f>
        <v>0</v>
      </c>
      <c r="N52" s="2960" t="str">
        <f>E48</f>
        <v>销售额×税（费）率</v>
      </c>
      <c r="O52" s="1750" t="str">
        <f>F48</f>
        <v>免征</v>
      </c>
    </row>
    <row r="53" spans="1:35" ht="12" customHeight="1">
      <c r="A53" s="183" t="s">
        <v>2214</v>
      </c>
      <c r="B53" s="3149" t="s">
        <v>2215</v>
      </c>
      <c r="C53" s="3150"/>
      <c r="D53" s="182">
        <f ca="1">ROUND(D45*'数据-取费表'!B41/(1+'数据-取费表'!C42),0)</f>
        <v>2224</v>
      </c>
      <c r="E53" s="11" t="s">
        <v>2212</v>
      </c>
      <c r="F53" s="184">
        <f>'数据-取费表'!B41</f>
        <v>5.5000000000000007E-2</v>
      </c>
      <c r="G53" s="2480"/>
      <c r="H53" s="138"/>
      <c r="I53" s="2478"/>
      <c r="J53" s="2960">
        <v>2</v>
      </c>
      <c r="K53" s="3123" t="s">
        <v>2216</v>
      </c>
      <c r="L53" s="3123"/>
      <c r="M53" s="1749">
        <f t="shared" ref="M53:O54" ca="1" si="0">D55</f>
        <v>21</v>
      </c>
      <c r="N53" s="2960" t="str">
        <f t="shared" si="0"/>
        <v>销售额×税（费）率</v>
      </c>
      <c r="O53" s="1750">
        <f t="shared" si="0"/>
        <v>5.0000000000000001E-4</v>
      </c>
    </row>
    <row r="54" spans="1:35" ht="12" customHeight="1">
      <c r="A54" s="183" t="s">
        <v>2217</v>
      </c>
      <c r="B54" s="3149" t="s">
        <v>2218</v>
      </c>
      <c r="C54" s="3150"/>
      <c r="D54" s="182">
        <f ca="1">C68</f>
        <v>2224</v>
      </c>
      <c r="E54" s="30" t="s">
        <v>2219</v>
      </c>
      <c r="F54" s="184">
        <f>'数据-取费表'!B41</f>
        <v>5.5000000000000007E-2</v>
      </c>
      <c r="G54" s="2480"/>
      <c r="H54" s="2481"/>
      <c r="I54" s="2478"/>
      <c r="J54" s="2960">
        <v>3</v>
      </c>
      <c r="K54" s="3123" t="s">
        <v>2220</v>
      </c>
      <c r="L54" s="3123"/>
      <c r="M54" s="1749">
        <f t="shared" ca="1" si="0"/>
        <v>24070</v>
      </c>
      <c r="N54" s="2960" t="str">
        <f t="shared" si="0"/>
        <v>增值额×税（费）率</v>
      </c>
      <c r="O54" s="1751" t="str">
        <f t="shared" si="0"/>
        <v>——</v>
      </c>
    </row>
    <row r="55" spans="1:35" ht="24" customHeight="1">
      <c r="A55" s="3187" t="s">
        <v>2221</v>
      </c>
      <c r="B55" s="3169"/>
      <c r="C55" s="3169"/>
      <c r="D55" s="185">
        <f ca="1">IF(H55="个人住宅",0,ROUND(D45*I55,0))</f>
        <v>21</v>
      </c>
      <c r="E55" s="11" t="s">
        <v>2222</v>
      </c>
      <c r="F55" s="184">
        <f>IF(H55="正常",I55,"免征")</f>
        <v>5.0000000000000001E-4</v>
      </c>
      <c r="G55" s="2480"/>
      <c r="H55" s="2477" t="s">
        <v>2223</v>
      </c>
      <c r="I55" s="186">
        <f>'数据-取费表'!B49</f>
        <v>5.0000000000000001E-4</v>
      </c>
      <c r="J55" s="2960" t="str">
        <f>IF(H59="非个人房产","",4)</f>
        <v/>
      </c>
      <c r="K55" s="3123" t="str">
        <f>IF(H59="非个人房产","——","个人所得税")</f>
        <v>——</v>
      </c>
      <c r="L55" s="3123"/>
      <c r="M55" s="1752" t="str">
        <f>D59</f>
        <v>——</v>
      </c>
      <c r="N55" s="2961" t="str">
        <f>E59</f>
        <v>——</v>
      </c>
      <c r="O55" s="1753" t="str">
        <f>F59</f>
        <v>——</v>
      </c>
    </row>
    <row r="56" spans="1:35" ht="24.75">
      <c r="A56" s="3187" t="s">
        <v>2224</v>
      </c>
      <c r="B56" s="3169"/>
      <c r="C56" s="3169"/>
      <c r="D56" s="185">
        <f ca="1">IF(H56="个人住宅",D57,D58)</f>
        <v>24070</v>
      </c>
      <c r="E56" s="11" t="s">
        <v>2225</v>
      </c>
      <c r="F56" s="184" t="str">
        <f>IF(H56="正常",F58,"免征")</f>
        <v>——</v>
      </c>
      <c r="G56" s="2482" t="s">
        <v>2226</v>
      </c>
      <c r="H56" s="2483" t="s">
        <v>2223</v>
      </c>
      <c r="I56" s="2484"/>
      <c r="J56" s="2960" t="str">
        <f>IF(项目基本情况!K6="上海银行",IF(J55="",4,J55+1),"")</f>
        <v/>
      </c>
      <c r="K56" s="3106" t="str">
        <f>IF(项目基本情况!K6="上海银行","其他处置费用","")</f>
        <v/>
      </c>
      <c r="L56" s="3107"/>
      <c r="M56" s="1749" t="str">
        <f>IF(项目基本情况!K6="上海银行",M69,"")</f>
        <v/>
      </c>
      <c r="N56" s="3109" t="str">
        <f>IF(项目基本情况!K6="上海银行","包含处置中涉及的律师、诉讼、拍卖、评估等费用","")</f>
        <v/>
      </c>
      <c r="O56" s="3110"/>
    </row>
    <row r="57" spans="1:35" ht="12.75">
      <c r="A57" s="183" t="s">
        <v>2199</v>
      </c>
      <c r="B57" s="3154" t="s">
        <v>2227</v>
      </c>
      <c r="C57" s="3155"/>
      <c r="D57" s="187">
        <v>0</v>
      </c>
      <c r="E57" s="23" t="s">
        <v>2201</v>
      </c>
      <c r="F57" s="155"/>
      <c r="G57" s="2480"/>
      <c r="H57" s="2484"/>
      <c r="I57" s="2484"/>
      <c r="J57" s="3123">
        <f>IF(AND(J55="",J56=""),4,IF(项目基本情况!K6="上海银行",结果表商业!J56+1,结果表商业!J55+1))</f>
        <v>4</v>
      </c>
      <c r="K57" s="3123" t="s">
        <v>2228</v>
      </c>
      <c r="L57" s="2485" t="s">
        <v>2229</v>
      </c>
      <c r="M57" s="1754"/>
      <c r="N57" s="1755">
        <f ca="1">SUMIF(M52:M56,"&lt;9e307")</f>
        <v>24091</v>
      </c>
      <c r="O57" s="2486"/>
      <c r="P57" s="1748">
        <f ca="1">N57/M49</f>
        <v>0.56740779122897922</v>
      </c>
    </row>
    <row r="58" spans="1:35" ht="24.75">
      <c r="A58" s="183" t="s">
        <v>2210</v>
      </c>
      <c r="B58" s="3154" t="s">
        <v>2230</v>
      </c>
      <c r="C58" s="3167"/>
      <c r="D58" s="185">
        <f ca="1">IF(H58="转让取得",C81,C97)</f>
        <v>24070</v>
      </c>
      <c r="E58" s="11" t="s">
        <v>2225</v>
      </c>
      <c r="F58" s="24" t="s">
        <v>34</v>
      </c>
      <c r="G58" s="2480"/>
      <c r="H58" s="2483" t="s">
        <v>2231</v>
      </c>
      <c r="I58" s="2484"/>
      <c r="J58" s="3123"/>
      <c r="K58" s="3123"/>
      <c r="L58" s="2485" t="s">
        <v>2232</v>
      </c>
      <c r="M58" s="1756"/>
      <c r="N58" s="2487" t="str">
        <f ca="1">NUMBERSTRING(INT(N57*10000),2)&amp;"元整"</f>
        <v>贰亿肆仟零玖拾壹万元整</v>
      </c>
      <c r="O58" s="2488"/>
    </row>
    <row r="59" spans="1:35" ht="24.75" thickBot="1">
      <c r="A59" s="3127" t="s">
        <v>2233</v>
      </c>
      <c r="B59" s="3128"/>
      <c r="C59" s="312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25">
        <f>J57+1</f>
        <v>5</v>
      </c>
      <c r="K59" s="3123" t="s">
        <v>2235</v>
      </c>
      <c r="L59" s="2960" t="s">
        <v>2229</v>
      </c>
      <c r="M59" s="1757"/>
      <c r="N59" s="1758">
        <f ca="1">M49-N57</f>
        <v>18367</v>
      </c>
      <c r="O59" s="2490"/>
    </row>
    <row r="60" spans="1:35" ht="12" customHeight="1">
      <c r="A60" s="2491"/>
      <c r="B60" s="2413"/>
      <c r="C60" s="2413"/>
      <c r="D60" s="2413"/>
      <c r="E60" s="2160"/>
      <c r="F60" s="2484"/>
      <c r="G60" s="2484"/>
      <c r="H60" s="2492"/>
      <c r="I60" s="138"/>
      <c r="J60" s="3126"/>
      <c r="K60" s="3123"/>
      <c r="L60" s="2485" t="s">
        <v>2232</v>
      </c>
      <c r="M60" s="1756"/>
      <c r="N60" s="2487" t="str">
        <f ca="1">NUMBERSTRING(INT(N59*10000),2)&amp;"元整"</f>
        <v>壹亿捌仟叁佰陆拾柒万元整</v>
      </c>
      <c r="O60" s="2488"/>
    </row>
    <row r="61" spans="1:35" ht="13.5" thickBot="1">
      <c r="A61" s="3186" t="s">
        <v>2236</v>
      </c>
      <c r="B61" s="3186"/>
      <c r="C61" s="3186"/>
      <c r="D61" s="3186"/>
      <c r="E61" s="3186"/>
      <c r="F61" s="2484"/>
      <c r="G61" s="2484"/>
      <c r="H61" s="2492"/>
      <c r="I61" s="138"/>
      <c r="J61" s="2960">
        <f>J59+1</f>
        <v>6</v>
      </c>
      <c r="K61" s="3123" t="s">
        <v>2237</v>
      </c>
      <c r="L61" s="3123"/>
      <c r="M61" s="1759"/>
      <c r="N61" s="1760">
        <f ca="1">ROUND(N59*10000/'数据-汇总表'!E3,0)</f>
        <v>3540</v>
      </c>
      <c r="O61" s="2493"/>
    </row>
    <row r="62" spans="1:35" ht="12.75">
      <c r="A62" s="3143" t="s">
        <v>2238</v>
      </c>
      <c r="B62" s="3144"/>
      <c r="C62" s="2955"/>
      <c r="D62" s="2955" t="s">
        <v>2239</v>
      </c>
      <c r="E62" s="192" t="s">
        <v>2240</v>
      </c>
      <c r="F62" s="2484"/>
      <c r="G62" s="2484"/>
      <c r="H62" s="2492"/>
      <c r="I62" s="138"/>
    </row>
    <row r="63" spans="1:35" ht="12.75">
      <c r="A63" s="203" t="s">
        <v>775</v>
      </c>
      <c r="B63" s="193" t="s">
        <v>2241</v>
      </c>
      <c r="C63" s="194">
        <f ca="1">ROUND((C64+C65)/(1+'数据-取费表'!C42),0)</f>
        <v>40436</v>
      </c>
      <c r="D63" s="195"/>
      <c r="E63" s="196"/>
      <c r="F63" s="2484"/>
      <c r="G63" s="2484"/>
      <c r="H63" s="2492"/>
      <c r="I63" s="138"/>
      <c r="J63" s="3108" t="s">
        <v>2242</v>
      </c>
      <c r="K63" s="2964" t="s">
        <v>2243</v>
      </c>
      <c r="L63" s="1747">
        <f ca="1">IF(M49&gt;10000,M49*0.5%,IF(AND(M49&gt;1000,M49&lt;=10000),M49*1%,IF(AND(M49&gt;100,M49&lt;=1000),M49*3%,IF(AND(M49&gt;10,M49&lt;=100),M49*5%,M49*8%))))</f>
        <v>212.29</v>
      </c>
      <c r="M63" s="24">
        <f ca="1">ROUND(L63,1)</f>
        <v>212.3</v>
      </c>
      <c r="Z63" s="2418"/>
      <c r="AI63" s="2419"/>
    </row>
    <row r="64" spans="1:35" ht="14.25" customHeight="1">
      <c r="A64" s="197" t="s">
        <v>770</v>
      </c>
      <c r="B64" s="198" t="s">
        <v>2244</v>
      </c>
      <c r="C64" s="199">
        <f ca="1">D45</f>
        <v>42458</v>
      </c>
      <c r="D64" s="200" t="s">
        <v>32</v>
      </c>
      <c r="E64" s="201"/>
      <c r="F64" s="2484"/>
      <c r="G64" s="2484"/>
      <c r="H64" s="2492"/>
      <c r="I64" s="138"/>
      <c r="J64" s="3108"/>
      <c r="K64" s="2964" t="s">
        <v>2245</v>
      </c>
      <c r="L64" s="1747">
        <f ca="1">IF(M49&gt;2000,M49*0.5%,IF(AND(M49&gt;1000,M49&lt;=2000),M49*0.6%,IF(AND(M49&gt;500,M49&lt;=1000),M49*0.7%,IF(AND(M49&gt;200,M49&lt;=500),M49*0.8%,IF(AND(M49&gt;100,M49&lt;=200),M49*0.9%,IF(AND(M49&gt;50,M49&lt;=100),M49*1%,IF(AND(M49&gt;20,M49&lt;=50),M49*1.5%,IF(AND(M49&gt;10,M49&lt;=20),M49*2%,IF(AND(M49&gt;1,M49&lt;=10),M49*2.5%)))))))))</f>
        <v>212.29</v>
      </c>
      <c r="M64" s="24">
        <f t="shared" ref="M64:M65" ca="1" si="1">ROUND(L64,1)</f>
        <v>212.3</v>
      </c>
      <c r="N64" s="138" t="s">
        <v>2246</v>
      </c>
      <c r="Z64" s="2418"/>
      <c r="AI64" s="2419"/>
    </row>
    <row r="65" spans="1:35" ht="14.25" customHeight="1">
      <c r="A65" s="197" t="s">
        <v>771</v>
      </c>
      <c r="B65" s="198" t="s">
        <v>2247</v>
      </c>
      <c r="C65" s="202"/>
      <c r="D65" s="200"/>
      <c r="E65" s="201"/>
      <c r="F65" s="2484"/>
      <c r="G65" s="2484"/>
      <c r="H65" s="2492"/>
      <c r="I65" s="138"/>
      <c r="J65" s="3108"/>
      <c r="K65" s="2964" t="s">
        <v>2248</v>
      </c>
      <c r="L65" s="1747">
        <f ca="1">IF(M49&gt;1000,M49*0.1%,IF(AND(M49&gt;500,M49&lt;=1000),M49*0.5%,IF(AND(M49&gt;50,M49&lt;=500),M49*1%,IF(AND(M49&gt;1,M49&lt;=50),M49*1.5%))))</f>
        <v>42.457999999999998</v>
      </c>
      <c r="M65" s="24">
        <f t="shared" ca="1" si="1"/>
        <v>42.5</v>
      </c>
      <c r="N65" s="138" t="s">
        <v>2246</v>
      </c>
      <c r="Z65" s="2418"/>
      <c r="AI65" s="2419"/>
    </row>
    <row r="66" spans="1:35" ht="14.25" customHeight="1">
      <c r="A66" s="203" t="s">
        <v>772</v>
      </c>
      <c r="B66" s="204" t="s">
        <v>2249</v>
      </c>
      <c r="C66" s="205"/>
      <c r="D66" s="206" t="s">
        <v>32</v>
      </c>
      <c r="E66" s="1771" t="s">
        <v>1367</v>
      </c>
      <c r="F66" s="2484"/>
      <c r="G66" s="2484"/>
      <c r="H66" s="2492"/>
      <c r="I66" s="138"/>
      <c r="J66" s="3108"/>
      <c r="K66" s="2964" t="s">
        <v>2250</v>
      </c>
      <c r="L66" s="1747">
        <f ca="1">M49*0.5%</f>
        <v>212.29</v>
      </c>
      <c r="M66" s="24">
        <f ca="1">IF(L66&gt;0.5,0.5,ROUND(L66,0))</f>
        <v>0.5</v>
      </c>
      <c r="N66" s="138" t="s">
        <v>2251</v>
      </c>
      <c r="Z66" s="2418"/>
      <c r="AI66" s="2419"/>
    </row>
    <row r="67" spans="1:35" ht="14.25" customHeight="1">
      <c r="A67" s="203" t="s">
        <v>773</v>
      </c>
      <c r="B67" s="204" t="s">
        <v>2252</v>
      </c>
      <c r="C67" s="207">
        <f ca="1">C63-C66</f>
        <v>40436</v>
      </c>
      <c r="D67" s="200" t="s">
        <v>32</v>
      </c>
      <c r="E67" s="201"/>
      <c r="F67" s="2484"/>
      <c r="G67" s="2484"/>
      <c r="H67" s="2492"/>
      <c r="I67" s="138"/>
      <c r="J67" s="3108"/>
      <c r="K67" s="2964" t="s">
        <v>2253</v>
      </c>
      <c r="L67" s="1747">
        <f ca="1">IF(M49&gt;=10000,(8.25+(M49-10000)*0.01%),IF(AND(M49&gt;=8000,M49&lt;10000),(7.85+(M49-8000)*0.02%),IF(AND(M49&gt;=5000,M49&lt;8000),(6.65+(M49-5000)*0.04%),IF(AND(M49&gt;=2000,M49&lt;5000),(4.25+(PM49-2000)*0.08%),IF(AND(M49&gt;=1000,M49&lt;2000),(2.75+(M49-1000)*0.15%),IF(AND(M49&gt;=100,M49&lt;1000),(0.5+(M49-100)*0.25%),IF(AND(M49&gt;0,M49&lt;100),M49*0.5%)))))))</f>
        <v>11.495799999999999</v>
      </c>
      <c r="M67" s="24">
        <f ca="1">ROUND(L67*0.9,1)</f>
        <v>10.3</v>
      </c>
      <c r="Z67" s="2418"/>
      <c r="AI67" s="2419"/>
    </row>
    <row r="68" spans="1:35" ht="14.25" customHeight="1" thickBot="1">
      <c r="A68" s="208" t="s">
        <v>774</v>
      </c>
      <c r="B68" s="209" t="s">
        <v>2254</v>
      </c>
      <c r="C68" s="210">
        <f ca="1">IF(C67&lt;=0,0,ROUND(C67*D68,0))</f>
        <v>2224</v>
      </c>
      <c r="D68" s="211">
        <f>'数据-取费表'!B41</f>
        <v>5.5000000000000007E-2</v>
      </c>
      <c r="E68" s="212"/>
      <c r="F68" s="2484"/>
      <c r="G68" s="2484"/>
      <c r="H68" s="2492"/>
      <c r="I68" s="138"/>
      <c r="J68" s="3108"/>
      <c r="K68" s="2964" t="s">
        <v>2255</v>
      </c>
      <c r="L68" s="1747">
        <f ca="1">IF(M49&gt;10000,M49*0.5%,IF(AND(M49&gt;5000,M49&lt;=10000),M49*1%,IF(AND(M49&gt;1000,M49&lt;=5000),M49*2%,IF(AND(M49&gt;200,M49&lt;=1000),M49*3%,M49*5%))))</f>
        <v>212.29</v>
      </c>
      <c r="M68" s="24">
        <f ca="1">ROUND(L68,1)</f>
        <v>212.3</v>
      </c>
      <c r="Z68" s="2418"/>
      <c r="AI68" s="2419"/>
    </row>
    <row r="69" spans="1:35" s="2441" customFormat="1" ht="16.5" customHeight="1">
      <c r="A69" s="2495"/>
      <c r="B69" s="2496"/>
      <c r="C69" s="2497"/>
      <c r="D69" s="2498"/>
      <c r="E69" s="2499"/>
      <c r="F69" s="2160"/>
      <c r="G69" s="2160"/>
      <c r="H69" s="2159"/>
      <c r="I69" s="2413"/>
      <c r="J69" s="3108"/>
      <c r="K69" s="2964" t="s">
        <v>2256</v>
      </c>
      <c r="L69" s="2500"/>
      <c r="M69" s="24">
        <f ca="1">ROUND(SUM(M63:M68),0)</f>
        <v>690</v>
      </c>
      <c r="N69" s="1748">
        <f ca="1">M69/M49</f>
        <v>1.6251354279523293E-2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52" t="s">
        <v>2257</v>
      </c>
      <c r="B70" s="3153"/>
      <c r="C70" s="3153"/>
      <c r="D70" s="3153"/>
      <c r="E70" s="3153"/>
      <c r="F70" s="3153"/>
      <c r="G70" s="3153"/>
      <c r="H70" s="315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3" t="s">
        <v>2238</v>
      </c>
      <c r="B71" s="3144"/>
      <c r="C71" s="2955"/>
      <c r="D71" s="2955"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40436</v>
      </c>
      <c r="D72" s="200" t="s">
        <v>32</v>
      </c>
      <c r="E72" s="2954"/>
      <c r="F72" s="2949"/>
      <c r="G72" s="294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202</v>
      </c>
      <c r="D73" s="200" t="s">
        <v>32</v>
      </c>
      <c r="E73" s="2954"/>
      <c r="F73" s="2949"/>
      <c r="G73" s="294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2954"/>
      <c r="F74" s="2949"/>
      <c r="G74" s="294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49" t="s">
        <v>2266</v>
      </c>
      <c r="F76" s="3148"/>
      <c r="G76" s="3148"/>
      <c r="H76" s="315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2965" t="s">
        <v>2268</v>
      </c>
      <c r="F77" s="224"/>
      <c r="G77" s="2508" t="s">
        <v>2269</v>
      </c>
      <c r="H77" s="295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202</v>
      </c>
      <c r="D78" s="226">
        <f>'数据-取费表'!B43</f>
        <v>5.000000000000001E-3</v>
      </c>
      <c r="E78" s="3140" t="s">
        <v>2271</v>
      </c>
      <c r="F78" s="3141"/>
      <c r="G78" s="3141"/>
      <c r="H78" s="314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2272</v>
      </c>
      <c r="C79" s="207">
        <f ca="1">C72-C73</f>
        <v>40234</v>
      </c>
      <c r="D79" s="200" t="s">
        <v>32</v>
      </c>
      <c r="E79" s="2954"/>
      <c r="F79" s="2949"/>
      <c r="G79" s="294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199.17821782178217</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24070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2" t="s">
        <v>2275</v>
      </c>
      <c r="B83" s="3153"/>
      <c r="C83" s="3153"/>
      <c r="D83" s="3153"/>
      <c r="E83" s="3153"/>
      <c r="F83" s="3153"/>
      <c r="G83" s="3153"/>
      <c r="H83" s="315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3" t="s">
        <v>2238</v>
      </c>
      <c r="B84" s="3144"/>
      <c r="C84" s="2955"/>
      <c r="D84" s="2955"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40436</v>
      </c>
      <c r="D85" s="200" t="s">
        <v>32</v>
      </c>
      <c r="E85" s="2954"/>
      <c r="F85" s="2949"/>
      <c r="G85" s="294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202</v>
      </c>
      <c r="D86" s="235"/>
      <c r="E86" s="2954"/>
      <c r="F86" s="2949"/>
      <c r="G86" s="294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2950"/>
      <c r="F87" s="2951"/>
      <c r="G87" s="2951"/>
      <c r="H87" s="2953"/>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2951"/>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2951"/>
      <c r="G89" s="2951"/>
      <c r="H89" s="2953"/>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2951"/>
      <c r="G90" s="2951"/>
      <c r="H90" s="2953"/>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40" t="s">
        <v>2284</v>
      </c>
      <c r="F91" s="3141"/>
      <c r="G91" s="3141"/>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40" t="s">
        <v>2288</v>
      </c>
      <c r="F92" s="3141"/>
      <c r="G92" s="3141"/>
      <c r="H92" s="314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202</v>
      </c>
      <c r="D93" s="226">
        <f>'数据-取费表'!B43</f>
        <v>5.000000000000001E-3</v>
      </c>
      <c r="E93" s="3140" t="s">
        <v>2271</v>
      </c>
      <c r="F93" s="3141"/>
      <c r="G93" s="3141"/>
      <c r="H93" s="314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88" t="s">
        <v>2292</v>
      </c>
      <c r="F94" s="3189"/>
      <c r="G94" s="3189"/>
      <c r="H94" s="319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2272</v>
      </c>
      <c r="C95" s="207">
        <f ca="1">ROUND(C85-C86,0)</f>
        <v>40234</v>
      </c>
      <c r="D95" s="200" t="s">
        <v>32</v>
      </c>
      <c r="E95" s="2954"/>
      <c r="F95" s="2949"/>
      <c r="G95" s="294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199.17821782178217</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24070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2293</v>
      </c>
      <c r="B99" s="2413"/>
      <c r="C99" s="2413"/>
      <c r="D99" s="2413"/>
      <c r="E99" s="2160"/>
      <c r="F99" s="2160"/>
      <c r="G99" s="2160"/>
      <c r="H99" s="2159"/>
      <c r="I99" s="138"/>
    </row>
    <row r="100" spans="1:35" ht="18.75" customHeight="1">
      <c r="A100" s="3092" t="s">
        <v>2294</v>
      </c>
      <c r="B100" s="3093"/>
      <c r="C100" s="3093"/>
      <c r="D100" s="3124"/>
      <c r="E100" s="3093" t="s">
        <v>2295</v>
      </c>
      <c r="F100" s="3093"/>
      <c r="G100" s="3093"/>
      <c r="H100" s="3124"/>
      <c r="I100" s="138"/>
    </row>
    <row r="101" spans="1:35" ht="18.75" customHeight="1">
      <c r="A101" s="3132" t="s">
        <v>2296</v>
      </c>
      <c r="B101" s="3133"/>
      <c r="C101" s="734" t="str">
        <f>C4</f>
        <v>收益法商业</v>
      </c>
      <c r="D101" s="735" t="str">
        <f>D4</f>
        <v>典型户型修正商业</v>
      </c>
      <c r="E101" s="3104" t="s">
        <v>2297</v>
      </c>
      <c r="F101" s="3105"/>
      <c r="G101" s="2515" t="s">
        <v>2298</v>
      </c>
      <c r="H101" s="1043">
        <f ca="1">H118</f>
        <v>42458</v>
      </c>
      <c r="I101" s="138"/>
    </row>
    <row r="102" spans="1:35" ht="18.75" customHeight="1">
      <c r="A102" s="3134" t="s">
        <v>2299</v>
      </c>
      <c r="B102" s="2515" t="s">
        <v>2298</v>
      </c>
      <c r="C102" s="734">
        <f ca="1">C19</f>
        <v>36144</v>
      </c>
      <c r="D102" s="735">
        <f ca="1">D19</f>
        <v>48772</v>
      </c>
      <c r="E102" s="3104"/>
      <c r="F102" s="3105"/>
      <c r="G102" s="2515" t="s">
        <v>2300</v>
      </c>
      <c r="H102" s="371">
        <f ca="1">I118</f>
        <v>21335</v>
      </c>
      <c r="I102" s="138"/>
    </row>
    <row r="103" spans="1:35" ht="42.75" customHeight="1">
      <c r="A103" s="3134"/>
      <c r="B103" s="2515" t="s">
        <v>2300</v>
      </c>
      <c r="C103" s="736">
        <f ca="1">C20</f>
        <v>18162</v>
      </c>
      <c r="D103" s="737">
        <f ca="1">D20</f>
        <v>24508</v>
      </c>
      <c r="E103" s="3098" t="s">
        <v>2301</v>
      </c>
      <c r="F103" s="3099"/>
      <c r="G103" s="2516" t="s">
        <v>2302</v>
      </c>
      <c r="H103" s="1043">
        <f>IF(D36="正常操作",H104+H105+H106,H105+H106)</f>
        <v>0</v>
      </c>
      <c r="I103" s="138"/>
    </row>
    <row r="104" spans="1:35" ht="18.75" customHeight="1">
      <c r="A104" s="3134" t="s">
        <v>2303</v>
      </c>
      <c r="B104" s="2517" t="s">
        <v>2298</v>
      </c>
      <c r="C104" s="738">
        <f ca="1">H118</f>
        <v>42458</v>
      </c>
      <c r="D104" s="739"/>
      <c r="E104" s="2261" t="s">
        <v>2304</v>
      </c>
      <c r="F104" s="2252"/>
      <c r="G104" s="2516" t="s">
        <v>2302</v>
      </c>
      <c r="H104" s="1044">
        <f>IF(D36="同一抵押权人同一抵押物续贷",C36&amp;"（未扣减，详见特别提示）",C36)</f>
        <v>0</v>
      </c>
      <c r="I104" s="138"/>
    </row>
    <row r="105" spans="1:35" ht="18.75" customHeight="1" thickBot="1">
      <c r="A105" s="3146"/>
      <c r="B105" s="2518" t="s">
        <v>2300</v>
      </c>
      <c r="C105" s="740">
        <f ca="1">I118</f>
        <v>21335</v>
      </c>
      <c r="D105" s="741"/>
      <c r="E105" s="2261" t="s">
        <v>2305</v>
      </c>
      <c r="F105" s="2252"/>
      <c r="G105" s="2516" t="s">
        <v>2302</v>
      </c>
      <c r="H105" s="1044">
        <f>C37</f>
        <v>0</v>
      </c>
      <c r="I105" s="138"/>
    </row>
    <row r="106" spans="1:35" ht="18.75" customHeight="1">
      <c r="A106" s="2413" t="s">
        <v>2306</v>
      </c>
      <c r="B106" s="2413"/>
      <c r="C106" s="2413"/>
      <c r="D106" s="2413"/>
      <c r="E106" s="2519" t="s">
        <v>2307</v>
      </c>
      <c r="F106" s="2252"/>
      <c r="G106" s="2516" t="s">
        <v>2302</v>
      </c>
      <c r="H106" s="1044">
        <f>C38</f>
        <v>0</v>
      </c>
      <c r="I106" s="138"/>
    </row>
    <row r="107" spans="1:35" ht="18.75" customHeight="1">
      <c r="A107" s="138"/>
      <c r="B107" s="138"/>
      <c r="C107" s="138"/>
      <c r="D107" s="138"/>
      <c r="E107" s="3135" t="str">
        <f>IF(项目基本情况!E8="已注销","——","3.房地产抵押价值")</f>
        <v>3.房地产抵押价值</v>
      </c>
      <c r="F107" s="3105"/>
      <c r="G107" s="2515" t="s">
        <v>2298</v>
      </c>
      <c r="H107" s="1043">
        <f ca="1">IF(E107="——","——",H101-H103)</f>
        <v>42458</v>
      </c>
      <c r="I107" s="138"/>
    </row>
    <row r="108" spans="1:35" ht="18.75" customHeight="1">
      <c r="A108" s="138"/>
      <c r="B108" s="138"/>
      <c r="C108" s="138"/>
      <c r="D108" s="138"/>
      <c r="E108" s="3135"/>
      <c r="F108" s="3105"/>
      <c r="G108" s="2515" t="s">
        <v>2300</v>
      </c>
      <c r="H108" s="371">
        <f ca="1">ROUND(H107*10000/'数据-汇总表'!E3,0)</f>
        <v>8183</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05"/>
      <c r="G109" s="2515" t="s">
        <v>2298</v>
      </c>
      <c r="H109" s="348" t="str">
        <f>IF(E109="——","——",H101-H105-H106)</f>
        <v>——</v>
      </c>
      <c r="I109" s="138"/>
    </row>
    <row r="110" spans="1:35" ht="18.75" customHeight="1">
      <c r="A110" s="138"/>
      <c r="B110" s="138"/>
      <c r="C110" s="138"/>
      <c r="D110" s="138"/>
      <c r="E110" s="3135"/>
      <c r="F110" s="3105"/>
      <c r="G110" s="2515" t="s">
        <v>2300</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5" t="s">
        <v>2298</v>
      </c>
      <c r="H111" s="1043" t="str">
        <f>IF(E111="——","——",N59)</f>
        <v>——</v>
      </c>
      <c r="I111" s="138"/>
    </row>
    <row r="112" spans="1:35" ht="18.75" customHeight="1" thickBot="1">
      <c r="A112" s="138"/>
      <c r="B112" s="138"/>
      <c r="C112" s="138"/>
      <c r="D112" s="138"/>
      <c r="E112" s="3138"/>
      <c r="F112" s="3139"/>
      <c r="G112" s="2520" t="s">
        <v>2300</v>
      </c>
      <c r="H112" s="788" t="str">
        <f>IF(E111="——","——",N61)</f>
        <v>——</v>
      </c>
      <c r="I112" s="138"/>
    </row>
    <row r="113" spans="1:11" ht="18.75" customHeight="1">
      <c r="A113" s="138"/>
      <c r="B113" s="138"/>
      <c r="C113" s="138"/>
      <c r="D113" s="138"/>
      <c r="E113" s="3147" t="s">
        <v>2306</v>
      </c>
      <c r="F113" s="3147"/>
      <c r="G113" s="3147"/>
      <c r="H113" s="3147"/>
      <c r="I113" s="138"/>
    </row>
    <row r="114" spans="1:11" ht="3.75" customHeight="1">
      <c r="A114" s="2413"/>
      <c r="B114" s="2413"/>
      <c r="C114" s="2413"/>
      <c r="D114" s="2413"/>
      <c r="E114" s="2491"/>
      <c r="F114" s="2491"/>
      <c r="G114" s="2491"/>
      <c r="H114" s="2491"/>
      <c r="I114" s="2413"/>
    </row>
    <row r="115" spans="1:11" ht="18.75" customHeight="1">
      <c r="A115" s="3160" t="s">
        <v>2308</v>
      </c>
      <c r="B115" s="3161"/>
      <c r="C115" s="3161"/>
      <c r="D115" s="3161"/>
      <c r="E115" s="3161"/>
      <c r="F115" s="3161"/>
      <c r="G115" s="3161"/>
      <c r="H115" s="3161"/>
      <c r="I115" s="3162"/>
    </row>
    <row r="116" spans="1:11" ht="27" customHeight="1">
      <c r="A116" s="3071" t="s">
        <v>2309</v>
      </c>
      <c r="B116" s="3114" t="s">
        <v>2310</v>
      </c>
      <c r="C116" s="3114" t="s">
        <v>2311</v>
      </c>
      <c r="D116" s="3120" t="s">
        <v>2312</v>
      </c>
      <c r="E116" s="3121"/>
      <c r="F116" s="3156" t="s">
        <v>2313</v>
      </c>
      <c r="G116" s="3156"/>
      <c r="H116" s="3071" t="s">
        <v>2314</v>
      </c>
      <c r="I116" s="3071"/>
    </row>
    <row r="117" spans="1:11" ht="18.75" customHeight="1">
      <c r="A117" s="3071"/>
      <c r="B117" s="3115"/>
      <c r="C117" s="3115"/>
      <c r="D117" s="2947" t="s">
        <v>2315</v>
      </c>
      <c r="E117" s="2947" t="s">
        <v>2316</v>
      </c>
      <c r="F117" s="2947" t="s">
        <v>2315</v>
      </c>
      <c r="G117" s="2947" t="s">
        <v>2317</v>
      </c>
      <c r="H117" s="2947" t="s">
        <v>2315</v>
      </c>
      <c r="I117" s="2947" t="s">
        <v>2317</v>
      </c>
    </row>
    <row r="118" spans="1:11" ht="24.75" customHeight="1">
      <c r="A118" s="2521" t="str">
        <f>项目基本情况!S2</f>
        <v>北京市北京经济技术开发区天华北街11号院1号楼，2号楼，3号楼，4幢等部分办公、商业用房房地产抵押价值评估房地产</v>
      </c>
      <c r="B118" s="2947">
        <f>M18</f>
        <v>19900.510000000002</v>
      </c>
      <c r="C118" s="2947">
        <f>M19</f>
        <v>4414.24</v>
      </c>
      <c r="D118" s="2947">
        <f ca="1">ROUND(IF(D32="总价",C34,E118*B118/10000),0)</f>
        <v>28447</v>
      </c>
      <c r="E118" s="2947">
        <f ca="1">ROUND(IF(C33="自定义",IF(D32="楼面单价",C34,D118*10000/B118),I118-G118),0)</f>
        <v>14294</v>
      </c>
      <c r="F118" s="2947">
        <f ca="1">ROUND(IF(D32="总价",C35,G118*B118/10000),0)</f>
        <v>14011</v>
      </c>
      <c r="G118" s="2947">
        <f ca="1">ROUND(IF(D32="楼面单价",C35,F118*10000/B118),0)</f>
        <v>7041</v>
      </c>
      <c r="H118" s="2947">
        <f ca="1">ROUND(IF(D32="总价",C32,I118*B118/10000),0)</f>
        <v>42458</v>
      </c>
      <c r="I118" s="2947">
        <f ca="1">ROUND(IF(D32="楼面单价",C32,H118*10000/B118),0)</f>
        <v>21335</v>
      </c>
    </row>
    <row r="119" spans="1:11" ht="18.75" customHeight="1">
      <c r="A119" s="3071" t="s">
        <v>2318</v>
      </c>
      <c r="B119" s="3071"/>
      <c r="C119" s="3071"/>
      <c r="D119" s="3116" t="str">
        <f ca="1">NUMBERSTRING(INT(D118*10000),2)&amp;"元整"</f>
        <v>贰亿捌仟肆佰肆拾柒万元整</v>
      </c>
      <c r="E119" s="3117"/>
      <c r="F119" s="3116" t="str">
        <f ca="1">NUMBERSTRING(INT(F118*10000),2)&amp;"元整"</f>
        <v>壹亿肆仟零壹拾壹万元整</v>
      </c>
      <c r="G119" s="3117"/>
      <c r="H119" s="3116" t="str">
        <f ca="1">NUMBERSTRING(INT(H118*10000),2)&amp;"元整"</f>
        <v>肆亿贰仟肆佰伍拾捌万元整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18" t="str">
        <f>IF(D120=0,"故，本次评估不存在"&amp;A120,"故，本次评估"&amp;A120&amp;"为人民币"&amp;D120&amp;"万元整。")</f>
        <v>故，本次评估不存在估价师知悉的法定优先受偿款</v>
      </c>
    </row>
    <row r="121" spans="1:11" ht="18.75" customHeight="1">
      <c r="A121" s="3157" t="s">
        <v>2318</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42458</v>
      </c>
      <c r="E122" s="3112"/>
      <c r="F122" s="3112"/>
      <c r="G122" s="3112"/>
      <c r="H122" s="3112"/>
      <c r="I122" s="3113"/>
    </row>
    <row r="123" spans="1:11" ht="18.75" customHeight="1">
      <c r="A123" s="3071" t="s">
        <v>2318</v>
      </c>
      <c r="B123" s="3071"/>
      <c r="C123" s="3071"/>
      <c r="D123" s="3116" t="str">
        <f ca="1">NUMBERSTRING(INT(D122*10000),2)&amp;"元整"</f>
        <v>肆亿贰仟肆佰伍拾捌万元整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1" t="s">
        <v>2318</v>
      </c>
      <c r="B125" s="3071"/>
      <c r="C125" s="3071"/>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1" t="s">
        <v>2318</v>
      </c>
      <c r="B127" s="3071"/>
      <c r="C127" s="3071"/>
      <c r="D127" s="3116" t="e">
        <f>NUMBERSTRING(INT(D126*10000),2)&amp;"元整"</f>
        <v>#VALUE!</v>
      </c>
      <c r="E127" s="3118"/>
      <c r="F127" s="3118"/>
      <c r="G127" s="3118"/>
      <c r="H127" s="3118"/>
      <c r="I127" s="3117"/>
    </row>
    <row r="128" spans="1:11" ht="21.75" customHeight="1">
      <c r="A128" s="3119" t="s">
        <v>2319</v>
      </c>
      <c r="B128" s="3119"/>
      <c r="C128" s="3119"/>
      <c r="D128" s="3119"/>
      <c r="E128" s="3119"/>
      <c r="F128" s="3119"/>
      <c r="G128" s="3119"/>
      <c r="H128" s="3119"/>
      <c r="I128" s="3119"/>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2322</v>
      </c>
      <c r="G135" s="2539"/>
      <c r="H135" s="2539"/>
      <c r="I135" s="2540" t="s">
        <v>2323</v>
      </c>
    </row>
    <row r="136" spans="1:35" ht="21.75" customHeight="1">
      <c r="A136" s="793"/>
      <c r="B136" s="2541"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2325</v>
      </c>
    </row>
    <row r="139" spans="1:35" ht="21.75" customHeight="1">
      <c r="A139" s="793"/>
      <c r="B139" s="2541" t="s">
        <v>2326</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2325</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6" priority="10" stopIfTrue="1" operator="equal">
      <formula>25</formula>
    </cfRule>
  </conditionalFormatting>
  <conditionalFormatting sqref="C8:C9">
    <cfRule type="cellIs" dxfId="135" priority="9" stopIfTrue="1" operator="equal">
      <formula>15</formula>
    </cfRule>
  </conditionalFormatting>
  <conditionalFormatting sqref="C14:C16">
    <cfRule type="cellIs" dxfId="134" priority="8" stopIfTrue="1" operator="equal">
      <formula>30</formula>
    </cfRule>
  </conditionalFormatting>
  <conditionalFormatting sqref="D5:D7">
    <cfRule type="cellIs" dxfId="133" priority="7" stopIfTrue="1" operator="equal">
      <formula>25</formula>
    </cfRule>
  </conditionalFormatting>
  <conditionalFormatting sqref="D8:D9">
    <cfRule type="cellIs" dxfId="132" priority="6" stopIfTrue="1" operator="equal">
      <formula>15</formula>
    </cfRule>
  </conditionalFormatting>
  <conditionalFormatting sqref="C10:D13">
    <cfRule type="cellIs" dxfId="131" priority="5" stopIfTrue="1" operator="equal">
      <formula>15</formula>
    </cfRule>
  </conditionalFormatting>
  <conditionalFormatting sqref="D14:D16">
    <cfRule type="cellIs" dxfId="130" priority="4"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70" zoomScaleNormal="70" zoomScaleSheetLayoutView="90" workbookViewId="0">
      <selection activeCell="K34" sqref="K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1">
        <f ca="1">J53</f>
        <v>28.58</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36144</v>
      </c>
      <c r="C2" s="1843" t="s">
        <v>1512</v>
      </c>
      <c r="D2" s="1843"/>
      <c r="E2" s="1844"/>
      <c r="F2" s="1845"/>
      <c r="G2" s="1846"/>
      <c r="H2" s="1838"/>
      <c r="I2" s="1838"/>
      <c r="J2" s="1838"/>
      <c r="K2" s="1839"/>
      <c r="L2" s="1838"/>
      <c r="M2" s="1838"/>
    </row>
    <row r="3" spans="1:37" ht="18" customHeight="1" thickBot="1">
      <c r="A3" s="1847" t="s">
        <v>1513</v>
      </c>
      <c r="B3" s="1848">
        <f ca="1">IF(ISERROR(B2*10000/F43),0,ROUND(B2*10000/F43,0))</f>
        <v>18162</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2550</v>
      </c>
      <c r="D5" s="1820" t="s">
        <v>1398</v>
      </c>
      <c r="E5" s="1291"/>
      <c r="F5" s="1292"/>
      <c r="G5" s="1849"/>
      <c r="H5" s="344">
        <v>1</v>
      </c>
      <c r="I5" s="345" t="s">
        <v>1397</v>
      </c>
      <c r="J5" s="1290">
        <f ca="1">J6+J10+J12</f>
        <v>0</v>
      </c>
      <c r="K5" s="1820" t="s">
        <v>1398</v>
      </c>
      <c r="L5" s="1291"/>
      <c r="M5" s="1292"/>
    </row>
    <row r="6" spans="1:37" ht="18" customHeight="1">
      <c r="A6" s="1289" t="s">
        <v>1032</v>
      </c>
      <c r="B6" s="3196" t="s">
        <v>1399</v>
      </c>
      <c r="C6" s="1294">
        <f ca="1">ROUND(F6*F8*F7*(1-F9)/10000,0)</f>
        <v>2550</v>
      </c>
      <c r="D6" s="164" t="s">
        <v>3033</v>
      </c>
      <c r="E6" s="347" t="s">
        <v>1401</v>
      </c>
      <c r="F6" s="348">
        <f ca="1">INDIRECT("'数据-取费表'!u"&amp;$G$1)</f>
        <v>3.9</v>
      </c>
      <c r="G6" s="1849"/>
      <c r="H6" s="1289" t="s">
        <v>1032</v>
      </c>
      <c r="I6" s="3196" t="s">
        <v>1399</v>
      </c>
      <c r="J6" s="346">
        <f ca="1">ROUND(M6*M8*M7*(1-M9)/10000,0)</f>
        <v>0</v>
      </c>
      <c r="K6" s="164" t="s">
        <v>3032</v>
      </c>
      <c r="L6" s="347" t="s">
        <v>1401</v>
      </c>
      <c r="M6" s="348">
        <f ca="1">INDIRECT("'数据-取费表'!z"&amp;$G$1)</f>
        <v>0</v>
      </c>
    </row>
    <row r="7" spans="1:37" ht="18" customHeight="1">
      <c r="A7" s="1293"/>
      <c r="B7" s="3197"/>
      <c r="C7" s="1295"/>
      <c r="D7" s="352"/>
      <c r="E7" s="2966" t="s">
        <v>1402</v>
      </c>
      <c r="F7" s="348">
        <f ca="1">IF(INDIRECT("'数据-取费表'!ah"&amp;$G$1)="",INDIRECT("'数据-取费表'!k"&amp;$G$1),INDIRECT("'数据-取费表'!ah"&amp;$G$1))</f>
        <v>19900.510000000002</v>
      </c>
      <c r="G7" s="1849"/>
      <c r="H7" s="349"/>
      <c r="I7" s="3197"/>
      <c r="J7" s="351"/>
      <c r="K7" s="352"/>
      <c r="L7" s="347" t="s">
        <v>1402</v>
      </c>
      <c r="M7" s="348">
        <f ca="1">F7</f>
        <v>19900.510000000002</v>
      </c>
    </row>
    <row r="8" spans="1:37" ht="18" customHeight="1">
      <c r="A8" s="349"/>
      <c r="B8" s="3197"/>
      <c r="C8" s="351"/>
      <c r="D8" s="352"/>
      <c r="E8" s="347" t="s">
        <v>1403</v>
      </c>
      <c r="F8" s="348">
        <f ca="1">INDIRECT("'数据-取费表'!ai"&amp;$G$1)</f>
        <v>365</v>
      </c>
      <c r="G8" s="1849"/>
      <c r="H8" s="349"/>
      <c r="I8" s="3197"/>
      <c r="J8" s="351"/>
      <c r="K8" s="352"/>
      <c r="L8" s="347" t="s">
        <v>1403</v>
      </c>
      <c r="M8" s="348">
        <f ca="1">INDIRECT("'数据-取费表'!ai"&amp;$G$1)</f>
        <v>365</v>
      </c>
    </row>
    <row r="9" spans="1:37" ht="18" customHeight="1">
      <c r="A9" s="349"/>
      <c r="B9" s="3198"/>
      <c r="C9" s="351"/>
      <c r="D9" s="352"/>
      <c r="E9" s="347" t="s">
        <v>1404</v>
      </c>
      <c r="F9" s="357">
        <f ca="1">INDIRECT("'数据-取费表'!w"&amp;$G$1)</f>
        <v>0.1</v>
      </c>
      <c r="G9" s="1849"/>
      <c r="H9" s="349"/>
      <c r="I9" s="3198"/>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3041</v>
      </c>
      <c r="E10" s="358" t="s">
        <v>1406</v>
      </c>
      <c r="F10" s="1364" t="s">
        <v>3182</v>
      </c>
      <c r="G10" s="1849"/>
      <c r="H10" s="1289" t="s">
        <v>1036</v>
      </c>
      <c r="I10" s="1821" t="s">
        <v>1405</v>
      </c>
      <c r="J10" s="346">
        <f ca="1">ROUND(IF(M10="押一",J6/12*M11,IF(M10="押二",J6/12*2*M11,IF(M10="押三",J6/12*3*M11,J11*M11))),0)</f>
        <v>0</v>
      </c>
      <c r="K10" s="1822" t="s">
        <v>3041</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7978</v>
      </c>
      <c r="D13" s="1329" t="s">
        <v>1411</v>
      </c>
      <c r="E13" s="1329" t="s">
        <v>1412</v>
      </c>
      <c r="F13" s="1330">
        <f ca="1">INDIRECT("'数据-取费表'!y"&amp;$G$1)</f>
        <v>0.93</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5572</v>
      </c>
      <c r="D14" s="2954" t="s">
        <v>1414</v>
      </c>
      <c r="E14" s="2949"/>
      <c r="F14" s="364"/>
      <c r="G14" s="1849"/>
      <c r="H14" s="1199" t="s">
        <v>1032</v>
      </c>
      <c r="I14" s="347" t="s">
        <v>1415</v>
      </c>
      <c r="J14" s="24">
        <f ca="1">C29</f>
        <v>8579</v>
      </c>
      <c r="K14" s="2965"/>
      <c r="L14" s="977"/>
      <c r="M14" s="978"/>
    </row>
    <row r="15" spans="1:37" s="1856" customFormat="1" ht="18" customHeight="1" thickBot="1">
      <c r="A15" s="1199" t="s">
        <v>1033</v>
      </c>
      <c r="B15" s="347" t="s">
        <v>1416</v>
      </c>
      <c r="C15" s="24">
        <f ca="1">ROUND(C14*F15,0)</f>
        <v>167</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201</v>
      </c>
      <c r="K16" s="1335" t="s">
        <v>1421</v>
      </c>
      <c r="L16" s="2956"/>
      <c r="M16" s="1292"/>
    </row>
    <row r="17" spans="1:37" s="1856" customFormat="1" ht="18" customHeight="1">
      <c r="A17" s="1199" t="s">
        <v>1386</v>
      </c>
      <c r="B17" s="347" t="s">
        <v>1422</v>
      </c>
      <c r="C17" s="24">
        <f ca="1">ROUND(F17*(F43+INDIRECT("'数据-取费表'!S"&amp;$G$1))/10000,0)</f>
        <v>398</v>
      </c>
      <c r="D17" s="347" t="s">
        <v>1423</v>
      </c>
      <c r="E17" s="347" t="s">
        <v>1424</v>
      </c>
      <c r="F17" s="26">
        <f>'数据-取费表'!B35</f>
        <v>200</v>
      </c>
      <c r="G17" s="1852"/>
      <c r="H17" s="1199" t="s">
        <v>1032</v>
      </c>
      <c r="I17" s="347" t="s">
        <v>1425</v>
      </c>
      <c r="J17" s="24">
        <f ca="1">ROUND(IF(项目基本情况!B11="自然人",J5*M17,J18+J19+J20),1)</f>
        <v>72.7</v>
      </c>
      <c r="K17" s="2954" t="s">
        <v>1426</v>
      </c>
      <c r="L17" s="295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84</v>
      </c>
      <c r="D18" s="347" t="s">
        <v>1417</v>
      </c>
      <c r="E18" s="347" t="s">
        <v>1418</v>
      </c>
      <c r="F18" s="367">
        <f>'数据-取费表'!B36</f>
        <v>1.4999999999999999E-2</v>
      </c>
      <c r="G18" s="1852"/>
      <c r="H18" s="1199" t="s">
        <v>1031</v>
      </c>
      <c r="I18" s="347" t="s">
        <v>1429</v>
      </c>
      <c r="J18" s="24">
        <f ca="1">ROUND(J5*M18/(1+'数据-取费表'!C42),2)</f>
        <v>0</v>
      </c>
      <c r="K18" s="295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6221</v>
      </c>
      <c r="D19" s="140" t="s">
        <v>1432</v>
      </c>
      <c r="E19" s="2963"/>
      <c r="F19" s="26"/>
      <c r="G19" s="1849"/>
      <c r="H19" s="1199" t="s">
        <v>1033</v>
      </c>
      <c r="I19" s="347" t="s">
        <v>1433</v>
      </c>
      <c r="J19" s="24">
        <f ca="1">IF(K19="按租金收入计税",ROUND(J5*M19,2),ROUND(C29*M19*0.7,2))</f>
        <v>72.06</v>
      </c>
      <c r="K19" s="1826" t="s">
        <v>1434</v>
      </c>
      <c r="L19" s="347" t="s">
        <v>1418</v>
      </c>
      <c r="M19" s="367">
        <f>IF(K19="按租金收入计税",'数据-取费表'!B51,'数据-取费表'!B50)</f>
        <v>1.2E-2</v>
      </c>
    </row>
    <row r="20" spans="1:37" s="1856" customFormat="1" ht="18" customHeight="1">
      <c r="A20" s="1199" t="s">
        <v>1036</v>
      </c>
      <c r="B20" s="347" t="s">
        <v>1435</v>
      </c>
      <c r="C20" s="24">
        <f ca="1">ROUND(C19*F20,0)</f>
        <v>124</v>
      </c>
      <c r="D20" s="369" t="s">
        <v>1436</v>
      </c>
      <c r="E20" s="347" t="s">
        <v>1418</v>
      </c>
      <c r="F20" s="367">
        <f>'数据-取费表'!B37</f>
        <v>0.02</v>
      </c>
      <c r="G20" s="1852"/>
      <c r="H20" s="1199" t="s">
        <v>1385</v>
      </c>
      <c r="I20" s="164" t="s">
        <v>1437</v>
      </c>
      <c r="J20" s="25">
        <f ca="1">ROUND(M20*M21/10000,2)</f>
        <v>0.66</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4414.24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3"/>
      <c r="F22" s="26"/>
      <c r="G22" s="1849"/>
      <c r="H22" s="1199" t="s">
        <v>1036</v>
      </c>
      <c r="I22" s="347" t="s">
        <v>1445</v>
      </c>
      <c r="J22" s="24">
        <f ca="1">ROUND(J14*M22,1)</f>
        <v>128.69999999999999</v>
      </c>
      <c r="K22" s="2952"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301</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2952"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v>
      </c>
      <c r="K24" s="1340" t="s">
        <v>1455</v>
      </c>
      <c r="L24" s="1338" t="s">
        <v>1418</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3"/>
      <c r="F25" s="26"/>
      <c r="G25" s="1849"/>
      <c r="H25" s="1327" t="s">
        <v>1028</v>
      </c>
      <c r="I25" s="1342" t="s">
        <v>1459</v>
      </c>
      <c r="J25" s="355">
        <f ca="1">J5-J16</f>
        <v>-201</v>
      </c>
      <c r="K25" s="1343" t="s">
        <v>1460</v>
      </c>
      <c r="L25" s="1344"/>
      <c r="M25" s="1345"/>
    </row>
    <row r="26" spans="1:37">
      <c r="A26" s="1199" t="s">
        <v>1031</v>
      </c>
      <c r="B26" s="347" t="s">
        <v>1461</v>
      </c>
      <c r="C26" s="24">
        <f ca="1">ROUND((C19+C20)*F26,0)</f>
        <v>1269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8579</v>
      </c>
      <c r="D29" s="1340"/>
      <c r="E29" s="1338"/>
      <c r="F29" s="1341"/>
      <c r="G29" s="1852"/>
      <c r="H29" s="380" t="s">
        <v>1030</v>
      </c>
      <c r="I29" s="381" t="s">
        <v>1475</v>
      </c>
      <c r="J29" s="382">
        <f ca="1">ROUND(J26/(1+F40)^F41,0)</f>
        <v>0</v>
      </c>
      <c r="K29" s="383" t="s">
        <v>1476</v>
      </c>
      <c r="L29" s="384"/>
      <c r="M29" s="385">
        <f ca="1">INDIRECT("'数据-取费表'!k"&amp;$G$1)</f>
        <v>19900.510000000002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619</v>
      </c>
      <c r="D30" s="1335" t="s">
        <v>1421</v>
      </c>
      <c r="E30" s="2956"/>
      <c r="F30" s="1292"/>
      <c r="G30" s="1849"/>
      <c r="H30" s="743"/>
      <c r="I30" s="744"/>
      <c r="J30" s="745"/>
      <c r="K30" s="746"/>
      <c r="L30" s="747"/>
      <c r="M30" s="748"/>
    </row>
    <row r="31" spans="1:37" ht="18" customHeight="1">
      <c r="A31" s="1199" t="s">
        <v>1032</v>
      </c>
      <c r="B31" s="347" t="s">
        <v>1425</v>
      </c>
      <c r="C31" s="24">
        <f ca="1">ROUND(IF(项目基本情况!B11="自然人",C5*F31,C32+C33+C34),1)</f>
        <v>440.2</v>
      </c>
      <c r="D31" s="2954" t="s">
        <v>1426</v>
      </c>
      <c r="E31" s="295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133.57</v>
      </c>
      <c r="D32" s="2952" t="s">
        <v>1430</v>
      </c>
      <c r="E32" s="347" t="s">
        <v>1418</v>
      </c>
      <c r="F32" s="377">
        <f>'数据-取费表'!B41</f>
        <v>5.5000000000000007E-2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306</v>
      </c>
      <c r="D33" s="1826" t="s">
        <v>3183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0.66</v>
      </c>
      <c r="D34" s="370" t="s">
        <v>1438</v>
      </c>
      <c r="E34" s="347" t="s">
        <v>1439</v>
      </c>
      <c r="F34" s="371">
        <f>'数据-取费表'!B52</f>
        <v>1.5</v>
      </c>
      <c r="G34" s="1849"/>
      <c r="H34" s="743"/>
      <c r="I34" s="1858"/>
      <c r="J34" s="1859"/>
      <c r="K34" s="1861"/>
      <c r="L34" s="1862"/>
      <c r="M34" s="1862"/>
    </row>
    <row r="35" spans="1:18" ht="18" customHeight="1">
      <c r="A35" s="1351"/>
      <c r="B35" s="1349"/>
      <c r="C35" s="29"/>
      <c r="D35" s="373"/>
      <c r="E35" s="347" t="s">
        <v>1443</v>
      </c>
      <c r="F35" s="348">
        <f ca="1">INDIRECT("'数据-取费表'!r"&amp;$G$1)</f>
        <v>4414.24</v>
      </c>
      <c r="G35" s="1849"/>
      <c r="H35" s="743"/>
      <c r="I35" s="1858"/>
      <c r="J35" s="1859"/>
      <c r="K35" s="1860"/>
      <c r="L35" s="1857"/>
      <c r="M35" s="1857"/>
    </row>
    <row r="36" spans="1:18" ht="18" customHeight="1">
      <c r="A36" s="1350" t="s">
        <v>1036</v>
      </c>
      <c r="B36" s="347" t="s">
        <v>1445</v>
      </c>
      <c r="C36" s="24">
        <f ca="1">ROUND(C29*F36,1)</f>
        <v>128.69999999999999</v>
      </c>
      <c r="D36" s="2952" t="s">
        <v>1478</v>
      </c>
      <c r="E36" s="347" t="s">
        <v>1418</v>
      </c>
      <c r="F36" s="374">
        <f ca="1">INDIRECT("'数据-取费表'!Ak"&amp;$G$1)</f>
        <v>1.4999999999999999E-2</v>
      </c>
      <c r="G36" s="1849"/>
      <c r="H36" s="1857"/>
      <c r="I36" s="1858"/>
      <c r="J36" s="1859"/>
      <c r="K36" s="749"/>
      <c r="L36" s="1857"/>
      <c r="M36" s="1857"/>
    </row>
    <row r="37" spans="1:18" ht="18" customHeight="1">
      <c r="A37" s="1199" t="s">
        <v>1072</v>
      </c>
      <c r="B37" s="347" t="s">
        <v>1449</v>
      </c>
      <c r="C37" s="24">
        <f ca="1">ROUND(C13*F37,1)</f>
        <v>12</v>
      </c>
      <c r="D37" s="2952" t="s">
        <v>1450</v>
      </c>
      <c r="E37" s="347" t="s">
        <v>1418</v>
      </c>
      <c r="F37" s="376">
        <f ca="1">INDIRECT("'数据-取费表'!Al"&amp;$G$1)</f>
        <v>1.5E-3</v>
      </c>
      <c r="G37" s="1849"/>
      <c r="H37" s="1857"/>
      <c r="I37" s="1858"/>
      <c r="J37" s="1859"/>
      <c r="K37" s="749"/>
      <c r="L37" s="1857"/>
      <c r="M37" s="1857"/>
    </row>
    <row r="38" spans="1:18" ht="18" customHeight="1" thickBot="1">
      <c r="A38" s="1337" t="s">
        <v>1388</v>
      </c>
      <c r="B38" s="1338" t="s">
        <v>1435</v>
      </c>
      <c r="C38" s="1339">
        <f ca="1">ROUND(C5*F38,1)</f>
        <v>38.299999999999997</v>
      </c>
      <c r="D38" s="1340" t="s">
        <v>1455</v>
      </c>
      <c r="E38" s="1338" t="s">
        <v>1418</v>
      </c>
      <c r="F38" s="1334">
        <f ca="1">INDIRECT("'数据-取费表'!Am"&amp;$G$1)</f>
        <v>1.4999999999999999E-2</v>
      </c>
      <c r="G38" s="1849"/>
      <c r="H38" s="1857"/>
      <c r="I38" s="1858"/>
      <c r="J38" s="1859"/>
      <c r="K38" s="1863"/>
      <c r="L38" s="1857"/>
      <c r="M38" s="1857"/>
    </row>
    <row r="39" spans="1:18" ht="24.6" customHeight="1" thickTop="1">
      <c r="A39" s="1327" t="s">
        <v>1028</v>
      </c>
      <c r="B39" s="1342" t="s">
        <v>1459</v>
      </c>
      <c r="C39" s="355">
        <f ca="1">C5-C30</f>
        <v>1931</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36144</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28.58</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18162</v>
      </c>
      <c r="D43" s="383" t="s">
        <v>1484</v>
      </c>
      <c r="E43" s="384" t="s">
        <v>1485</v>
      </c>
      <c r="F43" s="385">
        <f ca="1">INDIRECT("'数据-取费表'!k"&amp;$G$1)</f>
        <v>19900.510000000002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-48424</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3184</v>
      </c>
      <c r="K47" s="1880" t="s">
        <v>1523</v>
      </c>
      <c r="L47" s="1881">
        <f ca="1">INDIRECT("'数据-取费表'!d"&amp;$G$1)</f>
        <v>40</v>
      </c>
      <c r="M47" s="1836" t="str">
        <f>IF(ISNUMBER(FIND("住宅",C1)),"住宅","非住宅")</f>
        <v>非住宅</v>
      </c>
      <c r="O47" s="1882" t="s">
        <v>1037</v>
      </c>
      <c r="P47" s="1883" t="s">
        <v>1524</v>
      </c>
      <c r="Q47" s="1884">
        <f ca="1">C40+J29</f>
        <v>36144</v>
      </c>
      <c r="R47" s="1884" t="s">
        <v>1525</v>
      </c>
    </row>
    <row r="48" spans="1:18" s="1840" customFormat="1" ht="28.5" thickBot="1">
      <c r="A48" s="1358" t="s">
        <v>1132</v>
      </c>
      <c r="B48" s="345" t="s">
        <v>1397</v>
      </c>
      <c r="C48" s="2962">
        <f ca="1">C49+C53+C55</f>
        <v>0</v>
      </c>
      <c r="D48" s="1360"/>
      <c r="E48" s="1361"/>
      <c r="F48" s="1179"/>
      <c r="G48" s="790"/>
      <c r="H48" s="791"/>
      <c r="I48" s="1885" t="s">
        <v>1526</v>
      </c>
      <c r="J48" s="1886" t="s">
        <v>3185</v>
      </c>
      <c r="K48" s="1887" t="s">
        <v>1527</v>
      </c>
      <c r="L48" s="1888">
        <f ca="1">INDIRECT("'数据-取费表'!f"&amp;$G$1)</f>
        <v>28.58</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3032</v>
      </c>
      <c r="E49" s="1828" t="s">
        <v>1487</v>
      </c>
      <c r="F49" s="1279"/>
      <c r="G49" s="1889"/>
      <c r="H49" s="791"/>
      <c r="I49" s="1885" t="s">
        <v>1530</v>
      </c>
      <c r="J49" s="1890">
        <v>2015</v>
      </c>
      <c r="K49" s="1887" t="s">
        <v>1531</v>
      </c>
      <c r="L49" s="1891"/>
      <c r="O49" s="1892" t="s">
        <v>1039</v>
      </c>
      <c r="P49" s="1883" t="s">
        <v>1532</v>
      </c>
      <c r="Q49" s="1884">
        <f ca="1">C29</f>
        <v>8579</v>
      </c>
      <c r="R49" s="1884" t="s">
        <v>1525</v>
      </c>
    </row>
    <row r="50" spans="1:18" s="1840" customFormat="1" ht="13.5" thickBot="1">
      <c r="A50" s="1193"/>
      <c r="B50" s="1196"/>
      <c r="C50" s="1366"/>
      <c r="D50" s="1170"/>
      <c r="E50" s="1275" t="s">
        <v>1402</v>
      </c>
      <c r="F50" s="1276">
        <f ca="1">F7</f>
        <v>19900.510000000002</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56</v>
      </c>
      <c r="K51" s="1898" t="s">
        <v>1537</v>
      </c>
      <c r="L51" s="1899">
        <f ca="1">ROUND(-PV(INDIRECT("'数据-取费表'!h"&amp;$G$1),L48,(C39-C13*C76),0),0)</f>
        <v>19444</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28.58</v>
      </c>
      <c r="R52" s="1884" t="s">
        <v>1542</v>
      </c>
    </row>
    <row r="53" spans="1:18" s="1840" customFormat="1" ht="24.75" thickBot="1">
      <c r="A53" s="1403" t="s">
        <v>1134</v>
      </c>
      <c r="B53" s="1829" t="s">
        <v>1405</v>
      </c>
      <c r="C53" s="361">
        <f ca="1">ROUND(IF(F53="押一",C49/12*F11,IF(F53="押二",C49/12*2*F11,IF(F53="押三",C49/12*3*F11,C54*F11))),0)</f>
        <v>0</v>
      </c>
      <c r="D53" s="1822" t="s">
        <v>3041</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28.58</v>
      </c>
      <c r="K53" s="3194" t="s">
        <v>1544</v>
      </c>
      <c r="L53" s="3195"/>
      <c r="O53" s="1882" t="s">
        <v>1043</v>
      </c>
      <c r="P53" s="1883" t="s">
        <v>1545</v>
      </c>
      <c r="Q53" s="1884">
        <f ca="1">Q47+Q48</f>
        <v>36144</v>
      </c>
      <c r="R53" s="1884" t="s">
        <v>1044</v>
      </c>
    </row>
    <row r="54" spans="1:18" s="1840" customFormat="1" ht="13.5" thickBot="1">
      <c r="A54" s="1404"/>
      <c r="B54" s="1823" t="s">
        <v>1384</v>
      </c>
      <c r="C54" s="1176"/>
      <c r="D54" s="1822"/>
      <c r="E54" s="295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58"/>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7978</v>
      </c>
      <c r="D56" s="1912"/>
      <c r="E56" s="1913"/>
      <c r="F56" s="1905"/>
      <c r="I56" s="1914" t="s">
        <v>1550</v>
      </c>
      <c r="J56" s="1915" t="s">
        <v>3068</v>
      </c>
      <c r="K56" s="1885" t="s">
        <v>1551</v>
      </c>
      <c r="L56" s="1888" t="str">
        <f ca="1">IF(L48&lt;J51,"——",L48-J53)</f>
        <v>——</v>
      </c>
      <c r="O56" s="1882" t="s">
        <v>1037</v>
      </c>
      <c r="P56" s="1883" t="s">
        <v>1524</v>
      </c>
      <c r="Q56" s="1884">
        <f ca="1">C40+J29</f>
        <v>36144</v>
      </c>
      <c r="R56" s="1884" t="s">
        <v>1525</v>
      </c>
    </row>
    <row r="57" spans="1:18" s="1840" customFormat="1" ht="24.75" thickBot="1">
      <c r="A57" s="1916"/>
      <c r="B57" s="1167" t="s">
        <v>1474</v>
      </c>
      <c r="C57" s="282">
        <f ca="1">C29</f>
        <v>8579</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862</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721.3</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720.64</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0.66</v>
      </c>
      <c r="D62" s="1182" t="s">
        <v>1438</v>
      </c>
      <c r="E62" s="1167" t="s">
        <v>1439</v>
      </c>
      <c r="F62" s="371">
        <f t="shared" si="0"/>
        <v>1.5</v>
      </c>
      <c r="I62" s="1927" t="s">
        <v>1566</v>
      </c>
      <c r="J62" s="1928" t="s">
        <v>1567</v>
      </c>
      <c r="K62" s="1928" t="s">
        <v>1568</v>
      </c>
      <c r="L62" s="1928" t="s">
        <v>1569</v>
      </c>
      <c r="M62" s="1929" t="s">
        <v>1570</v>
      </c>
      <c r="O62" s="1882" t="s">
        <v>1043</v>
      </c>
      <c r="P62" s="1883" t="s">
        <v>1545</v>
      </c>
      <c r="Q62" s="1884">
        <f ca="1">Q56+Q57</f>
        <v>36144</v>
      </c>
      <c r="R62" s="1884" t="s">
        <v>1044</v>
      </c>
    </row>
    <row r="63" spans="1:18" s="1840" customFormat="1" ht="13.5" thickBot="1">
      <c r="A63" s="372"/>
      <c r="B63" s="1173"/>
      <c r="C63" s="29"/>
      <c r="D63" s="1183"/>
      <c r="E63" s="1167" t="s">
        <v>1443</v>
      </c>
      <c r="F63" s="348">
        <f t="shared" ca="1" si="0"/>
        <v>4414.24</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128.69999999999999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12</v>
      </c>
      <c r="D65" s="1181" t="s">
        <v>1450</v>
      </c>
      <c r="E65" s="1167" t="s">
        <v>1418</v>
      </c>
      <c r="F65" s="376">
        <f t="shared" ca="1" si="0"/>
        <v>1.5E-3</v>
      </c>
      <c r="I65" s="1927" t="s">
        <v>1575</v>
      </c>
      <c r="J65" s="1928">
        <v>40</v>
      </c>
      <c r="K65" s="1928">
        <v>30</v>
      </c>
      <c r="L65" s="1928">
        <v>50</v>
      </c>
      <c r="M65" s="1930">
        <v>0.02</v>
      </c>
      <c r="O65" s="1882" t="s">
        <v>1037</v>
      </c>
      <c r="P65" s="1883" t="s">
        <v>1524</v>
      </c>
      <c r="Q65" s="1884">
        <f ca="1">C40+J29</f>
        <v>36144</v>
      </c>
      <c r="R65" s="1884" t="s">
        <v>1525</v>
      </c>
    </row>
    <row r="66" spans="1:18" s="1840" customFormat="1" ht="16.5" thickBot="1">
      <c r="A66" s="1199" t="s">
        <v>1500</v>
      </c>
      <c r="B66" s="1167" t="s">
        <v>1435</v>
      </c>
      <c r="C66" s="24">
        <f ca="1">ROUND(C48*F66,1)</f>
        <v>0</v>
      </c>
      <c r="D66" s="1181" t="s">
        <v>1455</v>
      </c>
      <c r="E66" s="1167" t="s">
        <v>1418</v>
      </c>
      <c r="F66" s="357">
        <f t="shared" ca="1" si="0"/>
        <v>1.4999999999999999E-2</v>
      </c>
      <c r="O66" s="1882" t="s">
        <v>1038</v>
      </c>
      <c r="P66" s="1883" t="s">
        <v>1554</v>
      </c>
      <c r="Q66" s="1884">
        <f ca="1">L60</f>
        <v>0</v>
      </c>
      <c r="R66" s="1884" t="s">
        <v>1577</v>
      </c>
    </row>
    <row r="67" spans="1:18" s="1840" customFormat="1" ht="16.5" thickBot="1">
      <c r="A67" s="1174" t="s">
        <v>1028</v>
      </c>
      <c r="B67" s="1184" t="s">
        <v>1459</v>
      </c>
      <c r="C67" s="361">
        <f ca="1">C48-C58</f>
        <v>-862</v>
      </c>
      <c r="D67" s="1180" t="s">
        <v>1460</v>
      </c>
      <c r="E67" s="1185"/>
      <c r="F67" s="1186"/>
      <c r="O67" s="1892" t="s">
        <v>1039</v>
      </c>
      <c r="P67" s="1883" t="s">
        <v>1558</v>
      </c>
      <c r="Q67" s="1931">
        <f ca="1">L51</f>
        <v>19444</v>
      </c>
      <c r="R67" s="1884" t="s">
        <v>1578</v>
      </c>
    </row>
    <row r="68" spans="1:18" s="1840" customFormat="1" ht="16.5" thickBot="1">
      <c r="A68" s="1164" t="s">
        <v>1029</v>
      </c>
      <c r="B68" s="1165" t="s">
        <v>1481</v>
      </c>
      <c r="C68" s="346">
        <f ca="1">ROUND(C67*(1-((1+F70)/(1+F68))^F69)/(F68-F70),0)</f>
        <v>-12280</v>
      </c>
      <c r="D68" s="1182" t="s">
        <v>1465</v>
      </c>
      <c r="E68" s="1167" t="s">
        <v>1466</v>
      </c>
      <c r="F68" s="357">
        <f ca="1">F40</f>
        <v>5.5E-2</v>
      </c>
      <c r="O68" s="1892" t="s">
        <v>1040</v>
      </c>
      <c r="P68" s="1932" t="s">
        <v>1579</v>
      </c>
      <c r="Q68" s="1884">
        <f ca="1">ROUND(Q69-Q70*Q71,0)</f>
        <v>1293</v>
      </c>
      <c r="R68" s="1884" t="s">
        <v>1048</v>
      </c>
    </row>
    <row r="69" spans="1:18" s="1840" customFormat="1" ht="13.5" thickBot="1">
      <c r="A69" s="1168"/>
      <c r="B69" s="1169"/>
      <c r="C69" s="351"/>
      <c r="D69" s="1187" t="s">
        <v>1469</v>
      </c>
      <c r="E69" s="1167" t="s">
        <v>1470</v>
      </c>
      <c r="F69" s="379">
        <f ca="1">F41</f>
        <v>28.58</v>
      </c>
      <c r="O69" s="1892" t="s">
        <v>1045</v>
      </c>
      <c r="P69" s="1932" t="s">
        <v>1580</v>
      </c>
      <c r="Q69" s="1884">
        <f ca="1">C39</f>
        <v>1931</v>
      </c>
      <c r="R69" s="1884" t="s">
        <v>1525</v>
      </c>
    </row>
    <row r="70" spans="1:18" s="1840" customFormat="1" ht="13.5" thickBot="1">
      <c r="A70" s="1171"/>
      <c r="B70" s="1172"/>
      <c r="C70" s="355"/>
      <c r="D70" s="1183"/>
      <c r="E70" s="1167" t="s">
        <v>1473</v>
      </c>
      <c r="F70" s="1273"/>
      <c r="O70" s="1892" t="s">
        <v>1046</v>
      </c>
      <c r="P70" s="1932" t="s">
        <v>1581</v>
      </c>
      <c r="Q70" s="1884">
        <f ca="1">C13</f>
        <v>7978</v>
      </c>
      <c r="R70" s="1884" t="s">
        <v>1525</v>
      </c>
    </row>
    <row r="71" spans="1:18" s="1840" customFormat="1" ht="13.5" thickBot="1">
      <c r="A71" s="1188" t="s">
        <v>1030</v>
      </c>
      <c r="B71" s="1189" t="s">
        <v>1483</v>
      </c>
      <c r="C71" s="382">
        <f ca="1">ROUND(C68*10000/F71,0)</f>
        <v>-6171</v>
      </c>
      <c r="D71" s="1190" t="s">
        <v>1484</v>
      </c>
      <c r="E71" s="1191" t="s">
        <v>1485</v>
      </c>
      <c r="F71" s="385">
        <f ca="1">F43</f>
        <v>19900.510000000002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638</v>
      </c>
      <c r="D75" s="1840"/>
      <c r="E75" s="1840"/>
      <c r="F75" s="1840"/>
      <c r="K75" s="1866"/>
      <c r="L75" s="1840"/>
      <c r="O75" s="1882" t="s">
        <v>1043</v>
      </c>
      <c r="P75" s="1883" t="s">
        <v>1545</v>
      </c>
      <c r="Q75" s="1884">
        <f ca="1">Q65+Q66</f>
        <v>36144</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0.66999999999999993</v>
      </c>
    </row>
    <row r="80" spans="1:18">
      <c r="B80" s="386" t="s">
        <v>1507</v>
      </c>
      <c r="C80" s="318">
        <f ca="1">ROUND(C75/C39,3)</f>
        <v>0.33</v>
      </c>
    </row>
    <row r="81" spans="2:3">
      <c r="B81" s="314" t="s">
        <v>1508</v>
      </c>
      <c r="C81" s="282"/>
    </row>
    <row r="82" spans="2:3">
      <c r="B82" s="317" t="s">
        <v>1509</v>
      </c>
      <c r="C82" s="319">
        <f ca="1">1-C83</f>
        <v>0.77900000000000003</v>
      </c>
    </row>
    <row r="83" spans="2:3">
      <c r="B83" s="317" t="s">
        <v>1510</v>
      </c>
      <c r="C83" s="318">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45" sqref="G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79" t="s">
        <v>2643</v>
      </c>
      <c r="C1" s="1632" t="s">
        <v>2531</v>
      </c>
      <c r="D1" s="1619" t="s">
        <v>1373</v>
      </c>
      <c r="E1" s="2654"/>
      <c r="F1" s="2581" t="s">
        <v>3186</v>
      </c>
      <c r="G1" s="1629" t="s">
        <v>2644</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2328</v>
      </c>
      <c r="B2" s="1416">
        <f>IF(C2="——",ROUND(C49*D3/10000,0),ROUND(C49*D3/10000,0)-D2)</f>
        <v>85775</v>
      </c>
      <c r="C2" s="2583" t="s">
        <v>70</v>
      </c>
      <c r="D2" s="1363" t="e">
        <f ca="1">SUMIF(INDIRECT("'"&amp;F2&amp;"'"&amp;"!A:A"),"承租人权益价值",INDIRECT("'"&amp;F2&amp;"'"&amp;"!c:c"))</f>
        <v>#REF!</v>
      </c>
      <c r="E2" s="2584" t="s">
        <v>2329</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8" customFormat="1" ht="28.5" customHeight="1" thickBot="1">
      <c r="A3" s="247" t="s">
        <v>2330</v>
      </c>
      <c r="B3" s="609">
        <f>IF(C2="——",C49,ROUND(B2*10000/D3,0))</f>
        <v>43102</v>
      </c>
      <c r="C3" s="400" t="s">
        <v>2645</v>
      </c>
      <c r="D3" s="399">
        <f>IF(D1="",'数据-汇总表'!E3,SUMIF('数据-汇总表'!$C19:$C33,D1,'数据-汇总表'!$E19:$E33))</f>
        <v>19900.510000000002</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59" t="s">
        <v>2652</v>
      </c>
      <c r="Q4" s="3260"/>
      <c r="R4" s="3255" t="s">
        <v>2648</v>
      </c>
      <c r="S4" s="3256"/>
      <c r="T4" s="3255" t="s">
        <v>2649</v>
      </c>
      <c r="U4" s="3256"/>
      <c r="V4" s="3233" t="s">
        <v>2650</v>
      </c>
      <c r="W4" s="3233"/>
      <c r="X4" s="1811"/>
      <c r="Y4" s="3255" t="s">
        <v>2652</v>
      </c>
      <c r="Z4" s="3256"/>
      <c r="AA4" s="3254" t="s">
        <v>2648</v>
      </c>
      <c r="AB4" s="3233" t="s">
        <v>2649</v>
      </c>
      <c r="AC4" s="3254" t="s">
        <v>2650</v>
      </c>
    </row>
    <row r="5" spans="1:29" ht="15">
      <c r="A5" s="404"/>
      <c r="B5" s="405"/>
      <c r="C5" s="3258" t="s">
        <v>3233</v>
      </c>
      <c r="D5" s="3211"/>
      <c r="E5" s="3208" t="s">
        <v>3234</v>
      </c>
      <c r="F5" s="3257"/>
      <c r="G5" s="3210" t="s">
        <v>3235</v>
      </c>
      <c r="H5" s="3211"/>
      <c r="I5" s="3210" t="s">
        <v>3236</v>
      </c>
      <c r="J5" s="3211"/>
      <c r="K5" s="610"/>
      <c r="L5" s="1128"/>
      <c r="M5" s="1129"/>
      <c r="N5" s="1129"/>
      <c r="O5" s="1129"/>
      <c r="P5" s="3261"/>
      <c r="Q5" s="3227"/>
      <c r="R5" s="3206"/>
      <c r="S5" s="3207"/>
      <c r="T5" s="3206"/>
      <c r="U5" s="3207"/>
      <c r="V5" s="3233"/>
      <c r="W5" s="3233"/>
      <c r="X5" s="1811"/>
      <c r="Y5" s="3206"/>
      <c r="Z5" s="3207"/>
      <c r="AA5" s="3200"/>
      <c r="AB5" s="3233"/>
      <c r="AC5" s="3200"/>
    </row>
    <row r="6" spans="1:29" ht="15.75" thickBot="1">
      <c r="A6" s="406"/>
      <c r="B6" s="407"/>
      <c r="C6" s="3212" t="s">
        <v>2547</v>
      </c>
      <c r="D6" s="3213"/>
      <c r="E6" s="3214" t="s">
        <v>2547</v>
      </c>
      <c r="F6" s="3215"/>
      <c r="G6" s="3212" t="s">
        <v>2547</v>
      </c>
      <c r="H6" s="3213"/>
      <c r="I6" s="3212" t="s">
        <v>2547</v>
      </c>
      <c r="J6" s="3213"/>
      <c r="K6" s="610" t="s">
        <v>2548</v>
      </c>
      <c r="L6" s="1128"/>
      <c r="M6" s="1129"/>
      <c r="N6" s="1129"/>
      <c r="O6" s="1129"/>
      <c r="P6" s="3262"/>
      <c r="Q6" s="3229"/>
      <c r="R6" s="3206"/>
      <c r="S6" s="3207"/>
      <c r="T6" s="3230"/>
      <c r="U6" s="3231"/>
      <c r="V6" s="3233"/>
      <c r="W6" s="3233"/>
      <c r="X6" s="1811"/>
      <c r="Y6" s="3230"/>
      <c r="Z6" s="3231"/>
      <c r="AA6" s="3201"/>
      <c r="AB6" s="3233"/>
      <c r="AC6" s="3201"/>
    </row>
    <row r="7" spans="1:29" s="117" customFormat="1" ht="15.75" thickBot="1">
      <c r="A7" s="408" t="s">
        <v>2549</v>
      </c>
      <c r="B7" s="409"/>
      <c r="C7" s="410">
        <f>'数据-取费表'!B2</f>
        <v>43602</v>
      </c>
      <c r="D7" s="411">
        <v>100</v>
      </c>
      <c r="E7" s="412">
        <v>43586</v>
      </c>
      <c r="F7" s="413">
        <f>SUMIF(58:58,YEAR(E7)&amp;"-"&amp;MONTH(E7),59:59)</f>
        <v>100</v>
      </c>
      <c r="G7" s="412">
        <v>43586</v>
      </c>
      <c r="H7" s="411">
        <f>SUMIF(58:58,YEAR(G7)&amp;"-"&amp;MONTH(G7),59:59)</f>
        <v>100</v>
      </c>
      <c r="I7" s="412">
        <v>43586</v>
      </c>
      <c r="J7" s="411">
        <f>SUMIF(58:58,YEAR(I7)&amp;"-"&amp;MONTH(I7),59:59)</f>
        <v>100</v>
      </c>
      <c r="K7" s="611"/>
      <c r="L7" s="1130"/>
      <c r="M7" s="1131"/>
      <c r="N7" s="1131"/>
      <c r="O7" s="1131"/>
      <c r="P7" s="3202" t="s">
        <v>2550</v>
      </c>
      <c r="Q7" s="3235"/>
      <c r="R7" s="768" t="s">
        <v>17</v>
      </c>
      <c r="S7" s="769">
        <f t="shared" ref="S7:S15" si="0">F7</f>
        <v>100</v>
      </c>
      <c r="T7" s="768" t="s">
        <v>17</v>
      </c>
      <c r="U7" s="769">
        <f t="shared" ref="U7:U15" si="1">H7</f>
        <v>100</v>
      </c>
      <c r="V7" s="768" t="s">
        <v>17</v>
      </c>
      <c r="W7" s="769">
        <f t="shared" ref="W7:W15" si="2">J7</f>
        <v>100</v>
      </c>
      <c r="X7" s="770"/>
      <c r="Y7" s="3202" t="s">
        <v>2550</v>
      </c>
      <c r="Z7" s="3203"/>
      <c r="AA7" s="771">
        <f>D7/F7</f>
        <v>1</v>
      </c>
      <c r="AB7" s="771">
        <f>D7/H7</f>
        <v>1</v>
      </c>
      <c r="AC7" s="771">
        <f>D7/J7</f>
        <v>1</v>
      </c>
    </row>
    <row r="8" spans="1:29" s="117" customFormat="1" ht="15.7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1"/>
      <c r="L8" s="1130"/>
      <c r="M8" s="1131"/>
      <c r="N8" s="1131"/>
      <c r="O8" s="1131"/>
      <c r="P8" s="3202" t="s">
        <v>2553</v>
      </c>
      <c r="Q8" s="3203"/>
      <c r="R8" s="768" t="s">
        <v>17</v>
      </c>
      <c r="S8" s="769">
        <f t="shared" si="0"/>
        <v>100</v>
      </c>
      <c r="T8" s="768" t="s">
        <v>17</v>
      </c>
      <c r="U8" s="769">
        <f t="shared" si="1"/>
        <v>100</v>
      </c>
      <c r="V8" s="768" t="s">
        <v>17</v>
      </c>
      <c r="W8" s="769">
        <f t="shared" si="2"/>
        <v>100</v>
      </c>
      <c r="X8" s="770"/>
      <c r="Y8" s="3202" t="s">
        <v>2553</v>
      </c>
      <c r="Z8" s="3203"/>
      <c r="AA8" s="771">
        <f t="shared" ref="AA8:AA46" si="3">D8/F8</f>
        <v>1</v>
      </c>
      <c r="AB8" s="771">
        <f t="shared" ref="AB8:AB46" si="4">D8/H8</f>
        <v>1</v>
      </c>
      <c r="AC8" s="771">
        <f t="shared" ref="AC8:AC46" si="5">D8/J8</f>
        <v>1</v>
      </c>
    </row>
    <row r="9" spans="1:29" s="117" customFormat="1">
      <c r="A9" s="415" t="s">
        <v>2554</v>
      </c>
      <c r="B9" s="71" t="s">
        <v>2555</v>
      </c>
      <c r="C9" s="2981" t="s">
        <v>3237</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16" t="s">
        <v>2556</v>
      </c>
      <c r="Q9" s="1793" t="str">
        <f t="shared" ref="Q9:Q15" si="6">B9</f>
        <v>用途</v>
      </c>
      <c r="R9" s="768" t="s">
        <v>17</v>
      </c>
      <c r="S9" s="769">
        <f t="shared" si="0"/>
        <v>100</v>
      </c>
      <c r="T9" s="768" t="s">
        <v>17</v>
      </c>
      <c r="U9" s="769">
        <f t="shared" si="1"/>
        <v>100</v>
      </c>
      <c r="V9" s="768" t="s">
        <v>17</v>
      </c>
      <c r="W9" s="769">
        <f t="shared" si="2"/>
        <v>100</v>
      </c>
      <c r="X9" s="770"/>
      <c r="Y9" s="3071" t="s">
        <v>2557</v>
      </c>
      <c r="Z9" s="55" t="str">
        <f t="shared" ref="Z9:Z15" si="7">Q9</f>
        <v>用途</v>
      </c>
      <c r="AA9" s="771">
        <f t="shared" si="3"/>
        <v>1</v>
      </c>
      <c r="AB9" s="771">
        <f t="shared" si="4"/>
        <v>1</v>
      </c>
      <c r="AC9" s="771">
        <f t="shared" si="5"/>
        <v>1</v>
      </c>
    </row>
    <row r="10" spans="1:29" s="427" customFormat="1" ht="27">
      <c r="A10" s="421"/>
      <c r="B10" s="422" t="s">
        <v>2558</v>
      </c>
      <c r="C10" s="423" t="s">
        <v>3218</v>
      </c>
      <c r="D10" s="136">
        <v>100</v>
      </c>
      <c r="E10" s="424" t="s">
        <v>3238</v>
      </c>
      <c r="F10" s="425">
        <f>SUMIF(65:65,E10,66:66)-SUMIF(65:65,C10,66:66)+100</f>
        <v>98</v>
      </c>
      <c r="G10" s="423" t="s">
        <v>3218</v>
      </c>
      <c r="H10" s="136">
        <f>SUMIF(65:65,G10,66:66)-SUMIF(65:65,C10,66:66)+100</f>
        <v>100</v>
      </c>
      <c r="I10" s="423" t="s">
        <v>3238</v>
      </c>
      <c r="J10" s="136">
        <f>SUMIF(65:65,I10,66:66)-SUMIF(65:65,C10,66:66)+100</f>
        <v>98</v>
      </c>
      <c r="K10" s="612">
        <v>2</v>
      </c>
      <c r="L10" s="1133"/>
      <c r="M10" s="1134"/>
      <c r="N10" s="1134"/>
      <c r="O10" s="1134"/>
      <c r="P10" s="3216"/>
      <c r="Q10" s="1793" t="str">
        <f t="shared" si="6"/>
        <v>土地使用年限（年）</v>
      </c>
      <c r="R10" s="768" t="s">
        <v>17</v>
      </c>
      <c r="S10" s="769">
        <f t="shared" si="0"/>
        <v>98</v>
      </c>
      <c r="T10" s="768" t="s">
        <v>17</v>
      </c>
      <c r="U10" s="769">
        <f t="shared" si="1"/>
        <v>100</v>
      </c>
      <c r="V10" s="768" t="s">
        <v>17</v>
      </c>
      <c r="W10" s="769">
        <f t="shared" si="2"/>
        <v>98</v>
      </c>
      <c r="X10" s="770"/>
      <c r="Y10" s="3071"/>
      <c r="Z10" s="55" t="str">
        <f t="shared" si="7"/>
        <v>土地使用年限（年）</v>
      </c>
      <c r="AA10" s="771">
        <f t="shared" si="3"/>
        <v>1.0204081632653061</v>
      </c>
      <c r="AB10" s="771">
        <f t="shared" si="4"/>
        <v>1</v>
      </c>
      <c r="AC10" s="771">
        <f t="shared" si="5"/>
        <v>1.0204081632653061</v>
      </c>
    </row>
    <row r="11" spans="1:29" ht="15">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0</v>
      </c>
      <c r="L11" s="1136"/>
      <c r="M11" s="1129"/>
      <c r="N11" s="1129"/>
      <c r="O11" s="1129"/>
      <c r="P11" s="3216"/>
      <c r="Q11" s="1793" t="str">
        <f t="shared" si="6"/>
        <v>容积率</v>
      </c>
      <c r="R11" s="768" t="s">
        <v>17</v>
      </c>
      <c r="S11" s="769">
        <f t="shared" si="0"/>
        <v>100</v>
      </c>
      <c r="T11" s="768" t="s">
        <v>17</v>
      </c>
      <c r="U11" s="769">
        <f t="shared" si="1"/>
        <v>100</v>
      </c>
      <c r="V11" s="768" t="s">
        <v>17</v>
      </c>
      <c r="W11" s="769">
        <f t="shared" si="2"/>
        <v>100</v>
      </c>
      <c r="X11" s="770"/>
      <c r="Y11" s="3071"/>
      <c r="Z11" s="55" t="str">
        <f t="shared" si="7"/>
        <v>容积率</v>
      </c>
      <c r="AA11" s="771">
        <f t="shared" si="3"/>
        <v>1</v>
      </c>
      <c r="AB11" s="771">
        <f t="shared" si="4"/>
        <v>1</v>
      </c>
      <c r="AC11" s="771">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6"/>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6"/>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6"/>
      <c r="Q14" s="1793">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71.25">
      <c r="A15" s="440" t="s">
        <v>2560</v>
      </c>
      <c r="B15" s="69" t="s">
        <v>2654</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98</v>
      </c>
      <c r="I15" s="442"/>
      <c r="J15" s="441">
        <f>SUMIF(76:76,I16,77:77)-SUMIF(76:76,C16,77:77)+100</f>
        <v>100</v>
      </c>
      <c r="K15" s="614">
        <v>2</v>
      </c>
      <c r="L15" s="1138"/>
      <c r="M15" s="1129"/>
      <c r="N15" s="1129"/>
      <c r="O15" s="1129"/>
      <c r="P15" s="3236" t="s">
        <v>2561</v>
      </c>
      <c r="Q15" s="1808" t="str">
        <f t="shared" si="6"/>
        <v>商业繁华度</v>
      </c>
      <c r="R15" s="772" t="s">
        <v>17</v>
      </c>
      <c r="S15" s="773">
        <f t="shared" si="0"/>
        <v>100</v>
      </c>
      <c r="T15" s="772" t="s">
        <v>17</v>
      </c>
      <c r="U15" s="773">
        <f t="shared" si="1"/>
        <v>98</v>
      </c>
      <c r="V15" s="772" t="s">
        <v>17</v>
      </c>
      <c r="W15" s="773">
        <f t="shared" si="2"/>
        <v>100</v>
      </c>
      <c r="X15" s="1811"/>
      <c r="Y15" s="3238" t="s">
        <v>2561</v>
      </c>
      <c r="Z15" s="1812" t="str">
        <f t="shared" si="7"/>
        <v>商业繁华度</v>
      </c>
      <c r="AA15" s="1809">
        <f t="shared" si="3"/>
        <v>1</v>
      </c>
      <c r="AB15" s="1809">
        <f t="shared" si="4"/>
        <v>1.0204081632653061</v>
      </c>
      <c r="AC15" s="1809">
        <f t="shared" si="5"/>
        <v>1</v>
      </c>
    </row>
    <row r="16" spans="1:29" ht="15">
      <c r="A16" s="428"/>
      <c r="B16" s="446"/>
      <c r="C16" s="447" t="s">
        <v>3220</v>
      </c>
      <c r="D16" s="448"/>
      <c r="E16" s="447" t="s">
        <v>3220</v>
      </c>
      <c r="F16" s="449"/>
      <c r="G16" s="447" t="s">
        <v>3256</v>
      </c>
      <c r="H16" s="450"/>
      <c r="I16" s="447" t="s">
        <v>3220</v>
      </c>
      <c r="J16" s="448"/>
      <c r="K16" s="615"/>
      <c r="L16" s="1138"/>
      <c r="M16" s="1129"/>
      <c r="N16" s="1129"/>
      <c r="O16" s="1129"/>
      <c r="P16" s="3237"/>
      <c r="Q16" s="1808"/>
      <c r="R16" s="772"/>
      <c r="S16" s="773"/>
      <c r="T16" s="772"/>
      <c r="U16" s="773"/>
      <c r="V16" s="772"/>
      <c r="W16" s="773"/>
      <c r="X16" s="1811"/>
      <c r="Y16" s="3239"/>
      <c r="Z16" s="1812"/>
      <c r="AA16" s="1809">
        <v>1</v>
      </c>
      <c r="AB16" s="1809">
        <v>1</v>
      </c>
      <c r="AC16" s="1809">
        <v>1</v>
      </c>
    </row>
    <row r="17" spans="1:29" ht="85.5">
      <c r="A17" s="428"/>
      <c r="B17" s="451" t="s">
        <v>2097</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98</v>
      </c>
      <c r="I17" s="452"/>
      <c r="J17" s="455">
        <f>SUMIF(78:78,I18,79:79)-SUMIF(78:78,C18,79:79)+100</f>
        <v>100</v>
      </c>
      <c r="K17" s="614">
        <v>2</v>
      </c>
      <c r="L17" s="1138"/>
      <c r="M17" s="1129"/>
      <c r="N17" s="1129"/>
      <c r="O17" s="1129"/>
      <c r="P17" s="3237"/>
      <c r="Q17" s="1808" t="str">
        <f>B17</f>
        <v>交通便捷度</v>
      </c>
      <c r="R17" s="772" t="s">
        <v>17</v>
      </c>
      <c r="S17" s="773">
        <f>F17</f>
        <v>100</v>
      </c>
      <c r="T17" s="772" t="s">
        <v>17</v>
      </c>
      <c r="U17" s="773">
        <f>H17</f>
        <v>98</v>
      </c>
      <c r="V17" s="772" t="s">
        <v>17</v>
      </c>
      <c r="W17" s="773">
        <f>J17</f>
        <v>100</v>
      </c>
      <c r="X17" s="1811"/>
      <c r="Y17" s="3239"/>
      <c r="Z17" s="1812" t="str">
        <f>Q17</f>
        <v>交通便捷度</v>
      </c>
      <c r="AA17" s="1809">
        <f t="shared" si="3"/>
        <v>1</v>
      </c>
      <c r="AB17" s="1809">
        <f t="shared" si="4"/>
        <v>1.0204081632653061</v>
      </c>
      <c r="AC17" s="1809">
        <f t="shared" si="5"/>
        <v>1</v>
      </c>
    </row>
    <row r="18" spans="1:29" ht="15">
      <c r="A18" s="428"/>
      <c r="B18" s="456"/>
      <c r="C18" s="2605" t="s">
        <v>3220</v>
      </c>
      <c r="D18" s="450"/>
      <c r="E18" s="2605" t="s">
        <v>3220</v>
      </c>
      <c r="F18" s="453"/>
      <c r="G18" s="2606" t="s">
        <v>3256</v>
      </c>
      <c r="H18" s="448"/>
      <c r="I18" s="2605" t="s">
        <v>3220</v>
      </c>
      <c r="J18" s="448"/>
      <c r="K18" s="615"/>
      <c r="L18" s="1138"/>
      <c r="M18" s="1129"/>
      <c r="N18" s="1129"/>
      <c r="O18" s="1129"/>
      <c r="P18" s="3237"/>
      <c r="Q18" s="1808"/>
      <c r="R18" s="772"/>
      <c r="S18" s="773"/>
      <c r="T18" s="772"/>
      <c r="U18" s="773"/>
      <c r="V18" s="772"/>
      <c r="W18" s="773"/>
      <c r="X18" s="1811"/>
      <c r="Y18" s="3239"/>
      <c r="Z18" s="1812"/>
      <c r="AA18" s="1809">
        <v>1</v>
      </c>
      <c r="AB18" s="1809">
        <v>1</v>
      </c>
      <c r="AC18" s="1809">
        <v>1</v>
      </c>
    </row>
    <row r="19" spans="1:29" ht="42.75">
      <c r="A19" s="428"/>
      <c r="B19" s="451" t="s">
        <v>2655</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237"/>
      <c r="Q19" s="1808" t="str">
        <f>B19</f>
        <v>公共配套设施</v>
      </c>
      <c r="R19" s="772" t="s">
        <v>17</v>
      </c>
      <c r="S19" s="773">
        <f>F19</f>
        <v>100</v>
      </c>
      <c r="T19" s="772" t="s">
        <v>17</v>
      </c>
      <c r="U19" s="773">
        <f>H19</f>
        <v>100</v>
      </c>
      <c r="V19" s="772" t="s">
        <v>17</v>
      </c>
      <c r="W19" s="773">
        <f>J19</f>
        <v>100</v>
      </c>
      <c r="X19" s="1811"/>
      <c r="Y19" s="3239"/>
      <c r="Z19" s="1812" t="str">
        <f>Q19</f>
        <v>公共配套设施</v>
      </c>
      <c r="AA19" s="1809">
        <f t="shared" si="3"/>
        <v>1</v>
      </c>
      <c r="AB19" s="1809">
        <f t="shared" si="4"/>
        <v>1</v>
      </c>
      <c r="AC19" s="1809">
        <f t="shared" si="5"/>
        <v>1</v>
      </c>
    </row>
    <row r="20" spans="1:29" ht="15">
      <c r="A20" s="428"/>
      <c r="B20" s="456"/>
      <c r="C20" s="447" t="s">
        <v>3220</v>
      </c>
      <c r="D20" s="448"/>
      <c r="E20" s="447" t="s">
        <v>3220</v>
      </c>
      <c r="F20" s="449"/>
      <c r="G20" s="447" t="s">
        <v>3220</v>
      </c>
      <c r="H20" s="448"/>
      <c r="I20" s="447" t="s">
        <v>3220</v>
      </c>
      <c r="J20" s="448"/>
      <c r="K20" s="615"/>
      <c r="L20" s="1138"/>
      <c r="M20" s="1129"/>
      <c r="N20" s="1129"/>
      <c r="O20" s="1129"/>
      <c r="P20" s="3237"/>
      <c r="Q20" s="1808"/>
      <c r="R20" s="772"/>
      <c r="S20" s="773"/>
      <c r="T20" s="772"/>
      <c r="U20" s="773"/>
      <c r="V20" s="772"/>
      <c r="W20" s="773"/>
      <c r="X20" s="1811"/>
      <c r="Y20" s="3239"/>
      <c r="Z20" s="1812"/>
      <c r="AA20" s="1809">
        <v>1</v>
      </c>
      <c r="AB20" s="1809">
        <v>1</v>
      </c>
      <c r="AC20" s="1809">
        <v>1</v>
      </c>
    </row>
    <row r="21" spans="1:29" ht="28.5">
      <c r="A21" s="428"/>
      <c r="B21" s="1382" t="s">
        <v>2656</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8"/>
      <c r="M21" s="1129"/>
      <c r="N21" s="1129"/>
      <c r="O21" s="1129"/>
      <c r="P21" s="3237"/>
      <c r="Q21" s="1808" t="str">
        <f>B21</f>
        <v>基础设施水平</v>
      </c>
      <c r="R21" s="772" t="s">
        <v>17</v>
      </c>
      <c r="S21" s="773">
        <f>F21</f>
        <v>100</v>
      </c>
      <c r="T21" s="772" t="s">
        <v>17</v>
      </c>
      <c r="U21" s="773">
        <f>H21</f>
        <v>100</v>
      </c>
      <c r="V21" s="772" t="s">
        <v>17</v>
      </c>
      <c r="W21" s="773">
        <f>J21</f>
        <v>100</v>
      </c>
      <c r="X21" s="1811"/>
      <c r="Y21" s="3239"/>
      <c r="Z21" s="1812" t="str">
        <f>Q21</f>
        <v>基础设施水平</v>
      </c>
      <c r="AA21" s="1809">
        <f t="shared" ref="AA21" si="8">D21/F21</f>
        <v>1</v>
      </c>
      <c r="AB21" s="1809">
        <f t="shared" ref="AB21" si="9">D21/H21</f>
        <v>1</v>
      </c>
      <c r="AC21" s="1809">
        <f t="shared" ref="AC21" si="10">D21/J21</f>
        <v>1</v>
      </c>
    </row>
    <row r="22" spans="1:29" ht="15">
      <c r="A22" s="428"/>
      <c r="B22" s="1382"/>
      <c r="C22" s="2605" t="s">
        <v>3206</v>
      </c>
      <c r="D22" s="448"/>
      <c r="E22" s="2605" t="s">
        <v>3206</v>
      </c>
      <c r="F22" s="449"/>
      <c r="G22" s="2605" t="s">
        <v>3206</v>
      </c>
      <c r="H22" s="448"/>
      <c r="I22" s="2605" t="s">
        <v>3206</v>
      </c>
      <c r="J22" s="448"/>
      <c r="K22" s="1381"/>
      <c r="L22" s="1138"/>
      <c r="M22" s="1129"/>
      <c r="N22" s="1129"/>
      <c r="O22" s="1129"/>
      <c r="P22" s="3237"/>
      <c r="Q22" s="1808"/>
      <c r="R22" s="772"/>
      <c r="S22" s="773"/>
      <c r="T22" s="772"/>
      <c r="U22" s="773"/>
      <c r="V22" s="772"/>
      <c r="W22" s="773"/>
      <c r="X22" s="1811"/>
      <c r="Y22" s="3239"/>
      <c r="Z22" s="1812"/>
      <c r="AA22" s="1809">
        <v>1</v>
      </c>
      <c r="AB22" s="1809">
        <v>1</v>
      </c>
      <c r="AC22" s="1809">
        <v>1</v>
      </c>
    </row>
    <row r="23" spans="1:29" ht="57">
      <c r="A23" s="428"/>
      <c r="B23" s="451" t="s">
        <v>2102</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8"/>
      <c r="M23" s="1129"/>
      <c r="N23" s="1129"/>
      <c r="O23" s="1129"/>
      <c r="P23" s="3237"/>
      <c r="Q23" s="1808" t="str">
        <f>B23</f>
        <v>自然及人文环境</v>
      </c>
      <c r="R23" s="772" t="s">
        <v>17</v>
      </c>
      <c r="S23" s="773">
        <f>F23</f>
        <v>100</v>
      </c>
      <c r="T23" s="772" t="s">
        <v>17</v>
      </c>
      <c r="U23" s="773">
        <f>H23</f>
        <v>100</v>
      </c>
      <c r="V23" s="772" t="s">
        <v>17</v>
      </c>
      <c r="W23" s="773">
        <f>J23</f>
        <v>100</v>
      </c>
      <c r="X23" s="1811"/>
      <c r="Y23" s="3239"/>
      <c r="Z23" s="1812" t="str">
        <f>Q23</f>
        <v>自然及人文环境</v>
      </c>
      <c r="AA23" s="1809">
        <f t="shared" si="3"/>
        <v>1</v>
      </c>
      <c r="AB23" s="1809">
        <f t="shared" si="4"/>
        <v>1</v>
      </c>
      <c r="AC23" s="1809">
        <f t="shared" si="5"/>
        <v>1</v>
      </c>
    </row>
    <row r="24" spans="1:29" ht="15">
      <c r="A24" s="428"/>
      <c r="B24" s="456"/>
      <c r="C24" s="447" t="s">
        <v>3220</v>
      </c>
      <c r="D24" s="448"/>
      <c r="E24" s="447" t="s">
        <v>3220</v>
      </c>
      <c r="F24" s="449"/>
      <c r="G24" s="447" t="s">
        <v>3220</v>
      </c>
      <c r="H24" s="448"/>
      <c r="I24" s="447" t="s">
        <v>3220</v>
      </c>
      <c r="J24" s="448"/>
      <c r="K24" s="615"/>
      <c r="L24" s="1138"/>
      <c r="M24" s="1129"/>
      <c r="N24" s="1129"/>
      <c r="O24" s="1129"/>
      <c r="P24" s="3237"/>
      <c r="Q24" s="1808"/>
      <c r="R24" s="772"/>
      <c r="S24" s="773"/>
      <c r="T24" s="772"/>
      <c r="U24" s="773"/>
      <c r="V24" s="772"/>
      <c r="W24" s="773"/>
      <c r="X24" s="1811"/>
      <c r="Y24" s="3239"/>
      <c r="Z24" s="1812"/>
      <c r="AA24" s="1809">
        <v>1</v>
      </c>
      <c r="AB24" s="1809">
        <v>1</v>
      </c>
      <c r="AC24" s="1809">
        <v>1</v>
      </c>
    </row>
    <row r="25" spans="1:29" ht="15">
      <c r="A25" s="428"/>
      <c r="B25" s="422" t="s">
        <v>2657</v>
      </c>
      <c r="C25" s="616" t="s">
        <v>3240</v>
      </c>
      <c r="D25" s="435">
        <v>100</v>
      </c>
      <c r="E25" s="616" t="s">
        <v>3240</v>
      </c>
      <c r="F25" s="461">
        <f>SUMIF(86:86,E25,87:87)-SUMIF(86:86,C25,87:87)+100</f>
        <v>100</v>
      </c>
      <c r="G25" s="616" t="s">
        <v>3241</v>
      </c>
      <c r="H25" s="435">
        <f>SUMIF(86:86,G25,87:87)-SUMIF(86:86,C25,87:87)+100</f>
        <v>98</v>
      </c>
      <c r="I25" s="616" t="s">
        <v>3240</v>
      </c>
      <c r="J25" s="435">
        <f>SUMIF(86:86,I25,87:87)-SUMIF(86:86,C25,87:87)+100</f>
        <v>100</v>
      </c>
      <c r="K25" s="612">
        <v>2</v>
      </c>
      <c r="L25" s="1138"/>
      <c r="M25" s="1129"/>
      <c r="N25" s="1129"/>
      <c r="O25" s="1129"/>
      <c r="P25" s="3237"/>
      <c r="Q25" s="1808" t="str">
        <f t="shared" ref="Q25:Q46" si="11">B25</f>
        <v>临街状况</v>
      </c>
      <c r="R25" s="772" t="s">
        <v>17</v>
      </c>
      <c r="S25" s="773">
        <f>F25</f>
        <v>100</v>
      </c>
      <c r="T25" s="772" t="s">
        <v>17</v>
      </c>
      <c r="U25" s="773">
        <f>H25</f>
        <v>98</v>
      </c>
      <c r="V25" s="772" t="s">
        <v>17</v>
      </c>
      <c r="W25" s="773">
        <f>J25</f>
        <v>100</v>
      </c>
      <c r="X25" s="1811"/>
      <c r="Y25" s="3239"/>
      <c r="Z25" s="1812" t="str">
        <f>Q25</f>
        <v>临街状况</v>
      </c>
      <c r="AA25" s="1809">
        <f t="shared" si="3"/>
        <v>1</v>
      </c>
      <c r="AB25" s="1809">
        <f t="shared" si="4"/>
        <v>1.0204081632653061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37"/>
      <c r="Q26" s="1808" t="str">
        <f t="shared" si="11"/>
        <v>平面位置/可视性</v>
      </c>
      <c r="R26" s="772" t="s">
        <v>17</v>
      </c>
      <c r="S26" s="773">
        <f>F26</f>
        <v>100</v>
      </c>
      <c r="T26" s="772" t="s">
        <v>17</v>
      </c>
      <c r="U26" s="773">
        <f>H26</f>
        <v>100</v>
      </c>
      <c r="V26" s="772" t="s">
        <v>17</v>
      </c>
      <c r="W26" s="773">
        <f>J26</f>
        <v>100</v>
      </c>
      <c r="X26" s="1811"/>
      <c r="Y26" s="3239"/>
      <c r="Z26" s="1812" t="str">
        <f>Q26</f>
        <v>平面位置/可视性</v>
      </c>
      <c r="AA26" s="1809">
        <f t="shared" si="3"/>
        <v>1</v>
      </c>
      <c r="AB26" s="1809">
        <f t="shared" si="4"/>
        <v>1</v>
      </c>
      <c r="AC26" s="1809">
        <f t="shared" si="5"/>
        <v>1</v>
      </c>
    </row>
    <row r="27" spans="1:29" s="117" customFormat="1" ht="15">
      <c r="A27" s="431"/>
      <c r="B27" s="451" t="s">
        <v>2659</v>
      </c>
      <c r="C27" s="2662" t="s">
        <v>3258</v>
      </c>
      <c r="D27" s="462">
        <v>100</v>
      </c>
      <c r="E27" s="2662" t="s">
        <v>3258</v>
      </c>
      <c r="F27" s="464">
        <f>SUMIF(90:90,E27,91:91)-SUMIF(90:90,C27,91:91)+100</f>
        <v>100</v>
      </c>
      <c r="G27" s="2662" t="s">
        <v>3256</v>
      </c>
      <c r="H27" s="462">
        <f>SUMIF(90:90,G27,91:91)-SUMIF(90:90,C27,91:91)+100</f>
        <v>98</v>
      </c>
      <c r="I27" s="2662" t="s">
        <v>3258</v>
      </c>
      <c r="J27" s="462">
        <f>SUMIF(90:90,I27,91:91)-SUMIF(90:90,C27,91:91)+100</f>
        <v>100</v>
      </c>
      <c r="K27" s="612">
        <v>2</v>
      </c>
      <c r="L27" s="1130"/>
      <c r="M27" s="1131"/>
      <c r="N27" s="1131"/>
      <c r="O27" s="1131"/>
      <c r="P27" s="3237"/>
      <c r="Q27" s="1793" t="str">
        <f t="shared" si="11"/>
        <v>人流量</v>
      </c>
      <c r="R27" s="768" t="s">
        <v>17</v>
      </c>
      <c r="S27" s="769">
        <f>F27</f>
        <v>100</v>
      </c>
      <c r="T27" s="768" t="s">
        <v>17</v>
      </c>
      <c r="U27" s="769">
        <f>H27</f>
        <v>98</v>
      </c>
      <c r="V27" s="768" t="s">
        <v>17</v>
      </c>
      <c r="W27" s="769">
        <f>J27</f>
        <v>100</v>
      </c>
      <c r="X27" s="770"/>
      <c r="Y27" s="3239"/>
      <c r="Z27" s="55" t="str">
        <f>Q27</f>
        <v>人流量</v>
      </c>
      <c r="AA27" s="1809">
        <f>D27/F27</f>
        <v>1</v>
      </c>
      <c r="AB27" s="1809">
        <f>D27/H27</f>
        <v>1.0204081632653061</v>
      </c>
      <c r="AC27" s="1809">
        <f>D27/J27</f>
        <v>1</v>
      </c>
    </row>
    <row r="28" spans="1:29" ht="15">
      <c r="A28" s="428"/>
      <c r="B28" s="422" t="s">
        <v>2660</v>
      </c>
      <c r="C28" s="616" t="s">
        <v>3243</v>
      </c>
      <c r="D28" s="435">
        <v>100</v>
      </c>
      <c r="E28" s="616">
        <v>1</v>
      </c>
      <c r="F28" s="461">
        <f>SUMIF(92:92,E28,93:93)-SUMIF(92:92,C28,93:93)+100</f>
        <v>115</v>
      </c>
      <c r="G28" s="616">
        <v>1</v>
      </c>
      <c r="H28" s="435">
        <f>SUMIF(92:92,G28,93:93)-SUMIF(92:92,C28,93:93)+100</f>
        <v>115</v>
      </c>
      <c r="I28" s="616">
        <v>1</v>
      </c>
      <c r="J28" s="435">
        <f>SUMIF(92:92,I28,93:93)-SUMIF(92:92,C28,93:93)+100</f>
        <v>115</v>
      </c>
      <c r="K28" s="613"/>
      <c r="L28" s="1138"/>
      <c r="M28" s="1129"/>
      <c r="N28" s="1129"/>
      <c r="O28" s="1129"/>
      <c r="P28" s="3237"/>
      <c r="Q28" s="1808" t="str">
        <f t="shared" si="11"/>
        <v>楼层</v>
      </c>
      <c r="R28" s="772" t="s">
        <v>17</v>
      </c>
      <c r="S28" s="773">
        <f t="shared" ref="S28:S46" si="12">F28</f>
        <v>115</v>
      </c>
      <c r="T28" s="772" t="s">
        <v>17</v>
      </c>
      <c r="U28" s="773">
        <f t="shared" ref="U28:U46" si="13">H28</f>
        <v>115</v>
      </c>
      <c r="V28" s="772" t="s">
        <v>17</v>
      </c>
      <c r="W28" s="773">
        <f t="shared" ref="W28:W46" si="14">J28</f>
        <v>115</v>
      </c>
      <c r="X28" s="1811"/>
      <c r="Y28" s="3239"/>
      <c r="Z28" s="1812" t="str">
        <f t="shared" ref="Z28:Z46" si="15">Q28</f>
        <v>楼层</v>
      </c>
      <c r="AA28" s="1809">
        <f t="shared" si="3"/>
        <v>0.86956521739130432</v>
      </c>
      <c r="AB28" s="1809">
        <f t="shared" si="4"/>
        <v>0.86956521739130432</v>
      </c>
      <c r="AC28" s="1809">
        <f t="shared" si="5"/>
        <v>0.86956521739130432</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37"/>
      <c r="Q29" s="1808">
        <f t="shared" si="11"/>
        <v>111</v>
      </c>
      <c r="R29" s="772" t="s">
        <v>17</v>
      </c>
      <c r="S29" s="773">
        <f t="shared" si="12"/>
        <v>100</v>
      </c>
      <c r="T29" s="772" t="s">
        <v>17</v>
      </c>
      <c r="U29" s="773">
        <f t="shared" si="13"/>
        <v>100</v>
      </c>
      <c r="V29" s="772" t="s">
        <v>17</v>
      </c>
      <c r="W29" s="773">
        <f t="shared" si="14"/>
        <v>100</v>
      </c>
      <c r="X29" s="1811"/>
      <c r="Y29" s="3239"/>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37"/>
      <c r="Q30" s="1808">
        <f t="shared" si="11"/>
        <v>111</v>
      </c>
      <c r="R30" s="772" t="s">
        <v>17</v>
      </c>
      <c r="S30" s="773">
        <f t="shared" si="12"/>
        <v>100</v>
      </c>
      <c r="T30" s="772" t="s">
        <v>17</v>
      </c>
      <c r="U30" s="773">
        <f t="shared" si="13"/>
        <v>100</v>
      </c>
      <c r="V30" s="772" t="s">
        <v>17</v>
      </c>
      <c r="W30" s="773">
        <f t="shared" si="14"/>
        <v>100</v>
      </c>
      <c r="X30" s="1811"/>
      <c r="Y30" s="3239"/>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37"/>
      <c r="Q31" s="1808">
        <f t="shared" si="11"/>
        <v>111</v>
      </c>
      <c r="R31" s="772" t="s">
        <v>17</v>
      </c>
      <c r="S31" s="773">
        <f t="shared" si="12"/>
        <v>100</v>
      </c>
      <c r="T31" s="772" t="s">
        <v>17</v>
      </c>
      <c r="U31" s="773">
        <f t="shared" si="13"/>
        <v>100</v>
      </c>
      <c r="V31" s="772" t="s">
        <v>17</v>
      </c>
      <c r="W31" s="773">
        <f t="shared" si="14"/>
        <v>100</v>
      </c>
      <c r="X31" s="1811"/>
      <c r="Y31" s="3239"/>
      <c r="Z31" s="1812">
        <f t="shared" si="15"/>
        <v>111</v>
      </c>
      <c r="AA31" s="1809">
        <f t="shared" si="3"/>
        <v>1</v>
      </c>
      <c r="AB31" s="1809">
        <f t="shared" si="4"/>
        <v>1</v>
      </c>
      <c r="AC31" s="1809">
        <f t="shared" si="5"/>
        <v>1</v>
      </c>
    </row>
    <row r="32" spans="1:29" ht="15">
      <c r="A32" s="440" t="s">
        <v>2564</v>
      </c>
      <c r="B32" s="71" t="s">
        <v>2661</v>
      </c>
      <c r="C32" s="2614" t="s">
        <v>3251</v>
      </c>
      <c r="D32" s="467">
        <v>100</v>
      </c>
      <c r="E32" s="2614" t="s">
        <v>3252</v>
      </c>
      <c r="F32" s="461">
        <f>SUMIF(100:100,E32,101:101)-SUMIF(100:100,C32,101:101)+100</f>
        <v>98</v>
      </c>
      <c r="G32" s="2614" t="s">
        <v>3252</v>
      </c>
      <c r="H32" s="435">
        <f>SUMIF(100:100,G32,101:101)-SUMIF(100:100,C32,101:101)+100</f>
        <v>98</v>
      </c>
      <c r="I32" s="2614" t="s">
        <v>3251</v>
      </c>
      <c r="J32" s="467">
        <f>SUMIF(100:100,I32,101:101)-SUMIF(100:100,C32,101:101)+100</f>
        <v>100</v>
      </c>
      <c r="K32" s="612">
        <v>2</v>
      </c>
      <c r="L32" s="1138"/>
      <c r="M32" s="1129"/>
      <c r="N32" s="1129"/>
      <c r="O32" s="1129"/>
      <c r="P32" s="3240" t="s">
        <v>2566</v>
      </c>
      <c r="Q32" s="1808" t="str">
        <f t="shared" si="11"/>
        <v>商业类型</v>
      </c>
      <c r="R32" s="772" t="s">
        <v>17</v>
      </c>
      <c r="S32" s="773">
        <f t="shared" si="12"/>
        <v>98</v>
      </c>
      <c r="T32" s="772" t="s">
        <v>17</v>
      </c>
      <c r="U32" s="773">
        <f t="shared" si="13"/>
        <v>98</v>
      </c>
      <c r="V32" s="772" t="s">
        <v>17</v>
      </c>
      <c r="W32" s="773">
        <f t="shared" si="14"/>
        <v>100</v>
      </c>
      <c r="X32" s="1811"/>
      <c r="Y32" s="3243" t="s">
        <v>2566</v>
      </c>
      <c r="Z32" s="1812" t="str">
        <f t="shared" si="15"/>
        <v>商业类型</v>
      </c>
      <c r="AA32" s="1809">
        <f t="shared" si="3"/>
        <v>1.0204081632653061</v>
      </c>
      <c r="AB32" s="1809">
        <f t="shared" si="4"/>
        <v>1.0204081632653061</v>
      </c>
      <c r="AC32" s="1809">
        <f t="shared" si="5"/>
        <v>1</v>
      </c>
    </row>
    <row r="33" spans="1:29" s="471" customFormat="1" ht="15">
      <c r="A33" s="468"/>
      <c r="B33" s="422" t="s">
        <v>2567</v>
      </c>
      <c r="C33" s="469">
        <f>清单!D3</f>
        <v>696.41</v>
      </c>
      <c r="D33" s="136">
        <v>100</v>
      </c>
      <c r="E33" s="430">
        <v>298</v>
      </c>
      <c r="F33" s="425">
        <f>LOOKUP(E33,103:103,104:104)-LOOKUP(C33,103:103,104:104)+100</f>
        <v>102</v>
      </c>
      <c r="G33" s="429">
        <v>384</v>
      </c>
      <c r="H33" s="136">
        <f>LOOKUP(G33,103:103,104:104)-LOOKUP(C33,103:103,104:104)+100</f>
        <v>100</v>
      </c>
      <c r="I33" s="429">
        <v>153</v>
      </c>
      <c r="J33" s="136">
        <f>LOOKUP(I33,103:103,104:104)-LOOKUP(C33,103:103,104:104)+100</f>
        <v>102</v>
      </c>
      <c r="K33" s="613"/>
      <c r="L33" s="1136"/>
      <c r="M33" s="1139"/>
      <c r="N33" s="1139"/>
      <c r="O33" s="1139"/>
      <c r="P33" s="3241"/>
      <c r="Q33" s="774" t="str">
        <f t="shared" si="11"/>
        <v>项目建筑规模</v>
      </c>
      <c r="R33" s="775" t="s">
        <v>17</v>
      </c>
      <c r="S33" s="776">
        <f t="shared" si="12"/>
        <v>102</v>
      </c>
      <c r="T33" s="775" t="s">
        <v>17</v>
      </c>
      <c r="U33" s="776">
        <f t="shared" si="13"/>
        <v>100</v>
      </c>
      <c r="V33" s="775" t="s">
        <v>17</v>
      </c>
      <c r="W33" s="776">
        <f t="shared" si="14"/>
        <v>102</v>
      </c>
      <c r="X33" s="777"/>
      <c r="Y33" s="3243"/>
      <c r="Z33" s="778" t="str">
        <f t="shared" si="15"/>
        <v>项目建筑规模</v>
      </c>
      <c r="AA33" s="1809">
        <f t="shared" si="3"/>
        <v>0.98039215686274506</v>
      </c>
      <c r="AB33" s="1809">
        <f t="shared" si="4"/>
        <v>1</v>
      </c>
      <c r="AC33" s="1809">
        <f t="shared" si="5"/>
        <v>0.98039215686274506</v>
      </c>
    </row>
    <row r="34" spans="1:29" ht="15">
      <c r="A34" s="472"/>
      <c r="B34" s="422" t="s">
        <v>2568</v>
      </c>
      <c r="C34" s="2616" t="s">
        <v>3184</v>
      </c>
      <c r="D34" s="435">
        <v>100</v>
      </c>
      <c r="E34" s="2616" t="s">
        <v>3184</v>
      </c>
      <c r="F34" s="461">
        <f>SUMIF(105:105,E34,106:106)-SUMIF(105:105,C34,106:106)+100</f>
        <v>100</v>
      </c>
      <c r="G34" s="2616" t="s">
        <v>3184</v>
      </c>
      <c r="H34" s="435">
        <f>SUMIF(105:105,G34,106:106)-SUMIF(105:105,C34,106:106)+100</f>
        <v>100</v>
      </c>
      <c r="I34" s="2616" t="s">
        <v>3184</v>
      </c>
      <c r="J34" s="435">
        <f>SUMIF(105:105,I34,106:106)-SUMIF(105:105,C34,106:106)+100</f>
        <v>100</v>
      </c>
      <c r="K34" s="612">
        <v>2</v>
      </c>
      <c r="L34" s="1138"/>
      <c r="M34" s="1129"/>
      <c r="N34" s="1129"/>
      <c r="O34" s="1129"/>
      <c r="P34" s="3241"/>
      <c r="Q34" s="1808" t="str">
        <f t="shared" si="11"/>
        <v>建筑结构</v>
      </c>
      <c r="R34" s="772" t="s">
        <v>17</v>
      </c>
      <c r="S34" s="773">
        <f t="shared" si="12"/>
        <v>100</v>
      </c>
      <c r="T34" s="772" t="s">
        <v>17</v>
      </c>
      <c r="U34" s="773">
        <f t="shared" si="13"/>
        <v>100</v>
      </c>
      <c r="V34" s="772" t="s">
        <v>17</v>
      </c>
      <c r="W34" s="773">
        <f t="shared" si="14"/>
        <v>100</v>
      </c>
      <c r="X34" s="1811"/>
      <c r="Y34" s="3243"/>
      <c r="Z34" s="1812" t="str">
        <f t="shared" si="15"/>
        <v>建筑结构</v>
      </c>
      <c r="AA34" s="1809">
        <f t="shared" si="3"/>
        <v>1</v>
      </c>
      <c r="AB34" s="1809">
        <f t="shared" si="4"/>
        <v>1</v>
      </c>
      <c r="AC34" s="1809">
        <f t="shared" si="5"/>
        <v>1</v>
      </c>
    </row>
    <row r="35" spans="1:29" ht="15">
      <c r="A35" s="472"/>
      <c r="B35" s="422" t="s">
        <v>2662</v>
      </c>
      <c r="C35" s="2610" t="s">
        <v>3198</v>
      </c>
      <c r="D35" s="435">
        <v>100</v>
      </c>
      <c r="E35" s="2610" t="s">
        <v>3198</v>
      </c>
      <c r="F35" s="461">
        <f>SUMIF(107:107,E35,108:108)-SUMIF(107:107,C35,108:108)+100</f>
        <v>100</v>
      </c>
      <c r="G35" s="2610" t="s">
        <v>3198</v>
      </c>
      <c r="H35" s="435">
        <f>SUMIF(107:107,G35,108:108)-SUMIF(107:107,C35,108:108)+100</f>
        <v>100</v>
      </c>
      <c r="I35" s="2610" t="s">
        <v>3198</v>
      </c>
      <c r="J35" s="435">
        <f>SUMIF(107:107,I35,108:108)-SUMIF(107:107,C35,108:108)+100</f>
        <v>100</v>
      </c>
      <c r="K35" s="612">
        <v>2</v>
      </c>
      <c r="L35" s="1138"/>
      <c r="M35" s="1129"/>
      <c r="N35" s="1129"/>
      <c r="O35" s="1129"/>
      <c r="P35" s="3241"/>
      <c r="Q35" s="1808" t="str">
        <f t="shared" si="11"/>
        <v>公共部分装修</v>
      </c>
      <c r="R35" s="772" t="s">
        <v>17</v>
      </c>
      <c r="S35" s="773">
        <f t="shared" si="12"/>
        <v>100</v>
      </c>
      <c r="T35" s="772" t="s">
        <v>17</v>
      </c>
      <c r="U35" s="773">
        <f t="shared" si="13"/>
        <v>100</v>
      </c>
      <c r="V35" s="772" t="s">
        <v>17</v>
      </c>
      <c r="W35" s="773">
        <f t="shared" si="14"/>
        <v>100</v>
      </c>
      <c r="X35" s="1811"/>
      <c r="Y35" s="3243"/>
      <c r="Z35" s="1812" t="str">
        <f t="shared" si="15"/>
        <v>公共部分装修</v>
      </c>
      <c r="AA35" s="1809">
        <f t="shared" si="3"/>
        <v>1</v>
      </c>
      <c r="AB35" s="1809">
        <f t="shared" si="4"/>
        <v>1</v>
      </c>
      <c r="AC35" s="1809">
        <f t="shared" si="5"/>
        <v>1</v>
      </c>
    </row>
    <row r="36" spans="1:29" ht="15">
      <c r="A36" s="472"/>
      <c r="B36" s="422" t="s">
        <v>2663</v>
      </c>
      <c r="C36" s="474">
        <f>'数据-取费表'!N18</f>
        <v>0.93</v>
      </c>
      <c r="D36" s="435">
        <v>100</v>
      </c>
      <c r="E36" s="474">
        <v>0.73</v>
      </c>
      <c r="F36" s="461">
        <f>LOOKUP(E36,110:110,111:111)-LOOKUP(C36,110:110,111:111)+100</f>
        <v>98</v>
      </c>
      <c r="G36" s="474">
        <v>0.9</v>
      </c>
      <c r="H36" s="461">
        <f>LOOKUP(G36,110:110,111:111)-LOOKUP(C36,110:110,111:111)+100</f>
        <v>100</v>
      </c>
      <c r="I36" s="474">
        <v>0.82</v>
      </c>
      <c r="J36" s="435">
        <f>LOOKUP(I36,110:110,111:111)-LOOKUP(C36,110:110,111:111)+100</f>
        <v>99</v>
      </c>
      <c r="K36" s="612">
        <v>1</v>
      </c>
      <c r="L36" s="1138"/>
      <c r="M36" s="1129"/>
      <c r="N36" s="1129"/>
      <c r="O36" s="1129"/>
      <c r="P36" s="3241"/>
      <c r="Q36" s="1808" t="str">
        <f t="shared" si="11"/>
        <v>成新度</v>
      </c>
      <c r="R36" s="772" t="s">
        <v>17</v>
      </c>
      <c r="S36" s="773">
        <f t="shared" si="12"/>
        <v>98</v>
      </c>
      <c r="T36" s="772" t="s">
        <v>17</v>
      </c>
      <c r="U36" s="773">
        <f t="shared" si="13"/>
        <v>100</v>
      </c>
      <c r="V36" s="772" t="s">
        <v>17</v>
      </c>
      <c r="W36" s="773">
        <f t="shared" si="14"/>
        <v>99</v>
      </c>
      <c r="X36" s="1811"/>
      <c r="Y36" s="3243"/>
      <c r="Z36" s="1812" t="str">
        <f t="shared" si="15"/>
        <v>成新度</v>
      </c>
      <c r="AA36" s="1809">
        <f t="shared" si="3"/>
        <v>1.0204081632653061</v>
      </c>
      <c r="AB36" s="1809">
        <f t="shared" si="4"/>
        <v>1</v>
      </c>
      <c r="AC36" s="1809">
        <f t="shared" si="5"/>
        <v>1.0101010101010102</v>
      </c>
    </row>
    <row r="37" spans="1:29" s="117" customFormat="1" ht="15">
      <c r="A37" s="473"/>
      <c r="B37" s="422" t="s">
        <v>2664</v>
      </c>
      <c r="C37" s="2610" t="s">
        <v>3207</v>
      </c>
      <c r="D37" s="136">
        <v>100</v>
      </c>
      <c r="E37" s="2610" t="s">
        <v>3206</v>
      </c>
      <c r="F37" s="461">
        <f>SUMIF(112:112,E37,113:113)-SUMIF(112:112,C37,113:113)+100</f>
        <v>101</v>
      </c>
      <c r="G37" s="2610" t="s">
        <v>3206</v>
      </c>
      <c r="H37" s="435">
        <f>SUMIF(112:112,G37,113:113)-SUMIF(112:112,C37,113:113)+100</f>
        <v>101</v>
      </c>
      <c r="I37" s="2610" t="s">
        <v>3207</v>
      </c>
      <c r="J37" s="435">
        <f>SUMIF(112:112,I37,113:113)-SUMIF(112:112,C37,113:113)+100</f>
        <v>100</v>
      </c>
      <c r="K37" s="612">
        <v>1</v>
      </c>
      <c r="L37" s="1130"/>
      <c r="M37" s="1131"/>
      <c r="N37" s="1131"/>
      <c r="O37" s="1131"/>
      <c r="P37" s="3241"/>
      <c r="Q37" s="1793" t="str">
        <f t="shared" si="11"/>
        <v>市政基础设施</v>
      </c>
      <c r="R37" s="768" t="s">
        <v>17</v>
      </c>
      <c r="S37" s="769">
        <f t="shared" si="12"/>
        <v>101</v>
      </c>
      <c r="T37" s="768" t="s">
        <v>17</v>
      </c>
      <c r="U37" s="769">
        <f t="shared" si="13"/>
        <v>101</v>
      </c>
      <c r="V37" s="768" t="s">
        <v>17</v>
      </c>
      <c r="W37" s="769">
        <f t="shared" si="14"/>
        <v>100</v>
      </c>
      <c r="X37" s="770"/>
      <c r="Y37" s="3243"/>
      <c r="Z37" s="55" t="str">
        <f t="shared" si="15"/>
        <v>市政基础设施</v>
      </c>
      <c r="AA37" s="771">
        <f t="shared" si="3"/>
        <v>0.99009900990099009</v>
      </c>
      <c r="AB37" s="771">
        <f t="shared" si="4"/>
        <v>0.99009900990099009</v>
      </c>
      <c r="AC37" s="771">
        <f t="shared" si="5"/>
        <v>1</v>
      </c>
    </row>
    <row r="38" spans="1:29" ht="15">
      <c r="A38" s="472"/>
      <c r="B38" s="422" t="s">
        <v>2665</v>
      </c>
      <c r="C38" s="2610" t="s">
        <v>3254</v>
      </c>
      <c r="D38" s="435">
        <v>100</v>
      </c>
      <c r="E38" s="2610" t="s">
        <v>3254</v>
      </c>
      <c r="F38" s="461">
        <f>SUMIF(114:114,E38,115:115)-SUMIF(114:114,C38,115:115)+100</f>
        <v>100</v>
      </c>
      <c r="G38" s="2610" t="s">
        <v>3254</v>
      </c>
      <c r="H38" s="435">
        <f>SUMIF(114:114,G38,115:115)-SUMIF(114:114,C38,115:115)+100</f>
        <v>100</v>
      </c>
      <c r="I38" s="2610" t="s">
        <v>3254</v>
      </c>
      <c r="J38" s="435">
        <f>SUMIF(114:114,I38,115:115)-SUMIF(114:114,C38,115:115)+100</f>
        <v>100</v>
      </c>
      <c r="K38" s="612">
        <v>2</v>
      </c>
      <c r="L38" s="1138"/>
      <c r="M38" s="1129"/>
      <c r="N38" s="1129"/>
      <c r="O38" s="1129"/>
      <c r="P38" s="3241" t="s">
        <v>2566</v>
      </c>
      <c r="Q38" s="1808" t="str">
        <f t="shared" si="11"/>
        <v>业态</v>
      </c>
      <c r="R38" s="772" t="s">
        <v>17</v>
      </c>
      <c r="S38" s="773">
        <f t="shared" si="12"/>
        <v>100</v>
      </c>
      <c r="T38" s="772" t="s">
        <v>17</v>
      </c>
      <c r="U38" s="773">
        <f t="shared" si="13"/>
        <v>100</v>
      </c>
      <c r="V38" s="772" t="s">
        <v>17</v>
      </c>
      <c r="W38" s="773">
        <f t="shared" si="14"/>
        <v>100</v>
      </c>
      <c r="X38" s="1811"/>
      <c r="Y38" s="3243" t="s">
        <v>2566</v>
      </c>
      <c r="Z38" s="1812" t="str">
        <f t="shared" si="15"/>
        <v>业态</v>
      </c>
      <c r="AA38" s="1809">
        <f t="shared" si="3"/>
        <v>1</v>
      </c>
      <c r="AB38" s="1809">
        <f t="shared" si="4"/>
        <v>1</v>
      </c>
      <c r="AC38" s="1809">
        <f t="shared" si="5"/>
        <v>1</v>
      </c>
    </row>
    <row r="39" spans="1:29" ht="15">
      <c r="A39" s="472"/>
      <c r="B39" s="422" t="s">
        <v>2666</v>
      </c>
      <c r="C39" s="2610" t="s">
        <v>3212</v>
      </c>
      <c r="D39" s="435">
        <v>100</v>
      </c>
      <c r="E39" s="2610" t="s">
        <v>3212</v>
      </c>
      <c r="F39" s="461">
        <f>SUMIF(116:116,E39,117:117)-SUMIF(116:116,C39,117:117)+100</f>
        <v>100</v>
      </c>
      <c r="G39" s="2610" t="s">
        <v>3212</v>
      </c>
      <c r="H39" s="435">
        <f>SUMIF(116:116,G39,117:117)-SUMIF(116:116,C39,117:117)+100</f>
        <v>100</v>
      </c>
      <c r="I39" s="2610" t="s">
        <v>3212</v>
      </c>
      <c r="J39" s="435">
        <f>SUMIF(116:116,I39,117:117)-SUMIF(116:116,C39,117:117)+100</f>
        <v>100</v>
      </c>
      <c r="K39" s="612">
        <v>2</v>
      </c>
      <c r="L39" s="1138"/>
      <c r="M39" s="1129"/>
      <c r="N39" s="1129"/>
      <c r="O39" s="1129"/>
      <c r="P39" s="3241"/>
      <c r="Q39" s="1808" t="str">
        <f t="shared" si="11"/>
        <v>层高</v>
      </c>
      <c r="R39" s="772" t="s">
        <v>17</v>
      </c>
      <c r="S39" s="773">
        <f t="shared" si="12"/>
        <v>100</v>
      </c>
      <c r="T39" s="772" t="s">
        <v>17</v>
      </c>
      <c r="U39" s="773">
        <f t="shared" si="13"/>
        <v>100</v>
      </c>
      <c r="V39" s="772" t="s">
        <v>17</v>
      </c>
      <c r="W39" s="773">
        <f t="shared" si="14"/>
        <v>100</v>
      </c>
      <c r="X39" s="1811"/>
      <c r="Y39" s="3243"/>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41"/>
      <c r="Q40" s="1808" t="str">
        <f t="shared" si="11"/>
        <v>单套建筑面积</v>
      </c>
      <c r="R40" s="772" t="s">
        <v>17</v>
      </c>
      <c r="S40" s="773">
        <f t="shared" si="12"/>
        <v>100</v>
      </c>
      <c r="T40" s="772" t="s">
        <v>17</v>
      </c>
      <c r="U40" s="773">
        <f t="shared" si="13"/>
        <v>100</v>
      </c>
      <c r="V40" s="772" t="s">
        <v>17</v>
      </c>
      <c r="W40" s="773">
        <f t="shared" si="14"/>
        <v>100</v>
      </c>
      <c r="X40" s="1811"/>
      <c r="Y40" s="3243"/>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41"/>
      <c r="Q41" s="774" t="str">
        <f t="shared" si="11"/>
        <v>进深比</v>
      </c>
      <c r="R41" s="775" t="s">
        <v>17</v>
      </c>
      <c r="S41" s="776">
        <f t="shared" si="12"/>
        <v>100</v>
      </c>
      <c r="T41" s="775" t="s">
        <v>17</v>
      </c>
      <c r="U41" s="776">
        <f t="shared" si="13"/>
        <v>100</v>
      </c>
      <c r="V41" s="775" t="s">
        <v>17</v>
      </c>
      <c r="W41" s="776">
        <f t="shared" si="14"/>
        <v>100</v>
      </c>
      <c r="X41" s="777"/>
      <c r="Y41" s="3243"/>
      <c r="Z41" s="778" t="str">
        <f t="shared" si="15"/>
        <v>进深比</v>
      </c>
      <c r="AA41" s="1809">
        <f t="shared" si="3"/>
        <v>1</v>
      </c>
      <c r="AB41" s="1809">
        <f t="shared" si="4"/>
        <v>1</v>
      </c>
      <c r="AC41" s="1809">
        <f t="shared" si="5"/>
        <v>1</v>
      </c>
    </row>
    <row r="42" spans="1:29" ht="15">
      <c r="A42" s="472"/>
      <c r="B42" s="422" t="s">
        <v>2669</v>
      </c>
      <c r="C42" s="2610" t="s">
        <v>3198</v>
      </c>
      <c r="D42" s="435">
        <v>100</v>
      </c>
      <c r="E42" s="2610" t="s">
        <v>3198</v>
      </c>
      <c r="F42" s="461">
        <f>SUMIF(122:122,E42,123:123)-SUMIF(122:122,C42,123:123)+100</f>
        <v>100</v>
      </c>
      <c r="G42" s="2610" t="s">
        <v>3198</v>
      </c>
      <c r="H42" s="435">
        <f>SUMIF(122:122,G42,123:123)-SUMIF(122:122,C42,123:123)+100</f>
        <v>100</v>
      </c>
      <c r="I42" s="2610" t="s">
        <v>3198</v>
      </c>
      <c r="J42" s="435">
        <f>SUMIF(122:122,I42,123:123)-SUMIF(122:122,C42,123:123)+100</f>
        <v>100</v>
      </c>
      <c r="K42" s="612">
        <v>2</v>
      </c>
      <c r="L42" s="1138"/>
      <c r="M42" s="1129"/>
      <c r="N42" s="1129"/>
      <c r="O42" s="1129"/>
      <c r="P42" s="3241"/>
      <c r="Q42" s="1808" t="str">
        <f t="shared" si="11"/>
        <v>内部装修</v>
      </c>
      <c r="R42" s="772" t="s">
        <v>17</v>
      </c>
      <c r="S42" s="773">
        <f t="shared" si="12"/>
        <v>100</v>
      </c>
      <c r="T42" s="772" t="s">
        <v>17</v>
      </c>
      <c r="U42" s="773">
        <f t="shared" si="13"/>
        <v>100</v>
      </c>
      <c r="V42" s="772" t="s">
        <v>17</v>
      </c>
      <c r="W42" s="773">
        <f t="shared" si="14"/>
        <v>100</v>
      </c>
      <c r="X42" s="1811"/>
      <c r="Y42" s="3243"/>
      <c r="Z42" s="1812" t="str">
        <f t="shared" si="15"/>
        <v>内部装修</v>
      </c>
      <c r="AA42" s="1809">
        <f t="shared" si="3"/>
        <v>1</v>
      </c>
      <c r="AB42" s="1809">
        <f t="shared" si="4"/>
        <v>1</v>
      </c>
      <c r="AC42" s="1809">
        <f t="shared" si="5"/>
        <v>1</v>
      </c>
    </row>
    <row r="43" spans="1:29" ht="15">
      <c r="A43" s="472"/>
      <c r="B43" s="422" t="s">
        <v>2577</v>
      </c>
      <c r="C43" s="2610" t="s">
        <v>3220</v>
      </c>
      <c r="D43" s="435">
        <v>100</v>
      </c>
      <c r="E43" s="2610" t="s">
        <v>3220</v>
      </c>
      <c r="F43" s="461">
        <f>SUMIF(124:124,E43,125:125)-SUMIF(124:124,C43,125:125)+100</f>
        <v>100</v>
      </c>
      <c r="G43" s="2610" t="s">
        <v>3220</v>
      </c>
      <c r="H43" s="435">
        <f>SUMIF(124:124,G43,125:125)-SUMIF(124:124,C43,125:125)+100</f>
        <v>100</v>
      </c>
      <c r="I43" s="2610" t="s">
        <v>3220</v>
      </c>
      <c r="J43" s="435">
        <f>SUMIF(124:124,I43,125:125)-SUMIF(124:124,C43,125:125)+100</f>
        <v>100</v>
      </c>
      <c r="K43" s="612">
        <v>1</v>
      </c>
      <c r="L43" s="1138"/>
      <c r="M43" s="1129"/>
      <c r="N43" s="1129"/>
      <c r="O43" s="1129"/>
      <c r="P43" s="3241"/>
      <c r="Q43" s="1808" t="str">
        <f t="shared" si="11"/>
        <v>内部装修维护情况</v>
      </c>
      <c r="R43" s="772" t="s">
        <v>17</v>
      </c>
      <c r="S43" s="773">
        <f t="shared" si="12"/>
        <v>100</v>
      </c>
      <c r="T43" s="772" t="s">
        <v>17</v>
      </c>
      <c r="U43" s="773">
        <f t="shared" si="13"/>
        <v>100</v>
      </c>
      <c r="V43" s="772" t="s">
        <v>17</v>
      </c>
      <c r="W43" s="773">
        <f t="shared" si="14"/>
        <v>100</v>
      </c>
      <c r="X43" s="1811"/>
      <c r="Y43" s="3243"/>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41"/>
      <c r="Q44" s="1793">
        <f t="shared" si="11"/>
        <v>111</v>
      </c>
      <c r="R44" s="768" t="s">
        <v>17</v>
      </c>
      <c r="S44" s="769">
        <f t="shared" si="12"/>
        <v>100</v>
      </c>
      <c r="T44" s="768" t="s">
        <v>17</v>
      </c>
      <c r="U44" s="769">
        <f t="shared" si="13"/>
        <v>100</v>
      </c>
      <c r="V44" s="768" t="s">
        <v>17</v>
      </c>
      <c r="W44" s="769">
        <f t="shared" si="14"/>
        <v>100</v>
      </c>
      <c r="X44" s="770"/>
      <c r="Y44" s="3243"/>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41"/>
      <c r="Q45" s="1808">
        <f t="shared" si="11"/>
        <v>111</v>
      </c>
      <c r="R45" s="772" t="s">
        <v>17</v>
      </c>
      <c r="S45" s="773">
        <f t="shared" si="12"/>
        <v>100</v>
      </c>
      <c r="T45" s="772" t="s">
        <v>17</v>
      </c>
      <c r="U45" s="773">
        <f t="shared" si="13"/>
        <v>100</v>
      </c>
      <c r="V45" s="772" t="s">
        <v>17</v>
      </c>
      <c r="W45" s="773">
        <f t="shared" si="14"/>
        <v>100</v>
      </c>
      <c r="X45" s="1811"/>
      <c r="Y45" s="3243"/>
      <c r="Z45" s="1812">
        <f t="shared" si="15"/>
        <v>111</v>
      </c>
      <c r="AA45" s="1809">
        <f t="shared" si="3"/>
        <v>1</v>
      </c>
      <c r="AB45" s="1809">
        <f t="shared" si="4"/>
        <v>1</v>
      </c>
      <c r="AC45" s="1809">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42"/>
      <c r="Q46" s="1808">
        <f t="shared" si="11"/>
        <v>111</v>
      </c>
      <c r="R46" s="772" t="s">
        <v>17</v>
      </c>
      <c r="S46" s="773">
        <f t="shared" si="12"/>
        <v>100</v>
      </c>
      <c r="T46" s="772" t="s">
        <v>17</v>
      </c>
      <c r="U46" s="773">
        <f t="shared" si="13"/>
        <v>100</v>
      </c>
      <c r="V46" s="772" t="s">
        <v>17</v>
      </c>
      <c r="W46" s="773">
        <f t="shared" si="14"/>
        <v>100</v>
      </c>
      <c r="X46" s="1811"/>
      <c r="Y46" s="3244"/>
      <c r="Z46" s="1812">
        <f t="shared" si="15"/>
        <v>111</v>
      </c>
      <c r="AA46" s="1809">
        <f t="shared" si="3"/>
        <v>1</v>
      </c>
      <c r="AB46" s="1809">
        <f t="shared" si="4"/>
        <v>1</v>
      </c>
      <c r="AC46" s="1809">
        <f t="shared" si="5"/>
        <v>1</v>
      </c>
    </row>
    <row r="47" spans="1:29" ht="15">
      <c r="A47" s="479" t="s">
        <v>2578</v>
      </c>
      <c r="B47" s="480"/>
      <c r="C47" s="1405" t="s">
        <v>1</v>
      </c>
      <c r="D47" s="1406"/>
      <c r="E47" s="1407">
        <v>45302</v>
      </c>
      <c r="F47" s="1408"/>
      <c r="G47" s="1409">
        <v>45833</v>
      </c>
      <c r="H47" s="1410"/>
      <c r="I47" s="1407">
        <v>51242</v>
      </c>
      <c r="J47" s="1410"/>
      <c r="K47" s="781"/>
      <c r="L47" s="1141"/>
      <c r="M47" s="1142"/>
      <c r="N47" s="1129"/>
      <c r="O47" s="1142"/>
      <c r="P47" s="3245" t="str">
        <f>A47</f>
        <v>成交单价（元/平方米）</v>
      </c>
      <c r="Q47" s="3245"/>
      <c r="R47" s="3233">
        <f>E47</f>
        <v>45302</v>
      </c>
      <c r="S47" s="3233"/>
      <c r="T47" s="3233">
        <f>G47</f>
        <v>45833</v>
      </c>
      <c r="U47" s="3233"/>
      <c r="V47" s="3233">
        <f>I47</f>
        <v>51242</v>
      </c>
      <c r="W47" s="3233"/>
      <c r="X47" s="757"/>
      <c r="Y47" s="779"/>
      <c r="Z47" s="757"/>
      <c r="AA47" s="757"/>
      <c r="AB47" s="757"/>
      <c r="AC47" s="757"/>
    </row>
    <row r="48" spans="1:29" ht="15.75" thickBot="1">
      <c r="A48" s="486" t="s">
        <v>2670</v>
      </c>
      <c r="B48" s="487"/>
      <c r="C48" s="1411">
        <f>R49</f>
        <v>43102</v>
      </c>
      <c r="D48" s="1412"/>
      <c r="E48" s="1413">
        <f>R48</f>
        <v>40627</v>
      </c>
      <c r="F48" s="1413"/>
      <c r="G48" s="1411">
        <f>T48</f>
        <v>43654</v>
      </c>
      <c r="H48" s="1412"/>
      <c r="I48" s="1413">
        <f>V48</f>
        <v>45026</v>
      </c>
      <c r="J48" s="1412"/>
      <c r="K48" s="782"/>
      <c r="L48" s="1141"/>
      <c r="M48" s="1142"/>
      <c r="N48" s="1129"/>
      <c r="O48" s="1142"/>
      <c r="P48" s="3245" t="str">
        <f>A48</f>
        <v>比较价值（元/平方米）</v>
      </c>
      <c r="Q48" s="3245"/>
      <c r="R48" s="3246">
        <f>IF(F1="售价",ROUND(PRODUCT(R47,AA7:AA46),0),ROUND(PRODUCT(R47,AA7:AA46),1))</f>
        <v>40627</v>
      </c>
      <c r="S48" s="3246"/>
      <c r="T48" s="3246">
        <f>IF(F1="售价",ROUND(PRODUCT(T47,AB7:AB46),0),ROUND(PRODUCT(T47,AB7:AB46),1))</f>
        <v>43654</v>
      </c>
      <c r="U48" s="3246"/>
      <c r="V48" s="3246">
        <f>IF(F1="售价",ROUND(PRODUCT(V47,AC7:AC46),0),ROUND(PRODUCT(V47,AC7:AC46),1))</f>
        <v>45026</v>
      </c>
      <c r="W48" s="3246"/>
      <c r="X48" s="757"/>
      <c r="Y48" s="757"/>
      <c r="Z48" s="757"/>
      <c r="AA48" s="757"/>
      <c r="AB48" s="757"/>
      <c r="AC48" s="757"/>
    </row>
    <row r="49" spans="1:29" ht="15.75" thickBot="1">
      <c r="A49" s="492" t="s">
        <v>2671</v>
      </c>
      <c r="B49" s="493"/>
      <c r="C49" s="1415">
        <f>R49</f>
        <v>43102</v>
      </c>
      <c r="D49" s="1415"/>
      <c r="E49" s="1415"/>
      <c r="F49" s="1415"/>
      <c r="G49" s="1415"/>
      <c r="H49" s="1415"/>
      <c r="I49" s="1415"/>
      <c r="J49" s="1415"/>
      <c r="K49" s="783"/>
      <c r="L49" s="1141"/>
      <c r="M49" s="1142"/>
      <c r="N49" s="1129"/>
      <c r="O49" s="1142"/>
      <c r="P49" s="3263" t="str">
        <f>A49</f>
        <v>估价对象XX用房的比较价值（楼面单价，元/平方米）</v>
      </c>
      <c r="Q49" s="3264"/>
      <c r="R49" s="3265">
        <f>IF(F1="售价",ROUND(AVERAGE(R48:V48),0),ROUND(AVERAGE(R48:V48),1))</f>
        <v>43102</v>
      </c>
      <c r="S49" s="3265"/>
      <c r="T49" s="3265"/>
      <c r="U49" s="3265"/>
      <c r="V49" s="3265"/>
      <c r="W49" s="3265"/>
      <c r="X49" s="757"/>
      <c r="Y49" s="757"/>
      <c r="Z49" s="757"/>
      <c r="AA49" s="757"/>
      <c r="AB49" s="757"/>
      <c r="AC49" s="757"/>
    </row>
    <row r="50" spans="1:29">
      <c r="A50" s="1142"/>
      <c r="B50" s="1142"/>
      <c r="C50" s="1142"/>
      <c r="D50" s="1142"/>
      <c r="E50" s="1142">
        <v>2003</v>
      </c>
      <c r="F50" s="1142"/>
      <c r="G50" s="1145"/>
      <c r="H50" s="1142">
        <v>2013</v>
      </c>
      <c r="I50" s="1142"/>
      <c r="J50" s="1142">
        <v>2008</v>
      </c>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2672</v>
      </c>
      <c r="D52" s="498"/>
      <c r="E52" s="499">
        <f>IF(E47&lt;E48,E48/E47-1,E47/E48-1)</f>
        <v>0.11507125803037388</v>
      </c>
      <c r="F52" s="500" t="str">
        <f>IF(OR(E52&gt;=0.3,E52&lt;=-0.3),"超过30%","")</f>
        <v/>
      </c>
      <c r="G52" s="499">
        <f>IF(G47&lt;G48,G48/G47-1,G47/G48-1)</f>
        <v>4.9915242589453346E-2</v>
      </c>
      <c r="H52" s="500" t="str">
        <f>IF(OR(G52&gt;=0.3,G52&lt;=-0.3),"超过30%","")</f>
        <v/>
      </c>
      <c r="I52" s="499">
        <f>IF(I47&lt;I48,I48/I47-1,I47/I48-1)</f>
        <v>0.13805356904899391</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2673</v>
      </c>
      <c r="D53" s="501"/>
      <c r="E53" s="499">
        <f>IF(E48&lt;G48,G48/E48-1,E48/G48-1)</f>
        <v>7.45071011888645E-2</v>
      </c>
      <c r="F53" s="500" t="str">
        <f>IF(OR(E53&gt;=0.2,E53&lt;=-0.2),"超过20%","")</f>
        <v/>
      </c>
      <c r="G53" s="499">
        <f>IF(G48&lt;I48,I48/G48-1,G48/I48-1)</f>
        <v>3.1428964126998693E-2</v>
      </c>
      <c r="H53" s="500" t="str">
        <f>IF(OR(G53&gt;=0.2,G53&lt;=-0.2),"超过20%","")</f>
        <v/>
      </c>
      <c r="I53" s="499">
        <f>IF(I48&lt;E48,E48/I48-1,I48/E48-1)</f>
        <v>0.10827774632633469</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2674</v>
      </c>
      <c r="D54" s="501"/>
      <c r="E54" s="499">
        <f>IF(E47&lt;G47,G47/E47-1,E47/G47-1)</f>
        <v>1.1721336806322036E-2</v>
      </c>
      <c r="F54" s="500" t="str">
        <f>IF(OR(E54&gt;=0.3,E54&lt;=-0.3),"超过30%","")</f>
        <v/>
      </c>
      <c r="G54" s="499">
        <f>IF(G47&lt;I47,I47/G47-1,G47/I47-1)</f>
        <v>0.11801540374839092</v>
      </c>
      <c r="H54" s="500" t="str">
        <f>IF(OR(G54&gt;=0.3,G54&lt;=-0.3),"超过30%","")</f>
        <v/>
      </c>
      <c r="I54" s="499">
        <f>IF(I47&lt;E47,E47/I47-1,I47/E47-1)</f>
        <v>0.13112003885038193</v>
      </c>
      <c r="J54" s="500" t="str">
        <f>IF(OR(I54&gt;=0.3,I54&lt;=-0.3),"超过30%","")</f>
        <v/>
      </c>
      <c r="K54" s="1146"/>
      <c r="L54" s="1147"/>
      <c r="M54" s="1143"/>
      <c r="N54" s="1143"/>
      <c r="O54" s="1143"/>
      <c r="P54" s="2663"/>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8" customFormat="1" ht="15">
      <c r="A58" s="505" t="s">
        <v>2549</v>
      </c>
      <c r="B58" s="506"/>
      <c r="C58" s="1572" t="str">
        <f>YEAR(C7)&amp;"-"&amp;MONTH(C7)</f>
        <v>2019-5</v>
      </c>
      <c r="D58" s="1573">
        <f>EDATE(C58,-1)</f>
        <v>43556</v>
      </c>
      <c r="E58" s="1573">
        <f t="shared" ref="E58:N58" si="16">EDATE(D58,-1)</f>
        <v>43525</v>
      </c>
      <c r="F58" s="1573">
        <f t="shared" si="16"/>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25"/>
    </row>
    <row r="60" spans="1:29" s="117" customFormat="1" ht="15.75" thickBot="1">
      <c r="A60" s="515" t="s">
        <v>2586</v>
      </c>
      <c r="B60" s="516"/>
      <c r="C60" s="517">
        <v>1</v>
      </c>
      <c r="D60" s="518"/>
      <c r="E60" s="518"/>
      <c r="F60" s="518"/>
      <c r="G60" s="518"/>
      <c r="H60" s="518"/>
      <c r="I60" s="518"/>
      <c r="J60" s="518"/>
      <c r="K60" s="518"/>
      <c r="L60" s="518"/>
      <c r="M60" s="519"/>
      <c r="N60" s="518"/>
      <c r="O60" s="519"/>
      <c r="P60" s="2625"/>
      <c r="Q60" s="504"/>
    </row>
    <row r="61" spans="1:29" s="117" customFormat="1" ht="15">
      <c r="A61" s="521" t="s">
        <v>2551</v>
      </c>
      <c r="B61" s="510"/>
      <c r="C61" s="522" t="s">
        <v>2653</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2589</v>
      </c>
      <c r="B63" s="528" t="s">
        <v>2555</v>
      </c>
      <c r="C63" s="529" t="str">
        <f>C9</f>
        <v>商业</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2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27"/>
      <c r="Q66" s="504"/>
    </row>
    <row r="67" spans="1:17" ht="15.75" thickTop="1">
      <c r="A67" s="534"/>
      <c r="B67" s="546" t="s">
        <v>2559</v>
      </c>
      <c r="C67" s="547" t="str">
        <f>C68&amp;"（含）"&amp;"-"&amp;D68</f>
        <v>1（含）-2</v>
      </c>
      <c r="D67" s="547" t="str">
        <f t="shared" ref="D67:L67" si="17">D68&amp;"（含）"&amp;"-"&amp;E68</f>
        <v>2（含）-3</v>
      </c>
      <c r="E67" s="547" t="str">
        <f t="shared" si="17"/>
        <v>3（含）-4</v>
      </c>
      <c r="F67" s="547" t="str">
        <f t="shared" si="17"/>
        <v>4（含）-5</v>
      </c>
      <c r="G67" s="547" t="str">
        <f t="shared" si="17"/>
        <v>5（含）-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7"/>
      <c r="Q67" s="504"/>
    </row>
    <row r="68" spans="1:17" ht="15">
      <c r="A68" s="534"/>
      <c r="B68" s="548"/>
      <c r="C68" s="549">
        <v>1</v>
      </c>
      <c r="D68" s="549">
        <v>2</v>
      </c>
      <c r="E68" s="549">
        <v>3</v>
      </c>
      <c r="F68" s="549">
        <v>4</v>
      </c>
      <c r="G68" s="549">
        <v>5</v>
      </c>
      <c r="H68" s="549"/>
      <c r="I68" s="549"/>
      <c r="J68" s="549"/>
      <c r="K68" s="550"/>
      <c r="L68" s="551"/>
      <c r="M68" s="552"/>
      <c r="N68" s="1150"/>
      <c r="O68" s="1150"/>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36"/>
      <c r="E73" s="536"/>
      <c r="F73" s="536"/>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7"/>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2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7"/>
      <c r="Q85" s="504"/>
    </row>
    <row r="86" spans="1:17" s="117" customFormat="1" ht="15.75" thickTop="1">
      <c r="A86" s="579"/>
      <c r="B86" s="538" t="s">
        <v>2681</v>
      </c>
      <c r="C86" s="2990" t="s">
        <v>3239</v>
      </c>
      <c r="D86" s="2990" t="s">
        <v>3240</v>
      </c>
      <c r="E86" s="2990" t="s">
        <v>3241</v>
      </c>
      <c r="F86" s="2990" t="s">
        <v>3242</v>
      </c>
      <c r="G86" s="554"/>
      <c r="H86" s="554"/>
      <c r="I86" s="554"/>
      <c r="J86" s="554"/>
      <c r="K86" s="554"/>
      <c r="L86" s="580"/>
      <c r="M86" s="581"/>
      <c r="N86" s="1149"/>
      <c r="O86" s="1149"/>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9"/>
      <c r="O88" s="1149"/>
      <c r="P88" s="2627"/>
      <c r="Q88" s="504"/>
    </row>
    <row r="89" spans="1:17" s="117" customFormat="1" ht="15.75" thickBot="1">
      <c r="A89" s="579"/>
      <c r="B89" s="543"/>
      <c r="C89" s="560"/>
      <c r="D89" s="536"/>
      <c r="E89" s="536"/>
      <c r="F89" s="536"/>
      <c r="G89" s="536"/>
      <c r="H89" s="536"/>
      <c r="I89" s="536"/>
      <c r="J89" s="536"/>
      <c r="K89" s="536"/>
      <c r="L89" s="536"/>
      <c r="M89" s="536"/>
      <c r="N89" s="1151"/>
      <c r="O89" s="1151"/>
      <c r="P89" s="2627"/>
      <c r="Q89" s="504"/>
    </row>
    <row r="90" spans="1:17" s="471" customFormat="1" ht="15.75" thickTop="1">
      <c r="A90" s="553"/>
      <c r="B90" s="538" t="str">
        <f>B27</f>
        <v>人流量</v>
      </c>
      <c r="C90" s="2990" t="s">
        <v>3257</v>
      </c>
      <c r="D90" s="2990" t="s">
        <v>3258</v>
      </c>
      <c r="E90" s="2990" t="s">
        <v>3256</v>
      </c>
      <c r="F90" s="2990" t="s">
        <v>3259</v>
      </c>
      <c r="G90" s="2990" t="s">
        <v>3260</v>
      </c>
      <c r="H90" s="555"/>
      <c r="I90" s="555"/>
      <c r="J90" s="555"/>
      <c r="K90" s="555"/>
      <c r="L90" s="556"/>
      <c r="M90" s="557"/>
      <c r="N90" s="1152"/>
      <c r="O90" s="1152"/>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28"/>
      <c r="Q91" s="559"/>
    </row>
    <row r="92" spans="1:17" ht="15.75" thickTop="1">
      <c r="A92" s="534"/>
      <c r="B92" s="538" t="str">
        <f>B28</f>
        <v>楼层</v>
      </c>
      <c r="C92" s="2991">
        <v>1</v>
      </c>
      <c r="D92" s="2992" t="s">
        <v>3243</v>
      </c>
      <c r="E92" s="2993">
        <v>2</v>
      </c>
      <c r="F92" s="2993">
        <v>3</v>
      </c>
      <c r="G92" s="2992" t="s">
        <v>3244</v>
      </c>
      <c r="H92" s="2992" t="s">
        <v>3245</v>
      </c>
      <c r="I92" s="2992" t="s">
        <v>3246</v>
      </c>
      <c r="J92" s="2992" t="s">
        <v>3247</v>
      </c>
      <c r="K92" s="554"/>
      <c r="L92" s="580"/>
      <c r="M92" s="581"/>
      <c r="N92" s="1150"/>
      <c r="O92" s="1150"/>
      <c r="P92" s="2627"/>
      <c r="Q92" s="504"/>
    </row>
    <row r="93" spans="1:17" ht="15.75" thickBot="1">
      <c r="A93" s="534"/>
      <c r="B93" s="543"/>
      <c r="C93" s="2994">
        <v>100</v>
      </c>
      <c r="D93" s="2995">
        <v>85</v>
      </c>
      <c r="E93" s="2995">
        <v>75</v>
      </c>
      <c r="F93" s="2995">
        <v>65</v>
      </c>
      <c r="G93" s="2995">
        <v>55</v>
      </c>
      <c r="H93" s="2995">
        <v>50</v>
      </c>
      <c r="I93" s="2995">
        <v>45</v>
      </c>
      <c r="J93" s="2995">
        <v>25</v>
      </c>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36"/>
      <c r="E95" s="536"/>
      <c r="F95" s="536"/>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60"/>
      <c r="D97" s="536"/>
      <c r="E97" s="536"/>
      <c r="F97" s="536"/>
      <c r="G97" s="536"/>
      <c r="H97" s="536"/>
      <c r="I97" s="536"/>
      <c r="J97" s="536"/>
      <c r="K97" s="536"/>
      <c r="L97" s="536"/>
      <c r="M97" s="537"/>
      <c r="N97" s="1151"/>
      <c r="O97" s="1151"/>
      <c r="P97" s="2627"/>
      <c r="Q97" s="504"/>
    </row>
    <row r="98" spans="1:17" ht="15.75" thickTop="1">
      <c r="A98" s="534"/>
      <c r="B98" s="546">
        <f>B31</f>
        <v>111</v>
      </c>
      <c r="C98" s="554"/>
      <c r="D98" s="554"/>
      <c r="E98" s="554"/>
      <c r="F98" s="554"/>
      <c r="G98" s="587"/>
      <c r="H98" s="587"/>
      <c r="I98" s="587"/>
      <c r="J98" s="587"/>
      <c r="K98" s="588"/>
      <c r="L98" s="589"/>
      <c r="M98" s="590"/>
      <c r="N98" s="1150"/>
      <c r="O98" s="1150"/>
      <c r="P98" s="2627"/>
      <c r="Q98" s="504"/>
    </row>
    <row r="99" spans="1:17" ht="15.75" thickBot="1">
      <c r="A99" s="2633"/>
      <c r="B99" s="569"/>
      <c r="C99" s="570"/>
      <c r="D99" s="570"/>
      <c r="E99" s="570"/>
      <c r="F99" s="570"/>
      <c r="G99" s="591"/>
      <c r="H99" s="591"/>
      <c r="I99" s="591"/>
      <c r="J99" s="591"/>
      <c r="K99" s="591"/>
      <c r="L99" s="591"/>
      <c r="M99" s="592"/>
      <c r="N99" s="1151"/>
      <c r="O99" s="1151"/>
      <c r="P99" s="2627"/>
      <c r="Q99" s="504"/>
    </row>
    <row r="100" spans="1:17">
      <c r="A100" s="527" t="s">
        <v>2564</v>
      </c>
      <c r="B100" s="528" t="s">
        <v>2682</v>
      </c>
      <c r="C100" s="2996" t="s">
        <v>3248</v>
      </c>
      <c r="D100" s="2996" t="s">
        <v>3249</v>
      </c>
      <c r="E100" s="2996" t="s">
        <v>3250</v>
      </c>
      <c r="F100" s="2996" t="s">
        <v>3251</v>
      </c>
      <c r="G100" s="2996" t="s">
        <v>3252</v>
      </c>
      <c r="H100" s="530"/>
      <c r="I100" s="530"/>
      <c r="J100" s="530"/>
      <c r="K100" s="531"/>
      <c r="L100" s="532"/>
      <c r="M100" s="533"/>
      <c r="N100" s="1150"/>
      <c r="O100" s="1150"/>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7"/>
      <c r="Q101" s="504"/>
    </row>
    <row r="102" spans="1:17" ht="29.25" thickTop="1">
      <c r="A102" s="534"/>
      <c r="B102" s="538" t="s">
        <v>2614</v>
      </c>
      <c r="C102" s="578" t="str">
        <f>C103&amp;"(含)"&amp;"-"&amp;D103</f>
        <v>0(含)-300</v>
      </c>
      <c r="D102" s="578" t="str">
        <f t="shared" ref="D102:L102" si="23">D103&amp;"(含)"&amp;"-"&amp;E103</f>
        <v>300(含)-800</v>
      </c>
      <c r="E102" s="578" t="str">
        <f t="shared" si="23"/>
        <v>800(含)-1300</v>
      </c>
      <c r="F102" s="578" t="str">
        <f t="shared" si="23"/>
        <v>1300(含)-2000</v>
      </c>
      <c r="G102" s="578" t="str">
        <f t="shared" si="23"/>
        <v>2000(含)-5000</v>
      </c>
      <c r="H102" s="578" t="str">
        <f t="shared" si="23"/>
        <v>5000(含)-8000</v>
      </c>
      <c r="I102" s="578" t="str">
        <f t="shared" si="23"/>
        <v>8000(含)-10000</v>
      </c>
      <c r="J102" s="578" t="str">
        <f t="shared" si="23"/>
        <v>10000(含)-12000</v>
      </c>
      <c r="K102" s="578" t="str">
        <f t="shared" si="23"/>
        <v>12000(含)-</v>
      </c>
      <c r="L102" s="578" t="str">
        <f t="shared" si="23"/>
        <v>(含)-</v>
      </c>
      <c r="M102" s="622" t="str">
        <f>M103&amp;"(含)"&amp;"-"&amp;P103</f>
        <v>(含)-</v>
      </c>
      <c r="N102" s="1149"/>
      <c r="O102" s="1149"/>
      <c r="P102" s="2627"/>
      <c r="Q102" s="504"/>
    </row>
    <row r="103" spans="1:17" s="471" customFormat="1">
      <c r="A103" s="593"/>
      <c r="B103" s="594"/>
      <c r="C103" s="595">
        <v>0</v>
      </c>
      <c r="D103" s="595">
        <v>300</v>
      </c>
      <c r="E103" s="595">
        <v>800</v>
      </c>
      <c r="F103" s="595">
        <v>1300</v>
      </c>
      <c r="G103" s="595">
        <v>2000</v>
      </c>
      <c r="H103" s="595">
        <v>5000</v>
      </c>
      <c r="I103" s="595">
        <v>8000</v>
      </c>
      <c r="J103" s="596">
        <v>10000</v>
      </c>
      <c r="K103" s="596">
        <v>12000</v>
      </c>
      <c r="L103" s="597"/>
      <c r="M103" s="598"/>
      <c r="N103" s="1152"/>
      <c r="O103" s="1152"/>
      <c r="P103" s="2628"/>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7"/>
      <c r="N104" s="1151"/>
      <c r="O104" s="1151"/>
      <c r="P104" s="2628"/>
      <c r="Q104" s="559"/>
    </row>
    <row r="105" spans="1:17" ht="15" thickTop="1">
      <c r="A105" s="599"/>
      <c r="B105" s="538" t="s">
        <v>2615</v>
      </c>
      <c r="C105" s="2990" t="s">
        <v>3253</v>
      </c>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1"/>
      <c r="O106" s="1151"/>
      <c r="P106" s="2627"/>
      <c r="Q106" s="504"/>
    </row>
    <row r="107" spans="1:17" ht="15" thickTop="1">
      <c r="A107" s="599"/>
      <c r="B107" s="538" t="s">
        <v>2617</v>
      </c>
      <c r="C107" s="2978" t="s">
        <v>3197</v>
      </c>
      <c r="D107" s="2978" t="s">
        <v>3198</v>
      </c>
      <c r="E107" s="2978" t="s">
        <v>3199</v>
      </c>
      <c r="F107" s="2980" t="s">
        <v>3200</v>
      </c>
      <c r="G107" s="583"/>
      <c r="H107" s="583"/>
      <c r="I107" s="583"/>
      <c r="J107" s="583"/>
      <c r="K107" s="584"/>
      <c r="L107" s="585"/>
      <c r="M107" s="586"/>
      <c r="N107" s="1150"/>
      <c r="O107" s="1150"/>
      <c r="P107" s="2627"/>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1"/>
      <c r="O108" s="1151"/>
      <c r="P108" s="262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7"/>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7"/>
      <c r="Q111" s="504"/>
    </row>
    <row r="112" spans="1:17" s="471" customFormat="1" ht="15" thickTop="1">
      <c r="A112" s="593"/>
      <c r="B112" s="538" t="s">
        <v>2619</v>
      </c>
      <c r="C112" s="2978" t="s">
        <v>3206</v>
      </c>
      <c r="D112" s="2978" t="s">
        <v>3207</v>
      </c>
      <c r="E112" s="2978" t="s">
        <v>3208</v>
      </c>
      <c r="F112" s="2978" t="s">
        <v>3209</v>
      </c>
      <c r="G112" s="2978" t="s">
        <v>3210</v>
      </c>
      <c r="H112" s="583"/>
      <c r="I112" s="583"/>
      <c r="J112" s="583"/>
      <c r="K112" s="584"/>
      <c r="L112" s="585"/>
      <c r="M112" s="586"/>
      <c r="N112" s="1152"/>
      <c r="O112" s="1152"/>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2"/>
      <c r="O113" s="1152"/>
      <c r="P113" s="2628"/>
      <c r="Q113" s="559"/>
    </row>
    <row r="114" spans="1:17" ht="15" thickTop="1">
      <c r="A114" s="599"/>
      <c r="B114" s="538" t="s">
        <v>2683</v>
      </c>
      <c r="C114" s="2990" t="s">
        <v>3254</v>
      </c>
      <c r="D114" s="2997" t="s">
        <v>3255</v>
      </c>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27"/>
      <c r="Q115" s="504"/>
    </row>
    <row r="116" spans="1:17" ht="15" thickTop="1">
      <c r="A116" s="599"/>
      <c r="B116" s="538" t="s">
        <v>2684</v>
      </c>
      <c r="C116" s="2990" t="s">
        <v>3211</v>
      </c>
      <c r="D116" s="2990" t="s">
        <v>3212</v>
      </c>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7"/>
      <c r="Q117" s="504"/>
    </row>
    <row r="118" spans="1:17" ht="15" thickTop="1">
      <c r="A118" s="599"/>
      <c r="B118" s="538" t="s">
        <v>2685</v>
      </c>
      <c r="C118" s="627"/>
      <c r="D118" s="627"/>
      <c r="E118" s="627"/>
      <c r="F118" s="627"/>
      <c r="G118" s="627"/>
      <c r="H118" s="555"/>
      <c r="I118" s="555"/>
      <c r="J118" s="555"/>
      <c r="K118" s="555"/>
      <c r="L118" s="556"/>
      <c r="M118" s="557"/>
      <c r="N118" s="1150"/>
      <c r="O118" s="1150"/>
      <c r="P118" s="2627"/>
      <c r="Q118" s="504"/>
    </row>
    <row r="119" spans="1:17" ht="15.75" thickBot="1">
      <c r="A119" s="534"/>
      <c r="B119" s="543"/>
      <c r="C119" s="560"/>
      <c r="D119" s="536"/>
      <c r="E119" s="536"/>
      <c r="F119" s="536"/>
      <c r="G119" s="536"/>
      <c r="H119" s="536"/>
      <c r="I119" s="536"/>
      <c r="J119" s="536"/>
      <c r="K119" s="536"/>
      <c r="L119" s="536"/>
      <c r="M119" s="537"/>
      <c r="N119" s="1151"/>
      <c r="O119" s="1151"/>
      <c r="P119" s="2627"/>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8"/>
      <c r="Q121" s="559"/>
    </row>
    <row r="122" spans="1:17" ht="15" thickTop="1">
      <c r="A122" s="599"/>
      <c r="B122" s="538" t="s">
        <v>2621</v>
      </c>
      <c r="C122" s="2978" t="s">
        <v>3197</v>
      </c>
      <c r="D122" s="2978" t="s">
        <v>3198</v>
      </c>
      <c r="E122" s="2978" t="s">
        <v>3199</v>
      </c>
      <c r="F122" s="2980" t="s">
        <v>3200</v>
      </c>
      <c r="G122" s="583"/>
      <c r="H122" s="583"/>
      <c r="I122" s="583"/>
      <c r="J122" s="583"/>
      <c r="K122" s="584"/>
      <c r="L122" s="585"/>
      <c r="M122" s="586"/>
      <c r="N122" s="1150"/>
      <c r="O122" s="1150"/>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36"/>
      <c r="E129" s="536"/>
      <c r="F129" s="536"/>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P45" sqref="P4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7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3007</v>
      </c>
      <c r="C1" s="3251" t="s">
        <v>3008</v>
      </c>
      <c r="D1" s="3252"/>
      <c r="E1" s="3252"/>
      <c r="F1" s="3252"/>
      <c r="G1" s="3252"/>
      <c r="H1" s="3252"/>
      <c r="I1" s="3252"/>
      <c r="J1" s="3252"/>
      <c r="K1" s="3252"/>
      <c r="L1" s="3252"/>
      <c r="M1" s="3252"/>
      <c r="N1" s="3252"/>
      <c r="O1" s="3252"/>
      <c r="P1" s="3252"/>
      <c r="Q1" s="3252"/>
      <c r="R1" s="3252"/>
      <c r="S1" s="3253"/>
      <c r="T1" s="1202" t="s">
        <v>2879</v>
      </c>
    </row>
    <row r="2" spans="1:45" s="707" customFormat="1" ht="38.25">
      <c r="A2" s="1203"/>
      <c r="B2" s="703" t="s">
        <v>1870</v>
      </c>
      <c r="C2" s="704" t="str">
        <f t="shared" ref="C2:R2" si="0">C3&amp;"(含)"&amp;"-"&amp;D3</f>
        <v>0(含)-300</v>
      </c>
      <c r="D2" s="705" t="str">
        <f t="shared" si="0"/>
        <v>300(含)-800</v>
      </c>
      <c r="E2" s="705" t="str">
        <f t="shared" si="0"/>
        <v>800(含)-1300</v>
      </c>
      <c r="F2" s="705" t="str">
        <f t="shared" si="0"/>
        <v>1300(含)-2000</v>
      </c>
      <c r="G2" s="705" t="str">
        <f t="shared" si="0"/>
        <v>2000(含)-5000</v>
      </c>
      <c r="H2" s="705" t="str">
        <f t="shared" si="0"/>
        <v>5000(含)-8000</v>
      </c>
      <c r="I2" s="705" t="str">
        <f t="shared" si="0"/>
        <v>8000(含)-10000</v>
      </c>
      <c r="J2" s="705" t="str">
        <f t="shared" si="0"/>
        <v>10000(含)-12000</v>
      </c>
      <c r="K2" s="705" t="str">
        <f t="shared" si="0"/>
        <v>12000(含)-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300</v>
      </c>
      <c r="E3" s="595">
        <v>800</v>
      </c>
      <c r="F3" s="595">
        <v>1300</v>
      </c>
      <c r="G3" s="595">
        <v>2000</v>
      </c>
      <c r="H3" s="595">
        <v>5000</v>
      </c>
      <c r="I3" s="595">
        <v>8000</v>
      </c>
      <c r="J3" s="596">
        <v>10000</v>
      </c>
      <c r="K3" s="596">
        <v>12000</v>
      </c>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98</v>
      </c>
      <c r="E4" s="536">
        <v>96</v>
      </c>
      <c r="F4" s="536">
        <v>94</v>
      </c>
      <c r="G4" s="536">
        <v>92</v>
      </c>
      <c r="H4" s="536">
        <v>90</v>
      </c>
      <c r="I4" s="536">
        <v>88</v>
      </c>
      <c r="J4" s="536">
        <v>86</v>
      </c>
      <c r="K4" s="536">
        <v>84</v>
      </c>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3011</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1">D6-$T5</f>
        <v>100</v>
      </c>
      <c r="F6" s="1713">
        <f t="shared" si="1"/>
        <v>100</v>
      </c>
      <c r="G6" s="1713">
        <f t="shared" si="1"/>
        <v>100</v>
      </c>
      <c r="H6" s="1713">
        <f t="shared" si="1"/>
        <v>100</v>
      </c>
      <c r="I6" s="1713">
        <f t="shared" si="1"/>
        <v>100</v>
      </c>
      <c r="J6" s="1713">
        <f t="shared" si="1"/>
        <v>100</v>
      </c>
      <c r="K6" s="1713">
        <f t="shared" si="1"/>
        <v>100</v>
      </c>
      <c r="L6" s="1713">
        <f t="shared" si="1"/>
        <v>100</v>
      </c>
      <c r="M6" s="1713">
        <f t="shared" si="1"/>
        <v>100</v>
      </c>
      <c r="N6" s="1713">
        <f t="shared" si="1"/>
        <v>100</v>
      </c>
      <c r="O6" s="1713">
        <f t="shared" si="1"/>
        <v>100</v>
      </c>
      <c r="P6" s="1713">
        <f t="shared" si="1"/>
        <v>100</v>
      </c>
      <c r="Q6" s="1713">
        <f t="shared" si="1"/>
        <v>100</v>
      </c>
      <c r="R6" s="1713">
        <f t="shared" si="1"/>
        <v>100</v>
      </c>
      <c r="S6" s="1713">
        <f t="shared" si="1"/>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3012</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3013</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3014</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3015</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3016</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3017</v>
      </c>
      <c r="B17" s="2906" t="s">
        <v>3018</v>
      </c>
      <c r="C17" s="1229">
        <v>1</v>
      </c>
      <c r="D17" s="3003" t="s">
        <v>3243</v>
      </c>
      <c r="E17" s="1230">
        <v>2</v>
      </c>
      <c r="F17" s="1230">
        <v>3</v>
      </c>
      <c r="G17" s="3003" t="s">
        <v>3244</v>
      </c>
      <c r="H17" s="3003" t="s">
        <v>3245</v>
      </c>
      <c r="I17" s="3003" t="s">
        <v>3246</v>
      </c>
      <c r="J17" s="3003" t="s">
        <v>3247</v>
      </c>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85</v>
      </c>
      <c r="E18" s="1242">
        <v>75</v>
      </c>
      <c r="F18" s="1242">
        <v>65</v>
      </c>
      <c r="G18" s="1242">
        <v>55</v>
      </c>
      <c r="H18" s="1242">
        <v>50</v>
      </c>
      <c r="I18" s="1242">
        <v>45</v>
      </c>
      <c r="J18" s="1242">
        <v>25</v>
      </c>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3019</v>
      </c>
      <c r="E19" s="1790"/>
      <c r="F19" s="1790"/>
      <c r="G19" s="1790"/>
      <c r="H19" s="1278"/>
      <c r="I19" s="168"/>
      <c r="J19" s="168"/>
      <c r="K19" s="168"/>
      <c r="L19" s="168"/>
      <c r="M19" s="168"/>
      <c r="N19" s="168"/>
      <c r="O19" s="168"/>
      <c r="P19" s="168"/>
      <c r="Q19" s="168"/>
      <c r="R19" s="786"/>
      <c r="S19" s="138"/>
    </row>
    <row r="20" spans="1:45" ht="16.5" thickBot="1">
      <c r="A20" s="713" t="s">
        <v>3020</v>
      </c>
      <c r="B20" s="338">
        <f>IF(D20="——",S22,S22-F20)</f>
        <v>48772</v>
      </c>
      <c r="C20" s="168"/>
      <c r="D20" s="2908" t="s">
        <v>70</v>
      </c>
      <c r="E20" s="1791"/>
      <c r="F20" s="1202" t="e">
        <f ca="1">SUMIF(INDIRECT("'"&amp;H20&amp;"'"&amp;"!A:A"),"承租人权益价值",INDIRECT("'"&amp;H20&amp;"'"&amp;"!c:c"))</f>
        <v>#REF!</v>
      </c>
      <c r="G20" s="1202" t="s">
        <v>3021</v>
      </c>
      <c r="H20" s="2909"/>
      <c r="I20" s="168"/>
      <c r="J20" s="168"/>
      <c r="K20" s="168"/>
      <c r="L20" s="168"/>
      <c r="M20" s="168"/>
      <c r="N20" s="168"/>
      <c r="O20" s="168"/>
      <c r="P20" s="168"/>
      <c r="Q20" s="168"/>
      <c r="R20" s="786"/>
      <c r="S20" s="138"/>
    </row>
    <row r="21" spans="1:45" ht="15.75">
      <c r="A21" s="713" t="s">
        <v>3022</v>
      </c>
      <c r="B21" s="338">
        <f>R22</f>
        <v>24508</v>
      </c>
      <c r="C21" s="168"/>
      <c r="D21" s="168"/>
      <c r="E21" s="168"/>
      <c r="F21" s="168"/>
      <c r="G21" s="168"/>
      <c r="H21" s="168"/>
      <c r="I21" s="168"/>
      <c r="J21" s="168"/>
      <c r="K21" s="168"/>
      <c r="L21" s="168"/>
      <c r="M21" s="168"/>
      <c r="N21" s="168"/>
      <c r="O21" s="168"/>
      <c r="P21" s="168"/>
      <c r="Q21" s="168"/>
      <c r="R21" s="786"/>
      <c r="S21" s="138"/>
    </row>
    <row r="22" spans="1:45">
      <c r="A22" s="361" t="s">
        <v>3023</v>
      </c>
      <c r="B22" s="24">
        <f>SUM(B24:B10000)</f>
        <v>19900.510000000002</v>
      </c>
      <c r="C22" s="3106" t="s">
        <v>33</v>
      </c>
      <c r="D22" s="3107"/>
      <c r="E22" s="3107"/>
      <c r="F22" s="3107"/>
      <c r="G22" s="3107"/>
      <c r="H22" s="3107"/>
      <c r="I22" s="3107"/>
      <c r="J22" s="3107"/>
      <c r="K22" s="3107"/>
      <c r="L22" s="3107"/>
      <c r="M22" s="3107"/>
      <c r="N22" s="3107"/>
      <c r="O22" s="3107"/>
      <c r="P22" s="3107"/>
      <c r="Q22" s="3250"/>
      <c r="R22" s="714">
        <f>ROUND(S22*10000/B22,0)</f>
        <v>24508</v>
      </c>
      <c r="S22" s="24">
        <f>SUM(S24:S10000)</f>
        <v>48772</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f>'比较法-商业'!C33</f>
        <v>696.41</v>
      </c>
      <c r="C24" s="717">
        <v>1</v>
      </c>
      <c r="D24" s="718"/>
      <c r="E24" s="717">
        <v>1</v>
      </c>
      <c r="F24" s="718"/>
      <c r="G24" s="717">
        <v>1</v>
      </c>
      <c r="H24" s="718"/>
      <c r="I24" s="717">
        <v>1</v>
      </c>
      <c r="J24" s="718"/>
      <c r="K24" s="717">
        <v>1</v>
      </c>
      <c r="L24" s="718"/>
      <c r="M24" s="717">
        <v>1</v>
      </c>
      <c r="N24" s="718"/>
      <c r="O24" s="717">
        <v>1</v>
      </c>
      <c r="P24" s="718" t="s">
        <v>3243</v>
      </c>
      <c r="Q24" s="717">
        <v>1</v>
      </c>
      <c r="R24" s="719">
        <f>'比较法-商业'!B3</f>
        <v>43102</v>
      </c>
      <c r="S24" s="717">
        <f t="shared" ref="S24:S87" si="5">ROUND(R24*B24/10000,0)</f>
        <v>3002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v>855.05</v>
      </c>
      <c r="C25" s="24">
        <f>IF(B25="",1,(LOOKUP(B25,$3:$3,$4:$4)-LOOKUP($B$24,$3:$3,$4:$4)+100)/100)</f>
        <v>0.98</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3243</v>
      </c>
      <c r="Q25" s="24">
        <f>(SUMIF($17:$17,P25,$18:$18)-SUMIF($17:$17,$P$24,$18:$18)+100)/100</f>
        <v>1</v>
      </c>
      <c r="R25" s="714">
        <f>IF(B25="",0,ROUND($R$24*C25*E25*G25*I25*K25*M25*O25*Q25,0))</f>
        <v>42240</v>
      </c>
      <c r="S25" s="361">
        <f t="shared" si="5"/>
        <v>3612</v>
      </c>
    </row>
    <row r="26" spans="1:45">
      <c r="A26" s="159"/>
      <c r="B26" s="59">
        <v>67.11</v>
      </c>
      <c r="C26" s="24">
        <f t="shared" ref="C26:C89" si="6">IF(B26="",1,(LOOKUP(B26,$3:$3,$4:$4)-LOOKUP($B$24,$3:$3,$4:$4)+100)/100)</f>
        <v>1.02</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v>1</v>
      </c>
      <c r="Q26" s="24">
        <f t="shared" ref="Q26:Q89" si="13">(SUMIF($17:$17,P26,$18:$18)-SUMIF($17:$17,$P$24,$18:$18)+100)/100</f>
        <v>1.1499999999999999</v>
      </c>
      <c r="R26" s="714">
        <f t="shared" ref="R26:R89" si="14">IF(B26="",0,ROUND($R$24*C26*E26*G26*I26*K26*M26*O26*Q26,0))</f>
        <v>50559</v>
      </c>
      <c r="S26" s="361">
        <f t="shared" si="5"/>
        <v>339</v>
      </c>
    </row>
    <row r="27" spans="1:45">
      <c r="A27" s="159"/>
      <c r="B27" s="59">
        <v>96.32</v>
      </c>
      <c r="C27" s="24">
        <f t="shared" si="6"/>
        <v>1.02</v>
      </c>
      <c r="D27" s="718"/>
      <c r="E27" s="24">
        <f t="shared" si="7"/>
        <v>1</v>
      </c>
      <c r="F27" s="718"/>
      <c r="G27" s="24">
        <f t="shared" si="8"/>
        <v>1</v>
      </c>
      <c r="H27" s="718"/>
      <c r="I27" s="24">
        <f t="shared" si="9"/>
        <v>1</v>
      </c>
      <c r="J27" s="718"/>
      <c r="K27" s="24">
        <f t="shared" si="10"/>
        <v>1</v>
      </c>
      <c r="L27" s="718"/>
      <c r="M27" s="24">
        <f t="shared" si="11"/>
        <v>1</v>
      </c>
      <c r="N27" s="718"/>
      <c r="O27" s="24">
        <f t="shared" si="12"/>
        <v>1</v>
      </c>
      <c r="P27" s="718">
        <v>1</v>
      </c>
      <c r="Q27" s="24">
        <f t="shared" si="13"/>
        <v>1.1499999999999999</v>
      </c>
      <c r="R27" s="714">
        <f t="shared" si="14"/>
        <v>50559</v>
      </c>
      <c r="S27" s="361">
        <f t="shared" si="5"/>
        <v>487</v>
      </c>
    </row>
    <row r="28" spans="1:45">
      <c r="A28" s="159"/>
      <c r="B28" s="59">
        <v>97.46</v>
      </c>
      <c r="C28" s="24">
        <f t="shared" si="6"/>
        <v>1.02</v>
      </c>
      <c r="D28" s="718"/>
      <c r="E28" s="24">
        <f t="shared" si="7"/>
        <v>1</v>
      </c>
      <c r="F28" s="718"/>
      <c r="G28" s="24">
        <f t="shared" si="8"/>
        <v>1</v>
      </c>
      <c r="H28" s="718"/>
      <c r="I28" s="24">
        <f t="shared" si="9"/>
        <v>1</v>
      </c>
      <c r="J28" s="718"/>
      <c r="K28" s="24">
        <f t="shared" si="10"/>
        <v>1</v>
      </c>
      <c r="L28" s="718"/>
      <c r="M28" s="24">
        <f t="shared" si="11"/>
        <v>1</v>
      </c>
      <c r="N28" s="718"/>
      <c r="O28" s="24">
        <f t="shared" si="12"/>
        <v>1</v>
      </c>
      <c r="P28" s="718">
        <v>1</v>
      </c>
      <c r="Q28" s="24">
        <f t="shared" si="13"/>
        <v>1.1499999999999999</v>
      </c>
      <c r="R28" s="714">
        <f t="shared" si="14"/>
        <v>50559</v>
      </c>
      <c r="S28" s="361">
        <f t="shared" si="5"/>
        <v>493</v>
      </c>
    </row>
    <row r="29" spans="1:45">
      <c r="A29" s="159"/>
      <c r="B29" s="59">
        <v>394.42</v>
      </c>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t="s">
        <v>3243</v>
      </c>
      <c r="Q29" s="24">
        <f t="shared" si="13"/>
        <v>1</v>
      </c>
      <c r="R29" s="714">
        <f t="shared" si="14"/>
        <v>43102</v>
      </c>
      <c r="S29" s="361">
        <f t="shared" si="5"/>
        <v>1700</v>
      </c>
    </row>
    <row r="30" spans="1:45">
      <c r="A30" s="159"/>
      <c r="B30" s="59">
        <v>50.24</v>
      </c>
      <c r="C30" s="24">
        <f t="shared" si="6"/>
        <v>1.02</v>
      </c>
      <c r="D30" s="718"/>
      <c r="E30" s="24">
        <f t="shared" si="7"/>
        <v>1</v>
      </c>
      <c r="F30" s="718"/>
      <c r="G30" s="24">
        <f t="shared" si="8"/>
        <v>1</v>
      </c>
      <c r="H30" s="718"/>
      <c r="I30" s="24">
        <f t="shared" si="9"/>
        <v>1</v>
      </c>
      <c r="J30" s="718"/>
      <c r="K30" s="24">
        <f t="shared" si="10"/>
        <v>1</v>
      </c>
      <c r="L30" s="718"/>
      <c r="M30" s="24">
        <f t="shared" si="11"/>
        <v>1</v>
      </c>
      <c r="N30" s="718"/>
      <c r="O30" s="24">
        <f t="shared" si="12"/>
        <v>1</v>
      </c>
      <c r="P30" s="718">
        <v>1</v>
      </c>
      <c r="Q30" s="24">
        <f t="shared" si="13"/>
        <v>1.1499999999999999</v>
      </c>
      <c r="R30" s="714">
        <f t="shared" si="14"/>
        <v>50559</v>
      </c>
      <c r="S30" s="361">
        <f t="shared" si="5"/>
        <v>254</v>
      </c>
    </row>
    <row r="31" spans="1:45">
      <c r="A31" s="159"/>
      <c r="B31" s="59">
        <v>504.03</v>
      </c>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t="s">
        <v>3243</v>
      </c>
      <c r="Q31" s="24">
        <f t="shared" si="13"/>
        <v>1</v>
      </c>
      <c r="R31" s="714">
        <f t="shared" si="14"/>
        <v>43102</v>
      </c>
      <c r="S31" s="361">
        <f t="shared" si="5"/>
        <v>2172</v>
      </c>
    </row>
    <row r="32" spans="1:45">
      <c r="A32" s="159"/>
      <c r="B32" s="59">
        <v>155.96</v>
      </c>
      <c r="C32" s="24">
        <f t="shared" si="6"/>
        <v>1.02</v>
      </c>
      <c r="D32" s="718"/>
      <c r="E32" s="24">
        <f t="shared" si="7"/>
        <v>1</v>
      </c>
      <c r="F32" s="718"/>
      <c r="G32" s="24">
        <f t="shared" si="8"/>
        <v>1</v>
      </c>
      <c r="H32" s="718"/>
      <c r="I32" s="24">
        <f t="shared" si="9"/>
        <v>1</v>
      </c>
      <c r="J32" s="718"/>
      <c r="K32" s="24">
        <f t="shared" si="10"/>
        <v>1</v>
      </c>
      <c r="L32" s="718"/>
      <c r="M32" s="24">
        <f t="shared" si="11"/>
        <v>1</v>
      </c>
      <c r="N32" s="718"/>
      <c r="O32" s="24">
        <f t="shared" si="12"/>
        <v>1</v>
      </c>
      <c r="P32" s="718">
        <v>1</v>
      </c>
      <c r="Q32" s="24">
        <f t="shared" si="13"/>
        <v>1.1499999999999999</v>
      </c>
      <c r="R32" s="714">
        <f t="shared" si="14"/>
        <v>50559</v>
      </c>
      <c r="S32" s="361">
        <f t="shared" si="5"/>
        <v>789</v>
      </c>
    </row>
    <row r="33" spans="1:19">
      <c r="A33" s="159"/>
      <c r="B33" s="59">
        <v>655.65</v>
      </c>
      <c r="C33" s="24">
        <f t="shared" si="6"/>
        <v>1</v>
      </c>
      <c r="D33" s="718"/>
      <c r="E33" s="24">
        <f t="shared" si="7"/>
        <v>1</v>
      </c>
      <c r="F33" s="718"/>
      <c r="G33" s="24">
        <f t="shared" si="8"/>
        <v>1</v>
      </c>
      <c r="H33" s="718"/>
      <c r="I33" s="24">
        <f t="shared" si="9"/>
        <v>1</v>
      </c>
      <c r="J33" s="718"/>
      <c r="K33" s="24">
        <f t="shared" si="10"/>
        <v>1</v>
      </c>
      <c r="L33" s="718"/>
      <c r="M33" s="24">
        <f t="shared" si="11"/>
        <v>1</v>
      </c>
      <c r="N33" s="718"/>
      <c r="O33" s="24">
        <f t="shared" si="12"/>
        <v>1</v>
      </c>
      <c r="P33" s="718">
        <v>3</v>
      </c>
      <c r="Q33" s="24">
        <f t="shared" si="13"/>
        <v>0.8</v>
      </c>
      <c r="R33" s="714">
        <f t="shared" si="14"/>
        <v>34482</v>
      </c>
      <c r="S33" s="361">
        <f t="shared" si="5"/>
        <v>2261</v>
      </c>
    </row>
    <row r="34" spans="1:19">
      <c r="A34" s="159"/>
      <c r="B34" s="59">
        <v>688.28</v>
      </c>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v>3</v>
      </c>
      <c r="Q34" s="24">
        <f t="shared" si="13"/>
        <v>0.8</v>
      </c>
      <c r="R34" s="714">
        <f t="shared" si="14"/>
        <v>34482</v>
      </c>
      <c r="S34" s="361">
        <f t="shared" si="5"/>
        <v>2373</v>
      </c>
    </row>
    <row r="35" spans="1:19">
      <c r="A35" s="159"/>
      <c r="B35" s="59">
        <v>583.51</v>
      </c>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t="s">
        <v>3244</v>
      </c>
      <c r="Q35" s="24">
        <f t="shared" si="13"/>
        <v>0.7</v>
      </c>
      <c r="R35" s="714">
        <f t="shared" si="14"/>
        <v>30171</v>
      </c>
      <c r="S35" s="361">
        <f t="shared" si="5"/>
        <v>1761</v>
      </c>
    </row>
    <row r="36" spans="1:19">
      <c r="A36" s="159"/>
      <c r="B36" s="59">
        <v>746.53</v>
      </c>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t="s">
        <v>3244</v>
      </c>
      <c r="Q36" s="24">
        <f t="shared" si="13"/>
        <v>0.7</v>
      </c>
      <c r="R36" s="714">
        <f t="shared" si="14"/>
        <v>30171</v>
      </c>
      <c r="S36" s="361">
        <f t="shared" si="5"/>
        <v>2252</v>
      </c>
    </row>
    <row r="37" spans="1:19">
      <c r="A37" s="159"/>
      <c r="B37" s="59">
        <v>191.3</v>
      </c>
      <c r="C37" s="24">
        <f t="shared" si="6"/>
        <v>1.02</v>
      </c>
      <c r="D37" s="718"/>
      <c r="E37" s="24">
        <f t="shared" si="7"/>
        <v>1</v>
      </c>
      <c r="F37" s="718"/>
      <c r="G37" s="24">
        <f t="shared" si="8"/>
        <v>1</v>
      </c>
      <c r="H37" s="718"/>
      <c r="I37" s="24">
        <f t="shared" si="9"/>
        <v>1</v>
      </c>
      <c r="J37" s="718"/>
      <c r="K37" s="24">
        <f t="shared" si="10"/>
        <v>1</v>
      </c>
      <c r="L37" s="718"/>
      <c r="M37" s="24">
        <f t="shared" si="11"/>
        <v>1</v>
      </c>
      <c r="N37" s="718"/>
      <c r="O37" s="24">
        <f t="shared" si="12"/>
        <v>1</v>
      </c>
      <c r="P37" s="718">
        <v>3</v>
      </c>
      <c r="Q37" s="24">
        <f t="shared" si="13"/>
        <v>0.8</v>
      </c>
      <c r="R37" s="714">
        <f t="shared" si="14"/>
        <v>35171</v>
      </c>
      <c r="S37" s="361">
        <f t="shared" si="5"/>
        <v>673</v>
      </c>
    </row>
    <row r="38" spans="1:19">
      <c r="A38" s="159"/>
      <c r="B38" s="59">
        <v>212.06</v>
      </c>
      <c r="C38" s="24">
        <f t="shared" si="6"/>
        <v>1.02</v>
      </c>
      <c r="D38" s="718"/>
      <c r="E38" s="24">
        <f t="shared" si="7"/>
        <v>1</v>
      </c>
      <c r="F38" s="718"/>
      <c r="G38" s="24">
        <f t="shared" si="8"/>
        <v>1</v>
      </c>
      <c r="H38" s="718"/>
      <c r="I38" s="24">
        <f t="shared" si="9"/>
        <v>1</v>
      </c>
      <c r="J38" s="718"/>
      <c r="K38" s="24">
        <f t="shared" si="10"/>
        <v>1</v>
      </c>
      <c r="L38" s="718"/>
      <c r="M38" s="24">
        <f t="shared" si="11"/>
        <v>1</v>
      </c>
      <c r="N38" s="718"/>
      <c r="O38" s="24">
        <f t="shared" si="12"/>
        <v>1</v>
      </c>
      <c r="P38" s="718">
        <v>5</v>
      </c>
      <c r="Q38" s="24">
        <f t="shared" si="13"/>
        <v>0.6</v>
      </c>
      <c r="R38" s="714">
        <f t="shared" si="14"/>
        <v>26378</v>
      </c>
      <c r="S38" s="361">
        <f t="shared" si="5"/>
        <v>559</v>
      </c>
    </row>
    <row r="39" spans="1:19">
      <c r="A39" s="159"/>
      <c r="B39" s="59">
        <v>490.53</v>
      </c>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t="s">
        <v>3243</v>
      </c>
      <c r="Q39" s="24">
        <f t="shared" si="13"/>
        <v>1</v>
      </c>
      <c r="R39" s="714">
        <f t="shared" si="14"/>
        <v>43102</v>
      </c>
      <c r="S39" s="361">
        <f t="shared" si="5"/>
        <v>2114</v>
      </c>
    </row>
    <row r="40" spans="1:19">
      <c r="A40" s="159"/>
      <c r="B40" s="59">
        <v>548.77</v>
      </c>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t="s">
        <v>3243</v>
      </c>
      <c r="Q40" s="24">
        <f t="shared" si="13"/>
        <v>1</v>
      </c>
      <c r="R40" s="714">
        <f t="shared" si="14"/>
        <v>43102</v>
      </c>
      <c r="S40" s="361">
        <f t="shared" si="5"/>
        <v>2365</v>
      </c>
    </row>
    <row r="41" spans="1:19">
      <c r="A41" s="159"/>
      <c r="B41" s="59">
        <v>631.85</v>
      </c>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v>3</v>
      </c>
      <c r="Q41" s="24">
        <f t="shared" si="13"/>
        <v>0.8</v>
      </c>
      <c r="R41" s="714">
        <f t="shared" si="14"/>
        <v>34482</v>
      </c>
      <c r="S41" s="361">
        <f t="shared" si="5"/>
        <v>2179</v>
      </c>
    </row>
    <row r="42" spans="1:19">
      <c r="A42" s="159"/>
      <c r="B42" s="59">
        <v>640.91999999999996</v>
      </c>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v>4</v>
      </c>
      <c r="Q42" s="24">
        <f t="shared" si="13"/>
        <v>0.65</v>
      </c>
      <c r="R42" s="714">
        <f t="shared" si="14"/>
        <v>28016</v>
      </c>
      <c r="S42" s="361">
        <f t="shared" si="5"/>
        <v>1796</v>
      </c>
    </row>
    <row r="43" spans="1:19">
      <c r="A43" s="159"/>
      <c r="B43" s="59">
        <v>11594.11</v>
      </c>
      <c r="C43" s="24">
        <f t="shared" si="6"/>
        <v>0.88</v>
      </c>
      <c r="D43" s="718"/>
      <c r="E43" s="24">
        <f t="shared" si="7"/>
        <v>1</v>
      </c>
      <c r="F43" s="718"/>
      <c r="G43" s="24">
        <f t="shared" si="8"/>
        <v>1</v>
      </c>
      <c r="H43" s="718"/>
      <c r="I43" s="24">
        <f t="shared" si="9"/>
        <v>1</v>
      </c>
      <c r="J43" s="718"/>
      <c r="K43" s="24">
        <f t="shared" si="10"/>
        <v>1</v>
      </c>
      <c r="L43" s="718"/>
      <c r="M43" s="24">
        <f t="shared" si="11"/>
        <v>1</v>
      </c>
      <c r="N43" s="718"/>
      <c r="O43" s="24">
        <f t="shared" si="12"/>
        <v>1</v>
      </c>
      <c r="P43" s="718" t="s">
        <v>3247</v>
      </c>
      <c r="Q43" s="24">
        <f t="shared" si="13"/>
        <v>0.4</v>
      </c>
      <c r="R43" s="714">
        <f t="shared" si="14"/>
        <v>15172</v>
      </c>
      <c r="S43" s="361">
        <f t="shared" si="5"/>
        <v>17591</v>
      </c>
    </row>
    <row r="44" spans="1:19">
      <c r="A44" s="159"/>
      <c r="B44" s="59"/>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0.15</v>
      </c>
      <c r="R44" s="714">
        <f t="shared" si="14"/>
        <v>0</v>
      </c>
      <c r="S44" s="361">
        <f t="shared" si="5"/>
        <v>0</v>
      </c>
    </row>
    <row r="45" spans="1:19">
      <c r="A45" s="159"/>
      <c r="B45" s="59"/>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0.15</v>
      </c>
      <c r="R45" s="714">
        <f t="shared" si="14"/>
        <v>0</v>
      </c>
      <c r="S45" s="361">
        <f t="shared" si="5"/>
        <v>0</v>
      </c>
    </row>
    <row r="46" spans="1:19">
      <c r="A46" s="159"/>
      <c r="B46" s="59"/>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0.15</v>
      </c>
      <c r="R46" s="714">
        <f t="shared" si="14"/>
        <v>0</v>
      </c>
      <c r="S46" s="361">
        <f t="shared" si="5"/>
        <v>0</v>
      </c>
    </row>
    <row r="47" spans="1:19">
      <c r="A47" s="159"/>
      <c r="B47" s="59"/>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0.15</v>
      </c>
      <c r="R47" s="714">
        <f t="shared" si="14"/>
        <v>0</v>
      </c>
      <c r="S47" s="361">
        <f t="shared" si="5"/>
        <v>0</v>
      </c>
    </row>
    <row r="48" spans="1:19">
      <c r="A48" s="159"/>
      <c r="B48" s="59"/>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0.15</v>
      </c>
      <c r="R48" s="714">
        <f t="shared" si="14"/>
        <v>0</v>
      </c>
      <c r="S48" s="361">
        <f t="shared" si="5"/>
        <v>0</v>
      </c>
    </row>
    <row r="49" spans="1:19">
      <c r="A49" s="159"/>
      <c r="B49" s="59"/>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0.15</v>
      </c>
      <c r="R49" s="714">
        <f t="shared" si="14"/>
        <v>0</v>
      </c>
      <c r="S49" s="361">
        <f t="shared" si="5"/>
        <v>0</v>
      </c>
    </row>
    <row r="50" spans="1:19">
      <c r="A50" s="159"/>
      <c r="B50" s="59"/>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0.15</v>
      </c>
      <c r="R50" s="714">
        <f t="shared" si="14"/>
        <v>0</v>
      </c>
      <c r="S50" s="361">
        <f t="shared" si="5"/>
        <v>0</v>
      </c>
    </row>
    <row r="51" spans="1:19">
      <c r="A51" s="159"/>
      <c r="B51" s="59"/>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0.15</v>
      </c>
      <c r="R51" s="714">
        <f t="shared" si="14"/>
        <v>0</v>
      </c>
      <c r="S51" s="361">
        <f t="shared" si="5"/>
        <v>0</v>
      </c>
    </row>
    <row r="52" spans="1:19">
      <c r="A52" s="159"/>
      <c r="B52" s="59"/>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0.15</v>
      </c>
      <c r="R52" s="714">
        <f t="shared" si="14"/>
        <v>0</v>
      </c>
      <c r="S52" s="361">
        <f t="shared" si="5"/>
        <v>0</v>
      </c>
    </row>
    <row r="53" spans="1:19">
      <c r="A53" s="159"/>
      <c r="B53" s="59"/>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0.15</v>
      </c>
      <c r="R53" s="714">
        <f t="shared" si="14"/>
        <v>0</v>
      </c>
      <c r="S53" s="361">
        <f t="shared" si="5"/>
        <v>0</v>
      </c>
    </row>
    <row r="54" spans="1:19">
      <c r="A54" s="159"/>
      <c r="B54" s="59"/>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0.15</v>
      </c>
      <c r="R54" s="714">
        <f t="shared" si="14"/>
        <v>0</v>
      </c>
      <c r="S54" s="361">
        <f t="shared" si="5"/>
        <v>0</v>
      </c>
    </row>
    <row r="55" spans="1:19">
      <c r="A55" s="159"/>
      <c r="B55" s="59"/>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0.15</v>
      </c>
      <c r="R55" s="714">
        <f t="shared" si="14"/>
        <v>0</v>
      </c>
      <c r="S55" s="361">
        <f t="shared" si="5"/>
        <v>0</v>
      </c>
    </row>
    <row r="56" spans="1:19">
      <c r="A56" s="159"/>
      <c r="B56" s="59"/>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0.15</v>
      </c>
      <c r="R56" s="714">
        <f t="shared" si="14"/>
        <v>0</v>
      </c>
      <c r="S56" s="361">
        <f t="shared" si="5"/>
        <v>0</v>
      </c>
    </row>
    <row r="57" spans="1:19">
      <c r="A57" s="159"/>
      <c r="B57" s="59"/>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0.15</v>
      </c>
      <c r="R57" s="714">
        <f t="shared" si="14"/>
        <v>0</v>
      </c>
      <c r="S57" s="361">
        <f t="shared" si="5"/>
        <v>0</v>
      </c>
    </row>
    <row r="58" spans="1:19">
      <c r="A58" s="159"/>
      <c r="B58" s="59"/>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0.15</v>
      </c>
      <c r="R58" s="714">
        <f t="shared" si="14"/>
        <v>0</v>
      </c>
      <c r="S58" s="361">
        <f t="shared" si="5"/>
        <v>0</v>
      </c>
    </row>
    <row r="59" spans="1:19">
      <c r="A59" s="159"/>
      <c r="B59" s="59"/>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0.15</v>
      </c>
      <c r="R59" s="714">
        <f t="shared" si="14"/>
        <v>0</v>
      </c>
      <c r="S59" s="361">
        <f t="shared" si="5"/>
        <v>0</v>
      </c>
    </row>
    <row r="60" spans="1:19">
      <c r="A60" s="159"/>
      <c r="B60" s="59"/>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0.15</v>
      </c>
      <c r="R60" s="714">
        <f t="shared" si="14"/>
        <v>0</v>
      </c>
      <c r="S60" s="361">
        <f t="shared" si="5"/>
        <v>0</v>
      </c>
    </row>
    <row r="61" spans="1:19">
      <c r="A61" s="159"/>
      <c r="B61" s="59"/>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0.15</v>
      </c>
      <c r="R61" s="714">
        <f t="shared" si="14"/>
        <v>0</v>
      </c>
      <c r="S61" s="361">
        <f t="shared" si="5"/>
        <v>0</v>
      </c>
    </row>
    <row r="62" spans="1:19">
      <c r="A62" s="159"/>
      <c r="B62" s="59"/>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0.15</v>
      </c>
      <c r="R62" s="714">
        <f t="shared" si="14"/>
        <v>0</v>
      </c>
      <c r="S62" s="361">
        <f t="shared" si="5"/>
        <v>0</v>
      </c>
    </row>
    <row r="63" spans="1:19">
      <c r="A63" s="159"/>
      <c r="B63" s="59"/>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0.15</v>
      </c>
      <c r="R63" s="714">
        <f t="shared" si="14"/>
        <v>0</v>
      </c>
      <c r="S63" s="361">
        <f t="shared" si="5"/>
        <v>0</v>
      </c>
    </row>
    <row r="64" spans="1:19">
      <c r="A64" s="159"/>
      <c r="B64" s="59"/>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0.15</v>
      </c>
      <c r="R64" s="714">
        <f t="shared" si="14"/>
        <v>0</v>
      </c>
      <c r="S64" s="361">
        <f t="shared" si="5"/>
        <v>0</v>
      </c>
    </row>
    <row r="65" spans="1:19">
      <c r="A65" s="159"/>
      <c r="B65" s="59"/>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0.15</v>
      </c>
      <c r="R65" s="714">
        <f t="shared" si="14"/>
        <v>0</v>
      </c>
      <c r="S65" s="361">
        <f t="shared" si="5"/>
        <v>0</v>
      </c>
    </row>
    <row r="66" spans="1:19">
      <c r="A66" s="159"/>
      <c r="B66" s="59"/>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0.15</v>
      </c>
      <c r="R66" s="714">
        <f t="shared" si="14"/>
        <v>0</v>
      </c>
      <c r="S66" s="361">
        <f t="shared" si="5"/>
        <v>0</v>
      </c>
    </row>
    <row r="67" spans="1:19">
      <c r="A67" s="159"/>
      <c r="B67" s="59"/>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0.15</v>
      </c>
      <c r="R67" s="714">
        <f t="shared" si="14"/>
        <v>0</v>
      </c>
      <c r="S67" s="361">
        <f t="shared" si="5"/>
        <v>0</v>
      </c>
    </row>
    <row r="68" spans="1:19">
      <c r="A68" s="159"/>
      <c r="B68" s="59"/>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0.15</v>
      </c>
      <c r="R68" s="714">
        <f t="shared" si="14"/>
        <v>0</v>
      </c>
      <c r="S68" s="361">
        <f t="shared" si="5"/>
        <v>0</v>
      </c>
    </row>
    <row r="69" spans="1:19">
      <c r="A69" s="159"/>
      <c r="B69" s="59"/>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0.15</v>
      </c>
      <c r="R69" s="714">
        <f t="shared" si="14"/>
        <v>0</v>
      </c>
      <c r="S69" s="361">
        <f t="shared" si="5"/>
        <v>0</v>
      </c>
    </row>
    <row r="70" spans="1:19">
      <c r="A70" s="159"/>
      <c r="B70" s="59"/>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0.15</v>
      </c>
      <c r="R70" s="714">
        <f t="shared" si="14"/>
        <v>0</v>
      </c>
      <c r="S70" s="361">
        <f t="shared" si="5"/>
        <v>0</v>
      </c>
    </row>
    <row r="71" spans="1:19">
      <c r="A71" s="159"/>
      <c r="B71" s="59"/>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0.15</v>
      </c>
      <c r="R71" s="714">
        <f t="shared" si="14"/>
        <v>0</v>
      </c>
      <c r="S71" s="361">
        <f t="shared" si="5"/>
        <v>0</v>
      </c>
    </row>
    <row r="72" spans="1:19">
      <c r="A72" s="159"/>
      <c r="B72" s="59"/>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0.15</v>
      </c>
      <c r="R72" s="714">
        <f t="shared" si="14"/>
        <v>0</v>
      </c>
      <c r="S72" s="361">
        <f t="shared" si="5"/>
        <v>0</v>
      </c>
    </row>
    <row r="73" spans="1:19">
      <c r="A73" s="159"/>
      <c r="B73" s="59"/>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0.15</v>
      </c>
      <c r="R73" s="714">
        <f t="shared" si="14"/>
        <v>0</v>
      </c>
      <c r="S73" s="361">
        <f t="shared" si="5"/>
        <v>0</v>
      </c>
    </row>
    <row r="74" spans="1:19">
      <c r="A74" s="159"/>
      <c r="B74" s="59"/>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0.15</v>
      </c>
      <c r="R74" s="714">
        <f t="shared" si="14"/>
        <v>0</v>
      </c>
      <c r="S74" s="361">
        <f t="shared" si="5"/>
        <v>0</v>
      </c>
    </row>
    <row r="75" spans="1:19">
      <c r="A75" s="159"/>
      <c r="B75" s="59"/>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0.15</v>
      </c>
      <c r="R75" s="714">
        <f t="shared" si="14"/>
        <v>0</v>
      </c>
      <c r="S75" s="361">
        <f t="shared" si="5"/>
        <v>0</v>
      </c>
    </row>
    <row r="76" spans="1:19">
      <c r="A76" s="159"/>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0.15</v>
      </c>
      <c r="R76" s="714">
        <f t="shared" si="14"/>
        <v>0</v>
      </c>
      <c r="S76" s="361">
        <f t="shared" si="5"/>
        <v>0</v>
      </c>
    </row>
    <row r="77" spans="1:19">
      <c r="A77" s="159"/>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0.15</v>
      </c>
      <c r="R77" s="714">
        <f t="shared" si="14"/>
        <v>0</v>
      </c>
      <c r="S77" s="361">
        <f t="shared" si="5"/>
        <v>0</v>
      </c>
    </row>
    <row r="78" spans="1:19">
      <c r="A78" s="159"/>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0.15</v>
      </c>
      <c r="R78" s="714">
        <f t="shared" si="14"/>
        <v>0</v>
      </c>
      <c r="S78" s="361">
        <f t="shared" si="5"/>
        <v>0</v>
      </c>
    </row>
    <row r="79" spans="1:19">
      <c r="A79" s="159"/>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0.15</v>
      </c>
      <c r="R79" s="714">
        <f t="shared" si="14"/>
        <v>0</v>
      </c>
      <c r="S79" s="361">
        <f t="shared" si="5"/>
        <v>0</v>
      </c>
    </row>
    <row r="80" spans="1:19">
      <c r="A80" s="159"/>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0.15</v>
      </c>
      <c r="R80" s="714">
        <f t="shared" si="14"/>
        <v>0</v>
      </c>
      <c r="S80" s="361">
        <f t="shared" si="5"/>
        <v>0</v>
      </c>
    </row>
    <row r="81" spans="1:19">
      <c r="A81" s="159"/>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0.15</v>
      </c>
      <c r="R81" s="714">
        <f t="shared" si="14"/>
        <v>0</v>
      </c>
      <c r="S81" s="361">
        <f t="shared" si="5"/>
        <v>0</v>
      </c>
    </row>
    <row r="82" spans="1:19">
      <c r="A82" s="159"/>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0.15</v>
      </c>
      <c r="R82" s="714">
        <f t="shared" si="14"/>
        <v>0</v>
      </c>
      <c r="S82" s="361">
        <f t="shared" si="5"/>
        <v>0</v>
      </c>
    </row>
    <row r="83" spans="1:19">
      <c r="A83" s="159"/>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0.15</v>
      </c>
      <c r="R83" s="714">
        <f t="shared" si="14"/>
        <v>0</v>
      </c>
      <c r="S83" s="361">
        <f t="shared" si="5"/>
        <v>0</v>
      </c>
    </row>
    <row r="84" spans="1:19">
      <c r="A84" s="159"/>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0.15</v>
      </c>
      <c r="R84" s="714">
        <f t="shared" si="14"/>
        <v>0</v>
      </c>
      <c r="S84" s="361">
        <f t="shared" si="5"/>
        <v>0</v>
      </c>
    </row>
    <row r="85" spans="1:19">
      <c r="A85" s="159"/>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0.15</v>
      </c>
      <c r="R85" s="714">
        <f t="shared" si="14"/>
        <v>0</v>
      </c>
      <c r="S85" s="361">
        <f t="shared" si="5"/>
        <v>0</v>
      </c>
    </row>
    <row r="86" spans="1:19">
      <c r="A86" s="159"/>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0.15</v>
      </c>
      <c r="R86" s="714">
        <f t="shared" si="14"/>
        <v>0</v>
      </c>
      <c r="S86" s="361">
        <f t="shared" si="5"/>
        <v>0</v>
      </c>
    </row>
    <row r="87" spans="1:19">
      <c r="A87" s="159"/>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0.15</v>
      </c>
      <c r="R87" s="714">
        <f t="shared" si="14"/>
        <v>0</v>
      </c>
      <c r="S87" s="361">
        <f t="shared" si="5"/>
        <v>0</v>
      </c>
    </row>
    <row r="88" spans="1:19">
      <c r="A88" s="159"/>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0.15</v>
      </c>
      <c r="R88" s="714">
        <f t="shared" si="14"/>
        <v>0</v>
      </c>
      <c r="S88" s="361">
        <f t="shared" ref="S88:S151" si="15">ROUND(R88*B88/10000,0)</f>
        <v>0</v>
      </c>
    </row>
    <row r="89" spans="1:19">
      <c r="A89" s="159"/>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0.15</v>
      </c>
      <c r="R89" s="714">
        <f t="shared" si="14"/>
        <v>0</v>
      </c>
      <c r="S89" s="361">
        <f t="shared" si="15"/>
        <v>0</v>
      </c>
    </row>
    <row r="90" spans="1:19">
      <c r="A90" s="159"/>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0.15</v>
      </c>
      <c r="R90" s="714">
        <f t="shared" ref="R90:R153" si="24">IF(B90="",0,ROUND($R$24*C90*E90*G90*I90*K90*M90*O90*Q90,0))</f>
        <v>0</v>
      </c>
      <c r="S90" s="361">
        <f t="shared" si="15"/>
        <v>0</v>
      </c>
    </row>
    <row r="91" spans="1:19">
      <c r="A91" s="159"/>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0.15</v>
      </c>
      <c r="R91" s="714">
        <f t="shared" si="24"/>
        <v>0</v>
      </c>
      <c r="S91" s="361">
        <f t="shared" si="15"/>
        <v>0</v>
      </c>
    </row>
    <row r="92" spans="1:19">
      <c r="A92" s="159"/>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0.15</v>
      </c>
      <c r="R92" s="714">
        <f t="shared" si="24"/>
        <v>0</v>
      </c>
      <c r="S92" s="361">
        <f t="shared" si="15"/>
        <v>0</v>
      </c>
    </row>
    <row r="93" spans="1:19">
      <c r="A93" s="159"/>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0.15</v>
      </c>
      <c r="R93" s="714">
        <f t="shared" si="24"/>
        <v>0</v>
      </c>
      <c r="S93" s="361">
        <f t="shared" si="15"/>
        <v>0</v>
      </c>
    </row>
    <row r="94" spans="1:19">
      <c r="A94" s="159"/>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0.15</v>
      </c>
      <c r="R94" s="714">
        <f t="shared" si="24"/>
        <v>0</v>
      </c>
      <c r="S94" s="361">
        <f t="shared" si="15"/>
        <v>0</v>
      </c>
    </row>
    <row r="95" spans="1:19">
      <c r="A95" s="159"/>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0.15</v>
      </c>
      <c r="R95" s="714">
        <f t="shared" si="24"/>
        <v>0</v>
      </c>
      <c r="S95" s="361">
        <f t="shared" si="15"/>
        <v>0</v>
      </c>
    </row>
    <row r="96" spans="1:19">
      <c r="A96" s="159"/>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0.15</v>
      </c>
      <c r="R96" s="714">
        <f t="shared" si="24"/>
        <v>0</v>
      </c>
      <c r="S96" s="361">
        <f t="shared" si="15"/>
        <v>0</v>
      </c>
    </row>
    <row r="97" spans="1:19">
      <c r="A97" s="159"/>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0.15</v>
      </c>
      <c r="R97" s="714">
        <f t="shared" si="24"/>
        <v>0</v>
      </c>
      <c r="S97" s="361">
        <f t="shared" si="15"/>
        <v>0</v>
      </c>
    </row>
    <row r="98" spans="1:19">
      <c r="A98" s="159"/>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0.15</v>
      </c>
      <c r="R98" s="714">
        <f t="shared" si="24"/>
        <v>0</v>
      </c>
      <c r="S98" s="361">
        <f t="shared" si="15"/>
        <v>0</v>
      </c>
    </row>
    <row r="99" spans="1:19">
      <c r="A99" s="159"/>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0.15</v>
      </c>
      <c r="R99" s="714">
        <f t="shared" si="24"/>
        <v>0</v>
      </c>
      <c r="S99" s="361">
        <f t="shared" si="15"/>
        <v>0</v>
      </c>
    </row>
    <row r="100" spans="1:19">
      <c r="A100" s="159"/>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0.15</v>
      </c>
      <c r="R100" s="714">
        <f t="shared" si="24"/>
        <v>0</v>
      </c>
      <c r="S100" s="361">
        <f t="shared" si="15"/>
        <v>0</v>
      </c>
    </row>
    <row r="101" spans="1:19">
      <c r="A101" s="159"/>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0.15</v>
      </c>
      <c r="R101" s="714">
        <f t="shared" si="24"/>
        <v>0</v>
      </c>
      <c r="S101" s="361">
        <f t="shared" si="15"/>
        <v>0</v>
      </c>
    </row>
    <row r="102" spans="1:19">
      <c r="A102" s="159"/>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0.15</v>
      </c>
      <c r="R102" s="714">
        <f t="shared" si="24"/>
        <v>0</v>
      </c>
      <c r="S102" s="361">
        <f t="shared" si="15"/>
        <v>0</v>
      </c>
    </row>
    <row r="103" spans="1:19">
      <c r="A103" s="159"/>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0.15</v>
      </c>
      <c r="R103" s="714">
        <f t="shared" si="24"/>
        <v>0</v>
      </c>
      <c r="S103" s="361">
        <f t="shared" si="15"/>
        <v>0</v>
      </c>
    </row>
    <row r="104" spans="1:19">
      <c r="A104" s="159"/>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0.15</v>
      </c>
      <c r="R104" s="714">
        <f t="shared" si="24"/>
        <v>0</v>
      </c>
      <c r="S104" s="361">
        <f t="shared" si="15"/>
        <v>0</v>
      </c>
    </row>
    <row r="105" spans="1:19">
      <c r="A105" s="159"/>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0.15</v>
      </c>
      <c r="R105" s="714">
        <f t="shared" si="24"/>
        <v>0</v>
      </c>
      <c r="S105" s="361">
        <f t="shared" si="15"/>
        <v>0</v>
      </c>
    </row>
    <row r="106" spans="1:19">
      <c r="A106" s="159"/>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0.15</v>
      </c>
      <c r="R106" s="714">
        <f t="shared" si="24"/>
        <v>0</v>
      </c>
      <c r="S106" s="361">
        <f t="shared" si="15"/>
        <v>0</v>
      </c>
    </row>
    <row r="107" spans="1:19">
      <c r="A107" s="159"/>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0.15</v>
      </c>
      <c r="R107" s="714">
        <f t="shared" si="24"/>
        <v>0</v>
      </c>
      <c r="S107" s="361">
        <f t="shared" si="15"/>
        <v>0</v>
      </c>
    </row>
    <row r="108" spans="1:19">
      <c r="A108" s="159"/>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0.15</v>
      </c>
      <c r="R108" s="714">
        <f t="shared" si="24"/>
        <v>0</v>
      </c>
      <c r="S108" s="361">
        <f t="shared" si="15"/>
        <v>0</v>
      </c>
    </row>
    <row r="109" spans="1:19">
      <c r="A109" s="159"/>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0.15</v>
      </c>
      <c r="R109" s="714">
        <f t="shared" si="24"/>
        <v>0</v>
      </c>
      <c r="S109" s="361">
        <f t="shared" si="15"/>
        <v>0</v>
      </c>
    </row>
    <row r="110" spans="1:19">
      <c r="A110" s="159"/>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0.15</v>
      </c>
      <c r="R110" s="714">
        <f t="shared" si="24"/>
        <v>0</v>
      </c>
      <c r="S110" s="361">
        <f t="shared" si="15"/>
        <v>0</v>
      </c>
    </row>
    <row r="111" spans="1:19">
      <c r="A111" s="159"/>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0.15</v>
      </c>
      <c r="R111" s="714">
        <f t="shared" si="24"/>
        <v>0</v>
      </c>
      <c r="S111" s="361">
        <f t="shared" si="15"/>
        <v>0</v>
      </c>
    </row>
    <row r="112" spans="1:19">
      <c r="A112" s="159"/>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0.15</v>
      </c>
      <c r="R112" s="714">
        <f t="shared" si="24"/>
        <v>0</v>
      </c>
      <c r="S112" s="361">
        <f t="shared" si="15"/>
        <v>0</v>
      </c>
    </row>
    <row r="113" spans="1:19">
      <c r="A113" s="159"/>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0.15</v>
      </c>
      <c r="R113" s="714">
        <f t="shared" si="24"/>
        <v>0</v>
      </c>
      <c r="S113" s="361">
        <f t="shared" si="15"/>
        <v>0</v>
      </c>
    </row>
    <row r="114" spans="1:19">
      <c r="A114" s="159"/>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0.15</v>
      </c>
      <c r="R114" s="714">
        <f t="shared" si="24"/>
        <v>0</v>
      </c>
      <c r="S114" s="361">
        <f t="shared" si="15"/>
        <v>0</v>
      </c>
    </row>
    <row r="115" spans="1:19">
      <c r="A115" s="159"/>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0.15</v>
      </c>
      <c r="R115" s="714">
        <f t="shared" si="24"/>
        <v>0</v>
      </c>
      <c r="S115" s="361">
        <f t="shared" si="15"/>
        <v>0</v>
      </c>
    </row>
    <row r="116" spans="1:19">
      <c r="A116" s="159"/>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0.15</v>
      </c>
      <c r="R116" s="714">
        <f t="shared" si="24"/>
        <v>0</v>
      </c>
      <c r="S116" s="361">
        <f t="shared" si="15"/>
        <v>0</v>
      </c>
    </row>
    <row r="117" spans="1:19">
      <c r="A117" s="159"/>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0.15</v>
      </c>
      <c r="R117" s="714">
        <f t="shared" si="24"/>
        <v>0</v>
      </c>
      <c r="S117" s="361">
        <f t="shared" si="15"/>
        <v>0</v>
      </c>
    </row>
    <row r="118" spans="1:19">
      <c r="A118" s="159"/>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0.15</v>
      </c>
      <c r="R118" s="714">
        <f t="shared" si="24"/>
        <v>0</v>
      </c>
      <c r="S118" s="361">
        <f t="shared" si="15"/>
        <v>0</v>
      </c>
    </row>
    <row r="119" spans="1:19">
      <c r="A119" s="159"/>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0.15</v>
      </c>
      <c r="R119" s="714">
        <f t="shared" si="24"/>
        <v>0</v>
      </c>
      <c r="S119" s="361">
        <f t="shared" si="15"/>
        <v>0</v>
      </c>
    </row>
    <row r="120" spans="1:19">
      <c r="A120" s="159"/>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0.15</v>
      </c>
      <c r="R120" s="714">
        <f t="shared" si="24"/>
        <v>0</v>
      </c>
      <c r="S120" s="361">
        <f t="shared" si="15"/>
        <v>0</v>
      </c>
    </row>
    <row r="121" spans="1:19">
      <c r="A121" s="159"/>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0.15</v>
      </c>
      <c r="R121" s="714">
        <f t="shared" si="24"/>
        <v>0</v>
      </c>
      <c r="S121" s="361">
        <f t="shared" si="15"/>
        <v>0</v>
      </c>
    </row>
    <row r="122" spans="1:19">
      <c r="A122" s="159"/>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0.15</v>
      </c>
      <c r="R122" s="714">
        <f t="shared" si="24"/>
        <v>0</v>
      </c>
      <c r="S122" s="361">
        <f t="shared" si="15"/>
        <v>0</v>
      </c>
    </row>
    <row r="123" spans="1:19">
      <c r="A123" s="159"/>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0.15</v>
      </c>
      <c r="R123" s="714">
        <f t="shared" si="24"/>
        <v>0</v>
      </c>
      <c r="S123" s="361">
        <f t="shared" si="15"/>
        <v>0</v>
      </c>
    </row>
    <row r="124" spans="1:19">
      <c r="A124" s="159"/>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0.15</v>
      </c>
      <c r="R124" s="714">
        <f t="shared" si="24"/>
        <v>0</v>
      </c>
      <c r="S124" s="361">
        <f t="shared" si="15"/>
        <v>0</v>
      </c>
    </row>
    <row r="125" spans="1:19">
      <c r="A125" s="159"/>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0.15</v>
      </c>
      <c r="R125" s="714">
        <f t="shared" si="24"/>
        <v>0</v>
      </c>
      <c r="S125" s="361">
        <f t="shared" si="15"/>
        <v>0</v>
      </c>
    </row>
    <row r="126" spans="1:19">
      <c r="A126" s="159"/>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0.15</v>
      </c>
      <c r="R126" s="714">
        <f t="shared" si="24"/>
        <v>0</v>
      </c>
      <c r="S126" s="361">
        <f t="shared" si="15"/>
        <v>0</v>
      </c>
    </row>
    <row r="127" spans="1:19">
      <c r="A127" s="159"/>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0.15</v>
      </c>
      <c r="R127" s="714">
        <f t="shared" si="24"/>
        <v>0</v>
      </c>
      <c r="S127" s="361">
        <f t="shared" si="15"/>
        <v>0</v>
      </c>
    </row>
    <row r="128" spans="1:19">
      <c r="A128" s="159"/>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0.15</v>
      </c>
      <c r="R128" s="714">
        <f t="shared" si="24"/>
        <v>0</v>
      </c>
      <c r="S128" s="361">
        <f t="shared" si="15"/>
        <v>0</v>
      </c>
    </row>
    <row r="129" spans="1:19">
      <c r="A129" s="159"/>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0.15</v>
      </c>
      <c r="R129" s="714">
        <f t="shared" si="24"/>
        <v>0</v>
      </c>
      <c r="S129" s="361">
        <f t="shared" si="15"/>
        <v>0</v>
      </c>
    </row>
    <row r="130" spans="1:19">
      <c r="A130" s="159"/>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0.15</v>
      </c>
      <c r="R130" s="714">
        <f t="shared" si="24"/>
        <v>0</v>
      </c>
      <c r="S130" s="361">
        <f t="shared" si="15"/>
        <v>0</v>
      </c>
    </row>
    <row r="131" spans="1:19">
      <c r="A131" s="159"/>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0.15</v>
      </c>
      <c r="R131" s="714">
        <f t="shared" si="24"/>
        <v>0</v>
      </c>
      <c r="S131" s="361">
        <f t="shared" si="15"/>
        <v>0</v>
      </c>
    </row>
    <row r="132" spans="1:19">
      <c r="A132" s="159"/>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0.15</v>
      </c>
      <c r="R132" s="714">
        <f t="shared" si="24"/>
        <v>0</v>
      </c>
      <c r="S132" s="361">
        <f t="shared" si="15"/>
        <v>0</v>
      </c>
    </row>
    <row r="133" spans="1:19">
      <c r="A133" s="159"/>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0.15</v>
      </c>
      <c r="R133" s="714">
        <f t="shared" si="24"/>
        <v>0</v>
      </c>
      <c r="S133" s="361">
        <f t="shared" si="15"/>
        <v>0</v>
      </c>
    </row>
    <row r="134" spans="1:19">
      <c r="A134" s="159"/>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0.15</v>
      </c>
      <c r="R134" s="714">
        <f t="shared" si="24"/>
        <v>0</v>
      </c>
      <c r="S134" s="361">
        <f t="shared" si="15"/>
        <v>0</v>
      </c>
    </row>
    <row r="135" spans="1:19">
      <c r="A135" s="159"/>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0.15</v>
      </c>
      <c r="R135" s="714">
        <f t="shared" si="24"/>
        <v>0</v>
      </c>
      <c r="S135" s="361">
        <f t="shared" si="15"/>
        <v>0</v>
      </c>
    </row>
    <row r="136" spans="1:19">
      <c r="A136" s="159"/>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0.15</v>
      </c>
      <c r="R136" s="714">
        <f t="shared" si="24"/>
        <v>0</v>
      </c>
      <c r="S136" s="361">
        <f t="shared" si="15"/>
        <v>0</v>
      </c>
    </row>
    <row r="137" spans="1:19">
      <c r="A137" s="159"/>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0.15</v>
      </c>
      <c r="R137" s="714">
        <f t="shared" si="24"/>
        <v>0</v>
      </c>
      <c r="S137" s="361">
        <f t="shared" si="15"/>
        <v>0</v>
      </c>
    </row>
    <row r="138" spans="1:19">
      <c r="A138" s="159"/>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0.15</v>
      </c>
      <c r="R138" s="714">
        <f t="shared" si="24"/>
        <v>0</v>
      </c>
      <c r="S138" s="361">
        <f t="shared" si="15"/>
        <v>0</v>
      </c>
    </row>
    <row r="139" spans="1:19">
      <c r="A139" s="159"/>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0.15</v>
      </c>
      <c r="R139" s="714">
        <f t="shared" si="24"/>
        <v>0</v>
      </c>
      <c r="S139" s="361">
        <f t="shared" si="15"/>
        <v>0</v>
      </c>
    </row>
    <row r="140" spans="1:19">
      <c r="A140" s="159"/>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0.15</v>
      </c>
      <c r="R140" s="714">
        <f t="shared" si="24"/>
        <v>0</v>
      </c>
      <c r="S140" s="361">
        <f t="shared" si="15"/>
        <v>0</v>
      </c>
    </row>
    <row r="141" spans="1:19">
      <c r="A141" s="159"/>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0.15</v>
      </c>
      <c r="R141" s="714">
        <f t="shared" si="24"/>
        <v>0</v>
      </c>
      <c r="S141" s="361">
        <f t="shared" si="15"/>
        <v>0</v>
      </c>
    </row>
    <row r="142" spans="1:19">
      <c r="A142" s="159"/>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0.15</v>
      </c>
      <c r="R142" s="714">
        <f t="shared" si="24"/>
        <v>0</v>
      </c>
      <c r="S142" s="361">
        <f t="shared" si="15"/>
        <v>0</v>
      </c>
    </row>
    <row r="143" spans="1:19">
      <c r="A143" s="159"/>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0.15</v>
      </c>
      <c r="R143" s="714">
        <f t="shared" si="24"/>
        <v>0</v>
      </c>
      <c r="S143" s="361">
        <f t="shared" si="15"/>
        <v>0</v>
      </c>
    </row>
    <row r="144" spans="1:19">
      <c r="A144" s="159"/>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0.15</v>
      </c>
      <c r="R144" s="714">
        <f t="shared" si="24"/>
        <v>0</v>
      </c>
      <c r="S144" s="361">
        <f t="shared" si="15"/>
        <v>0</v>
      </c>
    </row>
    <row r="145" spans="1:19">
      <c r="A145" s="159"/>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0.15</v>
      </c>
      <c r="R145" s="714">
        <f t="shared" si="24"/>
        <v>0</v>
      </c>
      <c r="S145" s="361">
        <f t="shared" si="15"/>
        <v>0</v>
      </c>
    </row>
    <row r="146" spans="1:19">
      <c r="A146" s="159"/>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0.15</v>
      </c>
      <c r="R146" s="714">
        <f t="shared" si="24"/>
        <v>0</v>
      </c>
      <c r="S146" s="361">
        <f t="shared" si="15"/>
        <v>0</v>
      </c>
    </row>
    <row r="147" spans="1:19">
      <c r="A147" s="159"/>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0.15</v>
      </c>
      <c r="R147" s="714">
        <f t="shared" si="24"/>
        <v>0</v>
      </c>
      <c r="S147" s="361">
        <f t="shared" si="15"/>
        <v>0</v>
      </c>
    </row>
    <row r="148" spans="1:19">
      <c r="A148" s="159"/>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0.15</v>
      </c>
      <c r="R148" s="714">
        <f t="shared" si="24"/>
        <v>0</v>
      </c>
      <c r="S148" s="361">
        <f t="shared" si="15"/>
        <v>0</v>
      </c>
    </row>
    <row r="149" spans="1:19">
      <c r="A149" s="159"/>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0.15</v>
      </c>
      <c r="R149" s="714">
        <f t="shared" si="24"/>
        <v>0</v>
      </c>
      <c r="S149" s="361">
        <f t="shared" si="15"/>
        <v>0</v>
      </c>
    </row>
    <row r="150" spans="1:19">
      <c r="A150" s="159"/>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0.15</v>
      </c>
      <c r="R150" s="714">
        <f t="shared" si="24"/>
        <v>0</v>
      </c>
      <c r="S150" s="361">
        <f t="shared" si="15"/>
        <v>0</v>
      </c>
    </row>
    <row r="151" spans="1:19">
      <c r="A151" s="159"/>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0.15</v>
      </c>
      <c r="R151" s="714">
        <f t="shared" si="24"/>
        <v>0</v>
      </c>
      <c r="S151" s="361">
        <f t="shared" si="15"/>
        <v>0</v>
      </c>
    </row>
    <row r="152" spans="1:19">
      <c r="A152" s="159"/>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0.15</v>
      </c>
      <c r="R152" s="714">
        <f t="shared" si="24"/>
        <v>0</v>
      </c>
      <c r="S152" s="361">
        <f t="shared" ref="S152:S215" si="25">ROUND(R152*B152/10000,0)</f>
        <v>0</v>
      </c>
    </row>
    <row r="153" spans="1:19">
      <c r="A153" s="159"/>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0.15</v>
      </c>
      <c r="R153" s="714">
        <f t="shared" si="24"/>
        <v>0</v>
      </c>
      <c r="S153" s="361">
        <f t="shared" si="25"/>
        <v>0</v>
      </c>
    </row>
    <row r="154" spans="1:19">
      <c r="A154" s="159"/>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0.15</v>
      </c>
      <c r="R154" s="714">
        <f t="shared" ref="R154:R217" si="34">IF(B154="",0,ROUND($R$24*C154*E154*G154*I154*K154*M154*O154*Q154,0))</f>
        <v>0</v>
      </c>
      <c r="S154" s="361">
        <f t="shared" si="25"/>
        <v>0</v>
      </c>
    </row>
    <row r="155" spans="1:19">
      <c r="A155" s="159"/>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0.15</v>
      </c>
      <c r="R155" s="714">
        <f t="shared" si="34"/>
        <v>0</v>
      </c>
      <c r="S155" s="361">
        <f t="shared" si="25"/>
        <v>0</v>
      </c>
    </row>
    <row r="156" spans="1:19">
      <c r="A156" s="159"/>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0.15</v>
      </c>
      <c r="R156" s="714">
        <f t="shared" si="34"/>
        <v>0</v>
      </c>
      <c r="S156" s="361">
        <f t="shared" si="25"/>
        <v>0</v>
      </c>
    </row>
    <row r="157" spans="1:19">
      <c r="A157" s="159"/>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0.15</v>
      </c>
      <c r="R157" s="714">
        <f t="shared" si="34"/>
        <v>0</v>
      </c>
      <c r="S157" s="361">
        <f t="shared" si="25"/>
        <v>0</v>
      </c>
    </row>
    <row r="158" spans="1:19">
      <c r="A158" s="159"/>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0.15</v>
      </c>
      <c r="R158" s="714">
        <f t="shared" si="34"/>
        <v>0</v>
      </c>
      <c r="S158" s="361">
        <f t="shared" si="25"/>
        <v>0</v>
      </c>
    </row>
    <row r="159" spans="1:19">
      <c r="A159" s="159"/>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0.15</v>
      </c>
      <c r="R159" s="714">
        <f t="shared" si="34"/>
        <v>0</v>
      </c>
      <c r="S159" s="361">
        <f t="shared" si="25"/>
        <v>0</v>
      </c>
    </row>
    <row r="160" spans="1:19">
      <c r="A160" s="159"/>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0.15</v>
      </c>
      <c r="R160" s="714">
        <f t="shared" si="34"/>
        <v>0</v>
      </c>
      <c r="S160" s="361">
        <f t="shared" si="25"/>
        <v>0</v>
      </c>
    </row>
    <row r="161" spans="1:19">
      <c r="A161" s="159"/>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0.15</v>
      </c>
      <c r="R161" s="714">
        <f t="shared" si="34"/>
        <v>0</v>
      </c>
      <c r="S161" s="361">
        <f t="shared" si="25"/>
        <v>0</v>
      </c>
    </row>
    <row r="162" spans="1:19">
      <c r="A162" s="159"/>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0.15</v>
      </c>
      <c r="R162" s="714">
        <f t="shared" si="34"/>
        <v>0</v>
      </c>
      <c r="S162" s="361">
        <f t="shared" si="25"/>
        <v>0</v>
      </c>
    </row>
    <row r="163" spans="1:19">
      <c r="A163" s="159"/>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0.15</v>
      </c>
      <c r="R163" s="714">
        <f t="shared" si="34"/>
        <v>0</v>
      </c>
      <c r="S163" s="361">
        <f t="shared" si="25"/>
        <v>0</v>
      </c>
    </row>
    <row r="164" spans="1:19">
      <c r="A164" s="159"/>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0.15</v>
      </c>
      <c r="R164" s="714">
        <f t="shared" si="34"/>
        <v>0</v>
      </c>
      <c r="S164" s="361">
        <f t="shared" si="25"/>
        <v>0</v>
      </c>
    </row>
    <row r="165" spans="1:19">
      <c r="A165" s="159"/>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0.15</v>
      </c>
      <c r="R165" s="714">
        <f t="shared" si="34"/>
        <v>0</v>
      </c>
      <c r="S165" s="361">
        <f t="shared" si="25"/>
        <v>0</v>
      </c>
    </row>
    <row r="166" spans="1:19">
      <c r="A166" s="159"/>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0.15</v>
      </c>
      <c r="R166" s="714">
        <f t="shared" si="34"/>
        <v>0</v>
      </c>
      <c r="S166" s="361">
        <f t="shared" si="25"/>
        <v>0</v>
      </c>
    </row>
    <row r="167" spans="1:19">
      <c r="A167" s="159"/>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0.15</v>
      </c>
      <c r="R167" s="714">
        <f t="shared" si="34"/>
        <v>0</v>
      </c>
      <c r="S167" s="361">
        <f t="shared" si="25"/>
        <v>0</v>
      </c>
    </row>
    <row r="168" spans="1:19">
      <c r="A168" s="159"/>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0.15</v>
      </c>
      <c r="R168" s="714">
        <f t="shared" si="34"/>
        <v>0</v>
      </c>
      <c r="S168" s="361">
        <f t="shared" si="25"/>
        <v>0</v>
      </c>
    </row>
    <row r="169" spans="1:19">
      <c r="A169" s="159"/>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0.15</v>
      </c>
      <c r="R169" s="714">
        <f t="shared" si="34"/>
        <v>0</v>
      </c>
      <c r="S169" s="361">
        <f t="shared" si="25"/>
        <v>0</v>
      </c>
    </row>
    <row r="170" spans="1:19">
      <c r="A170" s="159"/>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0.15</v>
      </c>
      <c r="R170" s="714">
        <f t="shared" si="34"/>
        <v>0</v>
      </c>
      <c r="S170" s="361">
        <f t="shared" si="25"/>
        <v>0</v>
      </c>
    </row>
    <row r="171" spans="1:19">
      <c r="A171" s="159"/>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0.15</v>
      </c>
      <c r="R171" s="714">
        <f t="shared" si="34"/>
        <v>0</v>
      </c>
      <c r="S171" s="361">
        <f t="shared" si="25"/>
        <v>0</v>
      </c>
    </row>
    <row r="172" spans="1:19">
      <c r="A172" s="159"/>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0.15</v>
      </c>
      <c r="R172" s="714">
        <f t="shared" si="34"/>
        <v>0</v>
      </c>
      <c r="S172" s="361">
        <f t="shared" si="25"/>
        <v>0</v>
      </c>
    </row>
    <row r="173" spans="1:19">
      <c r="A173" s="159"/>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0.15</v>
      </c>
      <c r="R173" s="714">
        <f t="shared" si="34"/>
        <v>0</v>
      </c>
      <c r="S173" s="361">
        <f t="shared" si="25"/>
        <v>0</v>
      </c>
    </row>
    <row r="174" spans="1:19">
      <c r="A174" s="159"/>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0.15</v>
      </c>
      <c r="R174" s="714">
        <f t="shared" si="34"/>
        <v>0</v>
      </c>
      <c r="S174" s="361">
        <f t="shared" si="25"/>
        <v>0</v>
      </c>
    </row>
    <row r="175" spans="1:19">
      <c r="A175" s="159"/>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0.15</v>
      </c>
      <c r="R175" s="714">
        <f t="shared" si="34"/>
        <v>0</v>
      </c>
      <c r="S175" s="361">
        <f t="shared" si="25"/>
        <v>0</v>
      </c>
    </row>
    <row r="176" spans="1:19">
      <c r="A176" s="159"/>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0.15</v>
      </c>
      <c r="R176" s="714">
        <f t="shared" si="34"/>
        <v>0</v>
      </c>
      <c r="S176" s="361">
        <f t="shared" si="25"/>
        <v>0</v>
      </c>
    </row>
    <row r="177" spans="1:19">
      <c r="A177" s="159"/>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0.15</v>
      </c>
      <c r="R177" s="714">
        <f t="shared" si="34"/>
        <v>0</v>
      </c>
      <c r="S177" s="361">
        <f t="shared" si="25"/>
        <v>0</v>
      </c>
    </row>
    <row r="178" spans="1:19">
      <c r="A178" s="159"/>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0.15</v>
      </c>
      <c r="R178" s="714">
        <f t="shared" si="34"/>
        <v>0</v>
      </c>
      <c r="S178" s="361">
        <f t="shared" si="25"/>
        <v>0</v>
      </c>
    </row>
    <row r="179" spans="1:19">
      <c r="A179" s="159"/>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0.15</v>
      </c>
      <c r="R179" s="714">
        <f t="shared" si="34"/>
        <v>0</v>
      </c>
      <c r="S179" s="361">
        <f t="shared" si="25"/>
        <v>0</v>
      </c>
    </row>
    <row r="180" spans="1:19">
      <c r="A180" s="159"/>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0.15</v>
      </c>
      <c r="R180" s="714">
        <f t="shared" si="34"/>
        <v>0</v>
      </c>
      <c r="S180" s="361">
        <f t="shared" si="25"/>
        <v>0</v>
      </c>
    </row>
    <row r="181" spans="1:19">
      <c r="A181" s="159"/>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0.15</v>
      </c>
      <c r="R181" s="714">
        <f t="shared" si="34"/>
        <v>0</v>
      </c>
      <c r="S181" s="361">
        <f t="shared" si="25"/>
        <v>0</v>
      </c>
    </row>
    <row r="182" spans="1:19">
      <c r="A182" s="159"/>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0.15</v>
      </c>
      <c r="R182" s="714">
        <f t="shared" si="34"/>
        <v>0</v>
      </c>
      <c r="S182" s="361">
        <f t="shared" si="25"/>
        <v>0</v>
      </c>
    </row>
    <row r="183" spans="1:19">
      <c r="A183" s="159"/>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0.15</v>
      </c>
      <c r="R183" s="714">
        <f t="shared" si="34"/>
        <v>0</v>
      </c>
      <c r="S183" s="361">
        <f t="shared" si="25"/>
        <v>0</v>
      </c>
    </row>
    <row r="184" spans="1:19">
      <c r="A184" s="159"/>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0.15</v>
      </c>
      <c r="R184" s="714">
        <f t="shared" si="34"/>
        <v>0</v>
      </c>
      <c r="S184" s="361">
        <f t="shared" si="25"/>
        <v>0</v>
      </c>
    </row>
    <row r="185" spans="1:19">
      <c r="A185" s="159"/>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0.15</v>
      </c>
      <c r="R185" s="714">
        <f t="shared" si="34"/>
        <v>0</v>
      </c>
      <c r="S185" s="361">
        <f t="shared" si="25"/>
        <v>0</v>
      </c>
    </row>
    <row r="186" spans="1:19">
      <c r="A186" s="159"/>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0.15</v>
      </c>
      <c r="R186" s="714">
        <f t="shared" si="34"/>
        <v>0</v>
      </c>
      <c r="S186" s="361">
        <f t="shared" si="25"/>
        <v>0</v>
      </c>
    </row>
    <row r="187" spans="1:19">
      <c r="A187" s="159"/>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0.15</v>
      </c>
      <c r="R187" s="714">
        <f t="shared" si="34"/>
        <v>0</v>
      </c>
      <c r="S187" s="361">
        <f t="shared" si="25"/>
        <v>0</v>
      </c>
    </row>
    <row r="188" spans="1:19">
      <c r="A188" s="159"/>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0.15</v>
      </c>
      <c r="R188" s="714">
        <f t="shared" si="34"/>
        <v>0</v>
      </c>
      <c r="S188" s="361">
        <f t="shared" si="25"/>
        <v>0</v>
      </c>
    </row>
    <row r="189" spans="1:19">
      <c r="A189" s="159"/>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0.15</v>
      </c>
      <c r="R189" s="714">
        <f t="shared" si="34"/>
        <v>0</v>
      </c>
      <c r="S189" s="361">
        <f t="shared" si="25"/>
        <v>0</v>
      </c>
    </row>
    <row r="190" spans="1:19">
      <c r="A190" s="159"/>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0.15</v>
      </c>
      <c r="R190" s="714">
        <f t="shared" si="34"/>
        <v>0</v>
      </c>
      <c r="S190" s="361">
        <f t="shared" si="25"/>
        <v>0</v>
      </c>
    </row>
    <row r="191" spans="1:19">
      <c r="A191" s="159"/>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0.15</v>
      </c>
      <c r="R191" s="714">
        <f t="shared" si="34"/>
        <v>0</v>
      </c>
      <c r="S191" s="361">
        <f t="shared" si="25"/>
        <v>0</v>
      </c>
    </row>
    <row r="192" spans="1:19">
      <c r="A192" s="159"/>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0.15</v>
      </c>
      <c r="R192" s="714">
        <f t="shared" si="34"/>
        <v>0</v>
      </c>
      <c r="S192" s="361">
        <f t="shared" si="25"/>
        <v>0</v>
      </c>
    </row>
    <row r="193" spans="1:19">
      <c r="A193" s="159"/>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0.15</v>
      </c>
      <c r="R193" s="714">
        <f t="shared" si="34"/>
        <v>0</v>
      </c>
      <c r="S193" s="361">
        <f t="shared" si="25"/>
        <v>0</v>
      </c>
    </row>
    <row r="194" spans="1:19">
      <c r="A194" s="159"/>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0.15</v>
      </c>
      <c r="R194" s="714">
        <f t="shared" si="34"/>
        <v>0</v>
      </c>
      <c r="S194" s="361">
        <f t="shared" si="25"/>
        <v>0</v>
      </c>
    </row>
    <row r="195" spans="1:19">
      <c r="A195" s="159"/>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0.15</v>
      </c>
      <c r="R195" s="714">
        <f t="shared" si="34"/>
        <v>0</v>
      </c>
      <c r="S195" s="361">
        <f t="shared" si="25"/>
        <v>0</v>
      </c>
    </row>
    <row r="196" spans="1:19">
      <c r="A196" s="159"/>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0.15</v>
      </c>
      <c r="R196" s="714">
        <f t="shared" si="34"/>
        <v>0</v>
      </c>
      <c r="S196" s="361">
        <f t="shared" si="25"/>
        <v>0</v>
      </c>
    </row>
    <row r="197" spans="1:19">
      <c r="A197" s="159"/>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0.15</v>
      </c>
      <c r="R197" s="714">
        <f t="shared" si="34"/>
        <v>0</v>
      </c>
      <c r="S197" s="361">
        <f t="shared" si="25"/>
        <v>0</v>
      </c>
    </row>
    <row r="198" spans="1:19">
      <c r="A198" s="159"/>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0.15</v>
      </c>
      <c r="R198" s="714">
        <f t="shared" si="34"/>
        <v>0</v>
      </c>
      <c r="S198" s="361">
        <f t="shared" si="25"/>
        <v>0</v>
      </c>
    </row>
    <row r="199" spans="1:19">
      <c r="A199" s="159"/>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0.15</v>
      </c>
      <c r="R199" s="714">
        <f t="shared" si="34"/>
        <v>0</v>
      </c>
      <c r="S199" s="361">
        <f t="shared" si="25"/>
        <v>0</v>
      </c>
    </row>
    <row r="200" spans="1:19">
      <c r="A200" s="159"/>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0.15</v>
      </c>
      <c r="R200" s="714">
        <f t="shared" si="34"/>
        <v>0</v>
      </c>
      <c r="S200" s="361">
        <f t="shared" si="25"/>
        <v>0</v>
      </c>
    </row>
    <row r="201" spans="1:19">
      <c r="A201" s="159"/>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0.15</v>
      </c>
      <c r="R201" s="714">
        <f t="shared" si="34"/>
        <v>0</v>
      </c>
      <c r="S201" s="361">
        <f t="shared" si="25"/>
        <v>0</v>
      </c>
    </row>
    <row r="202" spans="1:19">
      <c r="A202" s="159"/>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0.15</v>
      </c>
      <c r="R202" s="714">
        <f t="shared" si="34"/>
        <v>0</v>
      </c>
      <c r="S202" s="361">
        <f t="shared" si="25"/>
        <v>0</v>
      </c>
    </row>
    <row r="203" spans="1:19">
      <c r="A203" s="159"/>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0.15</v>
      </c>
      <c r="R203" s="714">
        <f t="shared" si="34"/>
        <v>0</v>
      </c>
      <c r="S203" s="361">
        <f t="shared" si="25"/>
        <v>0</v>
      </c>
    </row>
    <row r="204" spans="1:19">
      <c r="A204" s="159"/>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0.15</v>
      </c>
      <c r="R204" s="714">
        <f t="shared" si="34"/>
        <v>0</v>
      </c>
      <c r="S204" s="361">
        <f t="shared" si="25"/>
        <v>0</v>
      </c>
    </row>
    <row r="205" spans="1:19">
      <c r="A205" s="159"/>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0.15</v>
      </c>
      <c r="R205" s="714">
        <f t="shared" si="34"/>
        <v>0</v>
      </c>
      <c r="S205" s="361">
        <f t="shared" si="25"/>
        <v>0</v>
      </c>
    </row>
    <row r="206" spans="1:19">
      <c r="A206" s="159"/>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0.15</v>
      </c>
      <c r="R206" s="714">
        <f t="shared" si="34"/>
        <v>0</v>
      </c>
      <c r="S206" s="361">
        <f t="shared" si="25"/>
        <v>0</v>
      </c>
    </row>
    <row r="207" spans="1:19">
      <c r="A207" s="159"/>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0.15</v>
      </c>
      <c r="R207" s="714">
        <f t="shared" si="34"/>
        <v>0</v>
      </c>
      <c r="S207" s="361">
        <f t="shared" si="25"/>
        <v>0</v>
      </c>
    </row>
    <row r="208" spans="1:19">
      <c r="A208" s="159"/>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0.15</v>
      </c>
      <c r="R208" s="714">
        <f t="shared" si="34"/>
        <v>0</v>
      </c>
      <c r="S208" s="361">
        <f t="shared" si="25"/>
        <v>0</v>
      </c>
    </row>
    <row r="209" spans="1:19">
      <c r="A209" s="159"/>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0.15</v>
      </c>
      <c r="R209" s="714">
        <f t="shared" si="34"/>
        <v>0</v>
      </c>
      <c r="S209" s="361">
        <f t="shared" si="25"/>
        <v>0</v>
      </c>
    </row>
    <row r="210" spans="1:19">
      <c r="A210" s="159"/>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0.15</v>
      </c>
      <c r="R210" s="714">
        <f t="shared" si="34"/>
        <v>0</v>
      </c>
      <c r="S210" s="361">
        <f t="shared" si="25"/>
        <v>0</v>
      </c>
    </row>
    <row r="211" spans="1:19">
      <c r="A211" s="159"/>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0.15</v>
      </c>
      <c r="R211" s="714">
        <f t="shared" si="34"/>
        <v>0</v>
      </c>
      <c r="S211" s="361">
        <f t="shared" si="25"/>
        <v>0</v>
      </c>
    </row>
    <row r="212" spans="1:19">
      <c r="A212" s="159"/>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0.15</v>
      </c>
      <c r="R212" s="714">
        <f t="shared" si="34"/>
        <v>0</v>
      </c>
      <c r="S212" s="361">
        <f t="shared" si="25"/>
        <v>0</v>
      </c>
    </row>
    <row r="213" spans="1:19">
      <c r="A213" s="159"/>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0.15</v>
      </c>
      <c r="R213" s="714">
        <f t="shared" si="34"/>
        <v>0</v>
      </c>
      <c r="S213" s="361">
        <f t="shared" si="25"/>
        <v>0</v>
      </c>
    </row>
    <row r="214" spans="1:19">
      <c r="A214" s="159"/>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0.15</v>
      </c>
      <c r="R214" s="714">
        <f t="shared" si="34"/>
        <v>0</v>
      </c>
      <c r="S214" s="361">
        <f t="shared" si="25"/>
        <v>0</v>
      </c>
    </row>
    <row r="215" spans="1:19">
      <c r="A215" s="159"/>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0.15</v>
      </c>
      <c r="R215" s="714">
        <f t="shared" si="34"/>
        <v>0</v>
      </c>
      <c r="S215" s="361">
        <f t="shared" si="25"/>
        <v>0</v>
      </c>
    </row>
    <row r="216" spans="1:19">
      <c r="A216" s="159"/>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0.15</v>
      </c>
      <c r="R216" s="714">
        <f t="shared" si="34"/>
        <v>0</v>
      </c>
      <c r="S216" s="361">
        <f t="shared" ref="S216:S279" si="35">ROUND(R216*B216/10000,0)</f>
        <v>0</v>
      </c>
    </row>
    <row r="217" spans="1:19">
      <c r="A217" s="159"/>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0.15</v>
      </c>
      <c r="R217" s="714">
        <f t="shared" si="34"/>
        <v>0</v>
      </c>
      <c r="S217" s="361">
        <f t="shared" si="35"/>
        <v>0</v>
      </c>
    </row>
    <row r="218" spans="1:19">
      <c r="A218" s="159"/>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0.15</v>
      </c>
      <c r="R218" s="714">
        <f t="shared" ref="R218:R281" si="44">IF(B218="",0,ROUND($R$24*C218*E218*G218*I218*K218*M218*O218*Q218,0))</f>
        <v>0</v>
      </c>
      <c r="S218" s="361">
        <f t="shared" si="35"/>
        <v>0</v>
      </c>
    </row>
    <row r="219" spans="1:19">
      <c r="A219" s="159"/>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0.15</v>
      </c>
      <c r="R219" s="714">
        <f t="shared" si="44"/>
        <v>0</v>
      </c>
      <c r="S219" s="361">
        <f t="shared" si="35"/>
        <v>0</v>
      </c>
    </row>
    <row r="220" spans="1:19">
      <c r="A220" s="159"/>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0.15</v>
      </c>
      <c r="R220" s="714">
        <f t="shared" si="44"/>
        <v>0</v>
      </c>
      <c r="S220" s="361">
        <f t="shared" si="35"/>
        <v>0</v>
      </c>
    </row>
    <row r="221" spans="1:19">
      <c r="A221" s="159"/>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0.15</v>
      </c>
      <c r="R221" s="714">
        <f t="shared" si="44"/>
        <v>0</v>
      </c>
      <c r="S221" s="361">
        <f t="shared" si="35"/>
        <v>0</v>
      </c>
    </row>
    <row r="222" spans="1:19">
      <c r="A222" s="159"/>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0.15</v>
      </c>
      <c r="R222" s="714">
        <f t="shared" si="44"/>
        <v>0</v>
      </c>
      <c r="S222" s="361">
        <f t="shared" si="35"/>
        <v>0</v>
      </c>
    </row>
    <row r="223" spans="1:19">
      <c r="A223" s="159"/>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0.15</v>
      </c>
      <c r="R223" s="714">
        <f t="shared" si="44"/>
        <v>0</v>
      </c>
      <c r="S223" s="361">
        <f t="shared" si="35"/>
        <v>0</v>
      </c>
    </row>
    <row r="224" spans="1:19">
      <c r="A224" s="159"/>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0.15</v>
      </c>
      <c r="R224" s="714">
        <f t="shared" si="44"/>
        <v>0</v>
      </c>
      <c r="S224" s="361">
        <f t="shared" si="35"/>
        <v>0</v>
      </c>
    </row>
    <row r="225" spans="1:19">
      <c r="A225" s="159"/>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0.15</v>
      </c>
      <c r="R225" s="714">
        <f t="shared" si="44"/>
        <v>0</v>
      </c>
      <c r="S225" s="361">
        <f t="shared" si="35"/>
        <v>0</v>
      </c>
    </row>
    <row r="226" spans="1:19">
      <c r="A226" s="159"/>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0.15</v>
      </c>
      <c r="R226" s="714">
        <f t="shared" si="44"/>
        <v>0</v>
      </c>
      <c r="S226" s="361">
        <f t="shared" si="35"/>
        <v>0</v>
      </c>
    </row>
    <row r="227" spans="1:19">
      <c r="A227" s="159"/>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0.15</v>
      </c>
      <c r="R227" s="714">
        <f t="shared" si="44"/>
        <v>0</v>
      </c>
      <c r="S227" s="361">
        <f t="shared" si="35"/>
        <v>0</v>
      </c>
    </row>
    <row r="228" spans="1:19">
      <c r="A228" s="159"/>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0.15</v>
      </c>
      <c r="R228" s="714">
        <f t="shared" si="44"/>
        <v>0</v>
      </c>
      <c r="S228" s="361">
        <f t="shared" si="35"/>
        <v>0</v>
      </c>
    </row>
    <row r="229" spans="1:19">
      <c r="A229" s="159"/>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0.15</v>
      </c>
      <c r="R229" s="714">
        <f t="shared" si="44"/>
        <v>0</v>
      </c>
      <c r="S229" s="361">
        <f t="shared" si="35"/>
        <v>0</v>
      </c>
    </row>
    <row r="230" spans="1:19">
      <c r="A230" s="159"/>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0.15</v>
      </c>
      <c r="R230" s="714">
        <f t="shared" si="44"/>
        <v>0</v>
      </c>
      <c r="S230" s="361">
        <f t="shared" si="35"/>
        <v>0</v>
      </c>
    </row>
    <row r="231" spans="1:19">
      <c r="A231" s="159"/>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0.15</v>
      </c>
      <c r="R231" s="714">
        <f t="shared" si="44"/>
        <v>0</v>
      </c>
      <c r="S231" s="361">
        <f t="shared" si="35"/>
        <v>0</v>
      </c>
    </row>
    <row r="232" spans="1:19">
      <c r="A232" s="159"/>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0.15</v>
      </c>
      <c r="R232" s="714">
        <f t="shared" si="44"/>
        <v>0</v>
      </c>
      <c r="S232" s="361">
        <f t="shared" si="35"/>
        <v>0</v>
      </c>
    </row>
    <row r="233" spans="1:19">
      <c r="A233" s="159"/>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0.15</v>
      </c>
      <c r="R233" s="714">
        <f t="shared" si="44"/>
        <v>0</v>
      </c>
      <c r="S233" s="361">
        <f t="shared" si="35"/>
        <v>0</v>
      </c>
    </row>
    <row r="234" spans="1:19">
      <c r="A234" s="159"/>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0.15</v>
      </c>
      <c r="R234" s="714">
        <f t="shared" si="44"/>
        <v>0</v>
      </c>
      <c r="S234" s="361">
        <f t="shared" si="35"/>
        <v>0</v>
      </c>
    </row>
    <row r="235" spans="1:19">
      <c r="A235" s="159"/>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0.15</v>
      </c>
      <c r="R235" s="714">
        <f t="shared" si="44"/>
        <v>0</v>
      </c>
      <c r="S235" s="361">
        <f t="shared" si="35"/>
        <v>0</v>
      </c>
    </row>
    <row r="236" spans="1:19">
      <c r="A236" s="159"/>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0.15</v>
      </c>
      <c r="R236" s="714">
        <f t="shared" si="44"/>
        <v>0</v>
      </c>
      <c r="S236" s="361">
        <f t="shared" si="35"/>
        <v>0</v>
      </c>
    </row>
    <row r="237" spans="1:19">
      <c r="A237" s="159"/>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0.15</v>
      </c>
      <c r="R237" s="714">
        <f t="shared" si="44"/>
        <v>0</v>
      </c>
      <c r="S237" s="361">
        <f t="shared" si="35"/>
        <v>0</v>
      </c>
    </row>
    <row r="238" spans="1:19">
      <c r="A238" s="159"/>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0.15</v>
      </c>
      <c r="R238" s="714">
        <f t="shared" si="44"/>
        <v>0</v>
      </c>
      <c r="S238" s="361">
        <f t="shared" si="35"/>
        <v>0</v>
      </c>
    </row>
    <row r="239" spans="1:19">
      <c r="A239" s="159"/>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0.15</v>
      </c>
      <c r="R239" s="714">
        <f t="shared" si="44"/>
        <v>0</v>
      </c>
      <c r="S239" s="361">
        <f t="shared" si="35"/>
        <v>0</v>
      </c>
    </row>
    <row r="240" spans="1:19">
      <c r="A240" s="159"/>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0.15</v>
      </c>
      <c r="R240" s="714">
        <f t="shared" si="44"/>
        <v>0</v>
      </c>
      <c r="S240" s="361">
        <f t="shared" si="35"/>
        <v>0</v>
      </c>
    </row>
    <row r="241" spans="1:19">
      <c r="A241" s="159"/>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0.15</v>
      </c>
      <c r="R241" s="714">
        <f t="shared" si="44"/>
        <v>0</v>
      </c>
      <c r="S241" s="361">
        <f t="shared" si="35"/>
        <v>0</v>
      </c>
    </row>
    <row r="242" spans="1:19">
      <c r="A242" s="159"/>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0.15</v>
      </c>
      <c r="R242" s="714">
        <f t="shared" si="44"/>
        <v>0</v>
      </c>
      <c r="S242" s="361">
        <f t="shared" si="35"/>
        <v>0</v>
      </c>
    </row>
    <row r="243" spans="1:19">
      <c r="A243" s="159"/>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0.15</v>
      </c>
      <c r="R243" s="714">
        <f t="shared" si="44"/>
        <v>0</v>
      </c>
      <c r="S243" s="361">
        <f t="shared" si="35"/>
        <v>0</v>
      </c>
    </row>
    <row r="244" spans="1:19">
      <c r="A244" s="159"/>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0.15</v>
      </c>
      <c r="R244" s="714">
        <f t="shared" si="44"/>
        <v>0</v>
      </c>
      <c r="S244" s="361">
        <f t="shared" si="35"/>
        <v>0</v>
      </c>
    </row>
    <row r="245" spans="1:19">
      <c r="A245" s="159"/>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0.15</v>
      </c>
      <c r="R245" s="714">
        <f t="shared" si="44"/>
        <v>0</v>
      </c>
      <c r="S245" s="361">
        <f t="shared" si="35"/>
        <v>0</v>
      </c>
    </row>
    <row r="246" spans="1:19">
      <c r="A246" s="159"/>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0.15</v>
      </c>
      <c r="R246" s="714">
        <f t="shared" si="44"/>
        <v>0</v>
      </c>
      <c r="S246" s="361">
        <f t="shared" si="35"/>
        <v>0</v>
      </c>
    </row>
    <row r="247" spans="1:19">
      <c r="A247" s="159"/>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0.15</v>
      </c>
      <c r="R247" s="714">
        <f t="shared" si="44"/>
        <v>0</v>
      </c>
      <c r="S247" s="361">
        <f t="shared" si="35"/>
        <v>0</v>
      </c>
    </row>
    <row r="248" spans="1:19">
      <c r="A248" s="159"/>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0.15</v>
      </c>
      <c r="R248" s="714">
        <f t="shared" si="44"/>
        <v>0</v>
      </c>
      <c r="S248" s="361">
        <f t="shared" si="35"/>
        <v>0</v>
      </c>
    </row>
    <row r="249" spans="1:19">
      <c r="A249" s="159"/>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0.15</v>
      </c>
      <c r="R249" s="714">
        <f t="shared" si="44"/>
        <v>0</v>
      </c>
      <c r="S249" s="361">
        <f t="shared" si="35"/>
        <v>0</v>
      </c>
    </row>
    <row r="250" spans="1:19">
      <c r="A250" s="159"/>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0.15</v>
      </c>
      <c r="R250" s="714">
        <f t="shared" si="44"/>
        <v>0</v>
      </c>
      <c r="S250" s="361">
        <f t="shared" si="35"/>
        <v>0</v>
      </c>
    </row>
    <row r="251" spans="1:19">
      <c r="A251" s="159"/>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0.15</v>
      </c>
      <c r="R251" s="714">
        <f t="shared" si="44"/>
        <v>0</v>
      </c>
      <c r="S251" s="361">
        <f t="shared" si="35"/>
        <v>0</v>
      </c>
    </row>
    <row r="252" spans="1:19">
      <c r="A252" s="159"/>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0.15</v>
      </c>
      <c r="R252" s="714">
        <f t="shared" si="44"/>
        <v>0</v>
      </c>
      <c r="S252" s="361">
        <f t="shared" si="35"/>
        <v>0</v>
      </c>
    </row>
    <row r="253" spans="1:19">
      <c r="A253" s="159"/>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0.15</v>
      </c>
      <c r="R253" s="714">
        <f t="shared" si="44"/>
        <v>0</v>
      </c>
      <c r="S253" s="361">
        <f t="shared" si="35"/>
        <v>0</v>
      </c>
    </row>
    <row r="254" spans="1:19">
      <c r="A254" s="159"/>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0.15</v>
      </c>
      <c r="R254" s="714">
        <f t="shared" si="44"/>
        <v>0</v>
      </c>
      <c r="S254" s="361">
        <f t="shared" si="35"/>
        <v>0</v>
      </c>
    </row>
    <row r="255" spans="1:19">
      <c r="A255" s="159"/>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0.15</v>
      </c>
      <c r="R255" s="714">
        <f t="shared" si="44"/>
        <v>0</v>
      </c>
      <c r="S255" s="361">
        <f t="shared" si="35"/>
        <v>0</v>
      </c>
    </row>
    <row r="256" spans="1:19">
      <c r="A256" s="159"/>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0.15</v>
      </c>
      <c r="R256" s="714">
        <f t="shared" si="44"/>
        <v>0</v>
      </c>
      <c r="S256" s="361">
        <f t="shared" si="35"/>
        <v>0</v>
      </c>
    </row>
    <row r="257" spans="1:19">
      <c r="A257" s="159"/>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0.15</v>
      </c>
      <c r="R257" s="714">
        <f t="shared" si="44"/>
        <v>0</v>
      </c>
      <c r="S257" s="361">
        <f t="shared" si="35"/>
        <v>0</v>
      </c>
    </row>
    <row r="258" spans="1:19">
      <c r="A258" s="159"/>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0.15</v>
      </c>
      <c r="R258" s="714">
        <f t="shared" si="44"/>
        <v>0</v>
      </c>
      <c r="S258" s="361">
        <f t="shared" si="35"/>
        <v>0</v>
      </c>
    </row>
    <row r="259" spans="1:19">
      <c r="A259" s="159"/>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0.15</v>
      </c>
      <c r="R259" s="714">
        <f t="shared" si="44"/>
        <v>0</v>
      </c>
      <c r="S259" s="361">
        <f t="shared" si="35"/>
        <v>0</v>
      </c>
    </row>
    <row r="260" spans="1:19">
      <c r="A260" s="159"/>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0.15</v>
      </c>
      <c r="R260" s="714">
        <f t="shared" si="44"/>
        <v>0</v>
      </c>
      <c r="S260" s="361">
        <f t="shared" si="35"/>
        <v>0</v>
      </c>
    </row>
    <row r="261" spans="1:19">
      <c r="A261" s="159"/>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0.15</v>
      </c>
      <c r="R261" s="714">
        <f t="shared" si="44"/>
        <v>0</v>
      </c>
      <c r="S261" s="361">
        <f t="shared" si="35"/>
        <v>0</v>
      </c>
    </row>
    <row r="262" spans="1:19">
      <c r="A262" s="159"/>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0.15</v>
      </c>
      <c r="R262" s="714">
        <f t="shared" si="44"/>
        <v>0</v>
      </c>
      <c r="S262" s="361">
        <f t="shared" si="35"/>
        <v>0</v>
      </c>
    </row>
    <row r="263" spans="1:19">
      <c r="A263" s="159"/>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0.15</v>
      </c>
      <c r="R263" s="714">
        <f t="shared" si="44"/>
        <v>0</v>
      </c>
      <c r="S263" s="361">
        <f t="shared" si="35"/>
        <v>0</v>
      </c>
    </row>
    <row r="264" spans="1:19">
      <c r="A264" s="159"/>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0.15</v>
      </c>
      <c r="R264" s="714">
        <f t="shared" si="44"/>
        <v>0</v>
      </c>
      <c r="S264" s="361">
        <f t="shared" si="35"/>
        <v>0</v>
      </c>
    </row>
    <row r="265" spans="1:19">
      <c r="A265" s="159"/>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0.15</v>
      </c>
      <c r="R265" s="714">
        <f t="shared" si="44"/>
        <v>0</v>
      </c>
      <c r="S265" s="361">
        <f t="shared" si="35"/>
        <v>0</v>
      </c>
    </row>
    <row r="266" spans="1:19">
      <c r="A266" s="159"/>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0.15</v>
      </c>
      <c r="R266" s="714">
        <f t="shared" si="44"/>
        <v>0</v>
      </c>
      <c r="S266" s="361">
        <f t="shared" si="35"/>
        <v>0</v>
      </c>
    </row>
    <row r="267" spans="1:19">
      <c r="A267" s="159"/>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0.15</v>
      </c>
      <c r="R267" s="714">
        <f t="shared" si="44"/>
        <v>0</v>
      </c>
      <c r="S267" s="361">
        <f t="shared" si="35"/>
        <v>0</v>
      </c>
    </row>
    <row r="268" spans="1:19">
      <c r="A268" s="159"/>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0.15</v>
      </c>
      <c r="R268" s="714">
        <f t="shared" si="44"/>
        <v>0</v>
      </c>
      <c r="S268" s="361">
        <f t="shared" si="35"/>
        <v>0</v>
      </c>
    </row>
    <row r="269" spans="1:19">
      <c r="A269" s="159"/>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0.15</v>
      </c>
      <c r="R269" s="714">
        <f t="shared" si="44"/>
        <v>0</v>
      </c>
      <c r="S269" s="361">
        <f t="shared" si="35"/>
        <v>0</v>
      </c>
    </row>
    <row r="270" spans="1:19">
      <c r="A270" s="159"/>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0.15</v>
      </c>
      <c r="R270" s="714">
        <f t="shared" si="44"/>
        <v>0</v>
      </c>
      <c r="S270" s="361">
        <f t="shared" si="35"/>
        <v>0</v>
      </c>
    </row>
    <row r="271" spans="1:19">
      <c r="A271" s="159"/>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0.15</v>
      </c>
      <c r="R271" s="714">
        <f t="shared" si="44"/>
        <v>0</v>
      </c>
      <c r="S271" s="361">
        <f t="shared" si="35"/>
        <v>0</v>
      </c>
    </row>
    <row r="272" spans="1:19">
      <c r="A272" s="159"/>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0.15</v>
      </c>
      <c r="R272" s="714">
        <f t="shared" si="44"/>
        <v>0</v>
      </c>
      <c r="S272" s="361">
        <f t="shared" si="35"/>
        <v>0</v>
      </c>
    </row>
    <row r="273" spans="1:19">
      <c r="A273" s="159"/>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0.15</v>
      </c>
      <c r="R273" s="714">
        <f t="shared" si="44"/>
        <v>0</v>
      </c>
      <c r="S273" s="361">
        <f t="shared" si="35"/>
        <v>0</v>
      </c>
    </row>
    <row r="274" spans="1:19">
      <c r="A274" s="159"/>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0.15</v>
      </c>
      <c r="R274" s="714">
        <f t="shared" si="44"/>
        <v>0</v>
      </c>
      <c r="S274" s="361">
        <f t="shared" si="35"/>
        <v>0</v>
      </c>
    </row>
    <row r="275" spans="1:19">
      <c r="A275" s="159"/>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0.15</v>
      </c>
      <c r="R275" s="714">
        <f t="shared" si="44"/>
        <v>0</v>
      </c>
      <c r="S275" s="361">
        <f t="shared" si="35"/>
        <v>0</v>
      </c>
    </row>
    <row r="276" spans="1:19">
      <c r="A276" s="159"/>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0.15</v>
      </c>
      <c r="R276" s="714">
        <f t="shared" si="44"/>
        <v>0</v>
      </c>
      <c r="S276" s="361">
        <f t="shared" si="35"/>
        <v>0</v>
      </c>
    </row>
    <row r="277" spans="1:19">
      <c r="A277" s="159"/>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0.15</v>
      </c>
      <c r="R277" s="714">
        <f t="shared" si="44"/>
        <v>0</v>
      </c>
      <c r="S277" s="361">
        <f t="shared" si="35"/>
        <v>0</v>
      </c>
    </row>
    <row r="278" spans="1:19">
      <c r="A278" s="159"/>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0.15</v>
      </c>
      <c r="R278" s="714">
        <f t="shared" si="44"/>
        <v>0</v>
      </c>
      <c r="S278" s="361">
        <f t="shared" si="35"/>
        <v>0</v>
      </c>
    </row>
    <row r="279" spans="1:19">
      <c r="A279" s="159"/>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0.15</v>
      </c>
      <c r="R279" s="714">
        <f t="shared" si="44"/>
        <v>0</v>
      </c>
      <c r="S279" s="361">
        <f t="shared" si="35"/>
        <v>0</v>
      </c>
    </row>
    <row r="280" spans="1:19">
      <c r="A280" s="159"/>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0.15</v>
      </c>
      <c r="R280" s="714">
        <f t="shared" si="44"/>
        <v>0</v>
      </c>
      <c r="S280" s="361">
        <f t="shared" ref="S280:S343" si="45">ROUND(R280*B280/10000,0)</f>
        <v>0</v>
      </c>
    </row>
    <row r="281" spans="1:19">
      <c r="A281" s="159"/>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0.15</v>
      </c>
      <c r="R281" s="714">
        <f t="shared" si="44"/>
        <v>0</v>
      </c>
      <c r="S281" s="361">
        <f t="shared" si="45"/>
        <v>0</v>
      </c>
    </row>
    <row r="282" spans="1:19">
      <c r="A282" s="159"/>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0.15</v>
      </c>
      <c r="R282" s="714">
        <f t="shared" ref="R282:R345" si="54">IF(B282="",0,ROUND($R$24*C282*E282*G282*I282*K282*M282*O282*Q282,0))</f>
        <v>0</v>
      </c>
      <c r="S282" s="361">
        <f t="shared" si="45"/>
        <v>0</v>
      </c>
    </row>
    <row r="283" spans="1:19">
      <c r="A283" s="159"/>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0.15</v>
      </c>
      <c r="R283" s="714">
        <f t="shared" si="54"/>
        <v>0</v>
      </c>
      <c r="S283" s="361">
        <f t="shared" si="45"/>
        <v>0</v>
      </c>
    </row>
    <row r="284" spans="1:19">
      <c r="A284" s="159"/>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0.15</v>
      </c>
      <c r="R284" s="714">
        <f t="shared" si="54"/>
        <v>0</v>
      </c>
      <c r="S284" s="361">
        <f t="shared" si="45"/>
        <v>0</v>
      </c>
    </row>
    <row r="285" spans="1:19">
      <c r="A285" s="159"/>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0.15</v>
      </c>
      <c r="R285" s="714">
        <f t="shared" si="54"/>
        <v>0</v>
      </c>
      <c r="S285" s="361">
        <f t="shared" si="45"/>
        <v>0</v>
      </c>
    </row>
    <row r="286" spans="1:19">
      <c r="A286" s="159"/>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0.15</v>
      </c>
      <c r="R286" s="714">
        <f t="shared" si="54"/>
        <v>0</v>
      </c>
      <c r="S286" s="361">
        <f t="shared" si="45"/>
        <v>0</v>
      </c>
    </row>
    <row r="287" spans="1:19">
      <c r="A287" s="159"/>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0.15</v>
      </c>
      <c r="R287" s="714">
        <f t="shared" si="54"/>
        <v>0</v>
      </c>
      <c r="S287" s="361">
        <f t="shared" si="45"/>
        <v>0</v>
      </c>
    </row>
    <row r="288" spans="1:19">
      <c r="A288" s="159"/>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0.15</v>
      </c>
      <c r="R288" s="714">
        <f t="shared" si="54"/>
        <v>0</v>
      </c>
      <c r="S288" s="361">
        <f t="shared" si="45"/>
        <v>0</v>
      </c>
    </row>
    <row r="289" spans="1:19">
      <c r="A289" s="159"/>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0.15</v>
      </c>
      <c r="R289" s="714">
        <f t="shared" si="54"/>
        <v>0</v>
      </c>
      <c r="S289" s="361">
        <f t="shared" si="45"/>
        <v>0</v>
      </c>
    </row>
    <row r="290" spans="1:19">
      <c r="A290" s="159"/>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0.15</v>
      </c>
      <c r="R290" s="714">
        <f t="shared" si="54"/>
        <v>0</v>
      </c>
      <c r="S290" s="361">
        <f t="shared" si="45"/>
        <v>0</v>
      </c>
    </row>
    <row r="291" spans="1:19">
      <c r="A291" s="159"/>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0.15</v>
      </c>
      <c r="R291" s="714">
        <f t="shared" si="54"/>
        <v>0</v>
      </c>
      <c r="S291" s="361">
        <f t="shared" si="45"/>
        <v>0</v>
      </c>
    </row>
    <row r="292" spans="1:19">
      <c r="A292" s="159"/>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0.15</v>
      </c>
      <c r="R292" s="714">
        <f t="shared" si="54"/>
        <v>0</v>
      </c>
      <c r="S292" s="361">
        <f t="shared" si="45"/>
        <v>0</v>
      </c>
    </row>
    <row r="293" spans="1:19">
      <c r="A293" s="159"/>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0.15</v>
      </c>
      <c r="R293" s="714">
        <f t="shared" si="54"/>
        <v>0</v>
      </c>
      <c r="S293" s="361">
        <f t="shared" si="45"/>
        <v>0</v>
      </c>
    </row>
    <row r="294" spans="1:19">
      <c r="A294" s="159"/>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0.15</v>
      </c>
      <c r="R294" s="714">
        <f t="shared" si="54"/>
        <v>0</v>
      </c>
      <c r="S294" s="361">
        <f t="shared" si="45"/>
        <v>0</v>
      </c>
    </row>
    <row r="295" spans="1:19">
      <c r="A295" s="159"/>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0.15</v>
      </c>
      <c r="R295" s="714">
        <f t="shared" si="54"/>
        <v>0</v>
      </c>
      <c r="S295" s="361">
        <f t="shared" si="45"/>
        <v>0</v>
      </c>
    </row>
    <row r="296" spans="1:19">
      <c r="A296" s="159"/>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0.15</v>
      </c>
      <c r="R296" s="714">
        <f t="shared" si="54"/>
        <v>0</v>
      </c>
      <c r="S296" s="361">
        <f t="shared" si="45"/>
        <v>0</v>
      </c>
    </row>
    <row r="297" spans="1:19">
      <c r="A297" s="159"/>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0.15</v>
      </c>
      <c r="R297" s="714">
        <f t="shared" si="54"/>
        <v>0</v>
      </c>
      <c r="S297" s="361">
        <f t="shared" si="45"/>
        <v>0</v>
      </c>
    </row>
    <row r="298" spans="1:19">
      <c r="A298" s="159"/>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0.15</v>
      </c>
      <c r="R298" s="714">
        <f t="shared" si="54"/>
        <v>0</v>
      </c>
      <c r="S298" s="361">
        <f t="shared" si="45"/>
        <v>0</v>
      </c>
    </row>
    <row r="299" spans="1:19">
      <c r="A299" s="159"/>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0.15</v>
      </c>
      <c r="R299" s="714">
        <f t="shared" si="54"/>
        <v>0</v>
      </c>
      <c r="S299" s="361">
        <f t="shared" si="45"/>
        <v>0</v>
      </c>
    </row>
    <row r="300" spans="1:19">
      <c r="A300" s="159"/>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0.15</v>
      </c>
      <c r="R300" s="714">
        <f t="shared" si="54"/>
        <v>0</v>
      </c>
      <c r="S300" s="361">
        <f t="shared" si="45"/>
        <v>0</v>
      </c>
    </row>
    <row r="301" spans="1:19">
      <c r="A301" s="159"/>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0.15</v>
      </c>
      <c r="R301" s="714">
        <f t="shared" si="54"/>
        <v>0</v>
      </c>
      <c r="S301" s="361">
        <f t="shared" si="45"/>
        <v>0</v>
      </c>
    </row>
    <row r="302" spans="1:19">
      <c r="A302" s="159"/>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0.15</v>
      </c>
      <c r="R302" s="714">
        <f t="shared" si="54"/>
        <v>0</v>
      </c>
      <c r="S302" s="361">
        <f t="shared" si="45"/>
        <v>0</v>
      </c>
    </row>
    <row r="303" spans="1:19">
      <c r="A303" s="159"/>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0.15</v>
      </c>
      <c r="R303" s="714">
        <f t="shared" si="54"/>
        <v>0</v>
      </c>
      <c r="S303" s="361">
        <f t="shared" si="45"/>
        <v>0</v>
      </c>
    </row>
    <row r="304" spans="1:19">
      <c r="A304" s="159"/>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0.15</v>
      </c>
      <c r="R304" s="714">
        <f t="shared" si="54"/>
        <v>0</v>
      </c>
      <c r="S304" s="361">
        <f t="shared" si="45"/>
        <v>0</v>
      </c>
    </row>
    <row r="305" spans="1:19">
      <c r="A305" s="159"/>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0.15</v>
      </c>
      <c r="R305" s="714">
        <f t="shared" si="54"/>
        <v>0</v>
      </c>
      <c r="S305" s="361">
        <f t="shared" si="45"/>
        <v>0</v>
      </c>
    </row>
    <row r="306" spans="1:19">
      <c r="A306" s="159"/>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0.15</v>
      </c>
      <c r="R306" s="714">
        <f t="shared" si="54"/>
        <v>0</v>
      </c>
      <c r="S306" s="361">
        <f t="shared" si="45"/>
        <v>0</v>
      </c>
    </row>
    <row r="307" spans="1:19">
      <c r="A307" s="159"/>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0.15</v>
      </c>
      <c r="R307" s="714">
        <f t="shared" si="54"/>
        <v>0</v>
      </c>
      <c r="S307" s="361">
        <f t="shared" si="45"/>
        <v>0</v>
      </c>
    </row>
    <row r="308" spans="1:19">
      <c r="A308" s="159"/>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0.15</v>
      </c>
      <c r="R308" s="714">
        <f t="shared" si="54"/>
        <v>0</v>
      </c>
      <c r="S308" s="361">
        <f t="shared" si="45"/>
        <v>0</v>
      </c>
    </row>
    <row r="309" spans="1:19">
      <c r="A309" s="159"/>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0.15</v>
      </c>
      <c r="R309" s="714">
        <f t="shared" si="54"/>
        <v>0</v>
      </c>
      <c r="S309" s="361">
        <f t="shared" si="45"/>
        <v>0</v>
      </c>
    </row>
    <row r="310" spans="1:19">
      <c r="A310" s="159"/>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0.15</v>
      </c>
      <c r="R310" s="714">
        <f t="shared" si="54"/>
        <v>0</v>
      </c>
      <c r="S310" s="361">
        <f t="shared" si="45"/>
        <v>0</v>
      </c>
    </row>
    <row r="311" spans="1:19">
      <c r="A311" s="159"/>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0.15</v>
      </c>
      <c r="R311" s="714">
        <f t="shared" si="54"/>
        <v>0</v>
      </c>
      <c r="S311" s="361">
        <f t="shared" si="45"/>
        <v>0</v>
      </c>
    </row>
    <row r="312" spans="1:19">
      <c r="A312" s="159"/>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0.15</v>
      </c>
      <c r="R312" s="714">
        <f t="shared" si="54"/>
        <v>0</v>
      </c>
      <c r="S312" s="361">
        <f t="shared" si="45"/>
        <v>0</v>
      </c>
    </row>
    <row r="313" spans="1:19">
      <c r="A313" s="159"/>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0.15</v>
      </c>
      <c r="R313" s="714">
        <f t="shared" si="54"/>
        <v>0</v>
      </c>
      <c r="S313" s="361">
        <f t="shared" si="45"/>
        <v>0</v>
      </c>
    </row>
    <row r="314" spans="1:19">
      <c r="A314" s="159"/>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0.15</v>
      </c>
      <c r="R314" s="714">
        <f t="shared" si="54"/>
        <v>0</v>
      </c>
      <c r="S314" s="361">
        <f t="shared" si="45"/>
        <v>0</v>
      </c>
    </row>
    <row r="315" spans="1:19">
      <c r="A315" s="159"/>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0.15</v>
      </c>
      <c r="R315" s="714">
        <f t="shared" si="54"/>
        <v>0</v>
      </c>
      <c r="S315" s="361">
        <f t="shared" si="45"/>
        <v>0</v>
      </c>
    </row>
    <row r="316" spans="1:19">
      <c r="A316" s="159"/>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0.15</v>
      </c>
      <c r="R316" s="714">
        <f t="shared" si="54"/>
        <v>0</v>
      </c>
      <c r="S316" s="361">
        <f t="shared" si="45"/>
        <v>0</v>
      </c>
    </row>
    <row r="317" spans="1:19">
      <c r="A317" s="159"/>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0.15</v>
      </c>
      <c r="R317" s="714">
        <f t="shared" si="54"/>
        <v>0</v>
      </c>
      <c r="S317" s="361">
        <f t="shared" si="45"/>
        <v>0</v>
      </c>
    </row>
    <row r="318" spans="1:19">
      <c r="A318" s="159"/>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0.15</v>
      </c>
      <c r="R318" s="714">
        <f t="shared" si="54"/>
        <v>0</v>
      </c>
      <c r="S318" s="361">
        <f t="shared" si="45"/>
        <v>0</v>
      </c>
    </row>
    <row r="319" spans="1:19">
      <c r="A319" s="159"/>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0.15</v>
      </c>
      <c r="R319" s="714">
        <f t="shared" si="54"/>
        <v>0</v>
      </c>
      <c r="S319" s="361">
        <f t="shared" si="45"/>
        <v>0</v>
      </c>
    </row>
    <row r="320" spans="1:19">
      <c r="A320" s="159"/>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0.15</v>
      </c>
      <c r="R320" s="714">
        <f t="shared" si="54"/>
        <v>0</v>
      </c>
      <c r="S320" s="361">
        <f t="shared" si="45"/>
        <v>0</v>
      </c>
    </row>
    <row r="321" spans="1:19">
      <c r="A321" s="159"/>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0.15</v>
      </c>
      <c r="R321" s="714">
        <f t="shared" si="54"/>
        <v>0</v>
      </c>
      <c r="S321" s="361">
        <f t="shared" si="45"/>
        <v>0</v>
      </c>
    </row>
    <row r="322" spans="1:19">
      <c r="A322" s="159"/>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0.15</v>
      </c>
      <c r="R322" s="714">
        <f t="shared" si="54"/>
        <v>0</v>
      </c>
      <c r="S322" s="361">
        <f t="shared" si="45"/>
        <v>0</v>
      </c>
    </row>
    <row r="323" spans="1:19">
      <c r="A323" s="159"/>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0.15</v>
      </c>
      <c r="R323" s="714">
        <f t="shared" si="54"/>
        <v>0</v>
      </c>
      <c r="S323" s="361">
        <f t="shared" si="45"/>
        <v>0</v>
      </c>
    </row>
    <row r="324" spans="1:19">
      <c r="A324" s="159"/>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0.15</v>
      </c>
      <c r="R324" s="714">
        <f t="shared" si="54"/>
        <v>0</v>
      </c>
      <c r="S324" s="361">
        <f t="shared" si="45"/>
        <v>0</v>
      </c>
    </row>
    <row r="325" spans="1:19">
      <c r="A325" s="159"/>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0.15</v>
      </c>
      <c r="R325" s="714">
        <f t="shared" si="54"/>
        <v>0</v>
      </c>
      <c r="S325" s="361">
        <f t="shared" si="45"/>
        <v>0</v>
      </c>
    </row>
    <row r="326" spans="1:19">
      <c r="A326" s="159"/>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0.15</v>
      </c>
      <c r="R326" s="714">
        <f t="shared" si="54"/>
        <v>0</v>
      </c>
      <c r="S326" s="361">
        <f t="shared" si="45"/>
        <v>0</v>
      </c>
    </row>
    <row r="327" spans="1:19">
      <c r="A327" s="159"/>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0.15</v>
      </c>
      <c r="R327" s="714">
        <f t="shared" si="54"/>
        <v>0</v>
      </c>
      <c r="S327" s="361">
        <f t="shared" si="45"/>
        <v>0</v>
      </c>
    </row>
    <row r="328" spans="1:19">
      <c r="A328" s="159"/>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0.15</v>
      </c>
      <c r="R328" s="714">
        <f t="shared" si="54"/>
        <v>0</v>
      </c>
      <c r="S328" s="361">
        <f t="shared" si="45"/>
        <v>0</v>
      </c>
    </row>
    <row r="329" spans="1:19">
      <c r="A329" s="159"/>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0.15</v>
      </c>
      <c r="R329" s="714">
        <f t="shared" si="54"/>
        <v>0</v>
      </c>
      <c r="S329" s="361">
        <f t="shared" si="45"/>
        <v>0</v>
      </c>
    </row>
    <row r="330" spans="1:19">
      <c r="A330" s="159"/>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0.15</v>
      </c>
      <c r="R330" s="714">
        <f t="shared" si="54"/>
        <v>0</v>
      </c>
      <c r="S330" s="361">
        <f t="shared" si="45"/>
        <v>0</v>
      </c>
    </row>
    <row r="331" spans="1:19">
      <c r="A331" s="159"/>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0.15</v>
      </c>
      <c r="R331" s="714">
        <f t="shared" si="54"/>
        <v>0</v>
      </c>
      <c r="S331" s="361">
        <f t="shared" si="45"/>
        <v>0</v>
      </c>
    </row>
    <row r="332" spans="1:19">
      <c r="A332" s="159"/>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0.15</v>
      </c>
      <c r="R332" s="714">
        <f t="shared" si="54"/>
        <v>0</v>
      </c>
      <c r="S332" s="361">
        <f t="shared" si="45"/>
        <v>0</v>
      </c>
    </row>
    <row r="333" spans="1:19">
      <c r="A333" s="159"/>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0.15</v>
      </c>
      <c r="R333" s="714">
        <f t="shared" si="54"/>
        <v>0</v>
      </c>
      <c r="S333" s="361">
        <f t="shared" si="45"/>
        <v>0</v>
      </c>
    </row>
    <row r="334" spans="1:19">
      <c r="A334" s="159"/>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0.15</v>
      </c>
      <c r="R334" s="714">
        <f t="shared" si="54"/>
        <v>0</v>
      </c>
      <c r="S334" s="361">
        <f t="shared" si="45"/>
        <v>0</v>
      </c>
    </row>
    <row r="335" spans="1:19">
      <c r="A335" s="159"/>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0.15</v>
      </c>
      <c r="R335" s="714">
        <f t="shared" si="54"/>
        <v>0</v>
      </c>
      <c r="S335" s="361">
        <f t="shared" si="45"/>
        <v>0</v>
      </c>
    </row>
    <row r="336" spans="1:19">
      <c r="A336" s="159"/>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0.15</v>
      </c>
      <c r="R336" s="714">
        <f t="shared" si="54"/>
        <v>0</v>
      </c>
      <c r="S336" s="361">
        <f t="shared" si="45"/>
        <v>0</v>
      </c>
    </row>
    <row r="337" spans="1:19">
      <c r="A337" s="159"/>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0.15</v>
      </c>
      <c r="R337" s="714">
        <f t="shared" si="54"/>
        <v>0</v>
      </c>
      <c r="S337" s="361">
        <f t="shared" si="45"/>
        <v>0</v>
      </c>
    </row>
    <row r="338" spans="1:19">
      <c r="A338" s="159"/>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0.15</v>
      </c>
      <c r="R338" s="714">
        <f t="shared" si="54"/>
        <v>0</v>
      </c>
      <c r="S338" s="361">
        <f t="shared" si="45"/>
        <v>0</v>
      </c>
    </row>
    <row r="339" spans="1:19">
      <c r="A339" s="159"/>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0.15</v>
      </c>
      <c r="R339" s="714">
        <f t="shared" si="54"/>
        <v>0</v>
      </c>
      <c r="S339" s="361">
        <f t="shared" si="45"/>
        <v>0</v>
      </c>
    </row>
    <row r="340" spans="1:19">
      <c r="A340" s="159"/>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0.15</v>
      </c>
      <c r="R340" s="714">
        <f t="shared" si="54"/>
        <v>0</v>
      </c>
      <c r="S340" s="361">
        <f t="shared" si="45"/>
        <v>0</v>
      </c>
    </row>
    <row r="341" spans="1:19">
      <c r="A341" s="159"/>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0.15</v>
      </c>
      <c r="R341" s="714">
        <f t="shared" si="54"/>
        <v>0</v>
      </c>
      <c r="S341" s="361">
        <f t="shared" si="45"/>
        <v>0</v>
      </c>
    </row>
    <row r="342" spans="1:19">
      <c r="A342" s="159"/>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0.15</v>
      </c>
      <c r="R342" s="714">
        <f t="shared" si="54"/>
        <v>0</v>
      </c>
      <c r="S342" s="361">
        <f t="shared" si="45"/>
        <v>0</v>
      </c>
    </row>
    <row r="343" spans="1:19">
      <c r="A343" s="159"/>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0.15</v>
      </c>
      <c r="R343" s="714">
        <f t="shared" si="54"/>
        <v>0</v>
      </c>
      <c r="S343" s="361">
        <f t="shared" si="45"/>
        <v>0</v>
      </c>
    </row>
    <row r="344" spans="1:19">
      <c r="A344" s="159"/>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0.15</v>
      </c>
      <c r="R344" s="714">
        <f t="shared" si="54"/>
        <v>0</v>
      </c>
      <c r="S344" s="361">
        <f t="shared" ref="S344:S407" si="55">ROUND(R344*B344/10000,0)</f>
        <v>0</v>
      </c>
    </row>
    <row r="345" spans="1:19">
      <c r="A345" s="159"/>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0.15</v>
      </c>
      <c r="R345" s="714">
        <f t="shared" si="54"/>
        <v>0</v>
      </c>
      <c r="S345" s="361">
        <f t="shared" si="55"/>
        <v>0</v>
      </c>
    </row>
    <row r="346" spans="1:19">
      <c r="A346" s="159"/>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0.15</v>
      </c>
      <c r="R346" s="714">
        <f t="shared" ref="R346:R409" si="64">IF(B346="",0,ROUND($R$24*C346*E346*G346*I346*K346*M346*O346*Q346,0))</f>
        <v>0</v>
      </c>
      <c r="S346" s="361">
        <f t="shared" si="55"/>
        <v>0</v>
      </c>
    </row>
    <row r="347" spans="1:19">
      <c r="A347" s="159"/>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0.15</v>
      </c>
      <c r="R347" s="714">
        <f t="shared" si="64"/>
        <v>0</v>
      </c>
      <c r="S347" s="361">
        <f t="shared" si="55"/>
        <v>0</v>
      </c>
    </row>
    <row r="348" spans="1:19">
      <c r="A348" s="159"/>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0.15</v>
      </c>
      <c r="R348" s="714">
        <f t="shared" si="64"/>
        <v>0</v>
      </c>
      <c r="S348" s="361">
        <f t="shared" si="55"/>
        <v>0</v>
      </c>
    </row>
    <row r="349" spans="1:19">
      <c r="A349" s="159"/>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0.15</v>
      </c>
      <c r="R349" s="714">
        <f t="shared" si="64"/>
        <v>0</v>
      </c>
      <c r="S349" s="361">
        <f t="shared" si="55"/>
        <v>0</v>
      </c>
    </row>
    <row r="350" spans="1:19">
      <c r="A350" s="159"/>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0.15</v>
      </c>
      <c r="R350" s="714">
        <f t="shared" si="64"/>
        <v>0</v>
      </c>
      <c r="S350" s="361">
        <f t="shared" si="55"/>
        <v>0</v>
      </c>
    </row>
    <row r="351" spans="1:19">
      <c r="A351" s="159"/>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0.15</v>
      </c>
      <c r="R351" s="714">
        <f t="shared" si="64"/>
        <v>0</v>
      </c>
      <c r="S351" s="361">
        <f t="shared" si="55"/>
        <v>0</v>
      </c>
    </row>
    <row r="352" spans="1:19">
      <c r="A352" s="159"/>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0.15</v>
      </c>
      <c r="R352" s="714">
        <f t="shared" si="64"/>
        <v>0</v>
      </c>
      <c r="S352" s="361">
        <f t="shared" si="55"/>
        <v>0</v>
      </c>
    </row>
    <row r="353" spans="1:19">
      <c r="A353" s="159"/>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0.15</v>
      </c>
      <c r="R353" s="714">
        <f t="shared" si="64"/>
        <v>0</v>
      </c>
      <c r="S353" s="361">
        <f t="shared" si="55"/>
        <v>0</v>
      </c>
    </row>
    <row r="354" spans="1:19">
      <c r="A354" s="159"/>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0.15</v>
      </c>
      <c r="R354" s="714">
        <f t="shared" si="64"/>
        <v>0</v>
      </c>
      <c r="S354" s="361">
        <f t="shared" si="55"/>
        <v>0</v>
      </c>
    </row>
    <row r="355" spans="1:19">
      <c r="A355" s="159"/>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0.15</v>
      </c>
      <c r="R355" s="714">
        <f t="shared" si="64"/>
        <v>0</v>
      </c>
      <c r="S355" s="361">
        <f t="shared" si="55"/>
        <v>0</v>
      </c>
    </row>
    <row r="356" spans="1:19">
      <c r="A356" s="159"/>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0.15</v>
      </c>
      <c r="R356" s="714">
        <f t="shared" si="64"/>
        <v>0</v>
      </c>
      <c r="S356" s="361">
        <f t="shared" si="55"/>
        <v>0</v>
      </c>
    </row>
    <row r="357" spans="1:19">
      <c r="A357" s="159"/>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0.15</v>
      </c>
      <c r="R357" s="714">
        <f t="shared" si="64"/>
        <v>0</v>
      </c>
      <c r="S357" s="361">
        <f t="shared" si="55"/>
        <v>0</v>
      </c>
    </row>
    <row r="358" spans="1:19">
      <c r="A358" s="159"/>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0.15</v>
      </c>
      <c r="R358" s="714">
        <f t="shared" si="64"/>
        <v>0</v>
      </c>
      <c r="S358" s="361">
        <f t="shared" si="55"/>
        <v>0</v>
      </c>
    </row>
    <row r="359" spans="1:19">
      <c r="A359" s="159"/>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0.15</v>
      </c>
      <c r="R359" s="714">
        <f t="shared" si="64"/>
        <v>0</v>
      </c>
      <c r="S359" s="361">
        <f t="shared" si="55"/>
        <v>0</v>
      </c>
    </row>
    <row r="360" spans="1:19">
      <c r="A360" s="159"/>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0.15</v>
      </c>
      <c r="R360" s="714">
        <f t="shared" si="64"/>
        <v>0</v>
      </c>
      <c r="S360" s="361">
        <f t="shared" si="55"/>
        <v>0</v>
      </c>
    </row>
    <row r="361" spans="1:19">
      <c r="A361" s="159"/>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0.15</v>
      </c>
      <c r="R361" s="714">
        <f t="shared" si="64"/>
        <v>0</v>
      </c>
      <c r="S361" s="361">
        <f t="shared" si="55"/>
        <v>0</v>
      </c>
    </row>
    <row r="362" spans="1:19">
      <c r="A362" s="159"/>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0.15</v>
      </c>
      <c r="R362" s="714">
        <f t="shared" si="64"/>
        <v>0</v>
      </c>
      <c r="S362" s="361">
        <f t="shared" si="55"/>
        <v>0</v>
      </c>
    </row>
    <row r="363" spans="1:19">
      <c r="A363" s="159"/>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0.15</v>
      </c>
      <c r="R363" s="714">
        <f t="shared" si="64"/>
        <v>0</v>
      </c>
      <c r="S363" s="361">
        <f t="shared" si="55"/>
        <v>0</v>
      </c>
    </row>
    <row r="364" spans="1:19">
      <c r="A364" s="159"/>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0.15</v>
      </c>
      <c r="R364" s="714">
        <f t="shared" si="64"/>
        <v>0</v>
      </c>
      <c r="S364" s="361">
        <f t="shared" si="55"/>
        <v>0</v>
      </c>
    </row>
    <row r="365" spans="1:19">
      <c r="A365" s="159"/>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0.15</v>
      </c>
      <c r="R365" s="714">
        <f t="shared" si="64"/>
        <v>0</v>
      </c>
      <c r="S365" s="361">
        <f t="shared" si="55"/>
        <v>0</v>
      </c>
    </row>
    <row r="366" spans="1:19">
      <c r="A366" s="159"/>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0.15</v>
      </c>
      <c r="R366" s="714">
        <f t="shared" si="64"/>
        <v>0</v>
      </c>
      <c r="S366" s="361">
        <f t="shared" si="55"/>
        <v>0</v>
      </c>
    </row>
    <row r="367" spans="1:19">
      <c r="A367" s="159"/>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0.15</v>
      </c>
      <c r="R367" s="714">
        <f t="shared" si="64"/>
        <v>0</v>
      </c>
      <c r="S367" s="361">
        <f t="shared" si="55"/>
        <v>0</v>
      </c>
    </row>
    <row r="368" spans="1:19">
      <c r="A368" s="159"/>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0.15</v>
      </c>
      <c r="R368" s="714">
        <f t="shared" si="64"/>
        <v>0</v>
      </c>
      <c r="S368" s="361">
        <f t="shared" si="55"/>
        <v>0</v>
      </c>
    </row>
    <row r="369" spans="1:19">
      <c r="A369" s="159"/>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0.15</v>
      </c>
      <c r="R369" s="714">
        <f t="shared" si="64"/>
        <v>0</v>
      </c>
      <c r="S369" s="361">
        <f t="shared" si="55"/>
        <v>0</v>
      </c>
    </row>
    <row r="370" spans="1:19">
      <c r="A370" s="159"/>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0.15</v>
      </c>
      <c r="R370" s="714">
        <f t="shared" si="64"/>
        <v>0</v>
      </c>
      <c r="S370" s="361">
        <f t="shared" si="55"/>
        <v>0</v>
      </c>
    </row>
    <row r="371" spans="1:19">
      <c r="A371" s="159"/>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0.15</v>
      </c>
      <c r="R371" s="714">
        <f t="shared" si="64"/>
        <v>0</v>
      </c>
      <c r="S371" s="361">
        <f t="shared" si="55"/>
        <v>0</v>
      </c>
    </row>
    <row r="372" spans="1:19">
      <c r="A372" s="159"/>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0.15</v>
      </c>
      <c r="R372" s="714">
        <f t="shared" si="64"/>
        <v>0</v>
      </c>
      <c r="S372" s="361">
        <f t="shared" si="55"/>
        <v>0</v>
      </c>
    </row>
    <row r="373" spans="1:19">
      <c r="A373" s="159"/>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0.15</v>
      </c>
      <c r="R373" s="714">
        <f t="shared" si="64"/>
        <v>0</v>
      </c>
      <c r="S373" s="361">
        <f t="shared" si="55"/>
        <v>0</v>
      </c>
    </row>
    <row r="374" spans="1:19">
      <c r="A374" s="159"/>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0.15</v>
      </c>
      <c r="R374" s="714">
        <f t="shared" si="64"/>
        <v>0</v>
      </c>
      <c r="S374" s="361">
        <f t="shared" si="55"/>
        <v>0</v>
      </c>
    </row>
    <row r="375" spans="1:19">
      <c r="A375" s="159"/>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0.15</v>
      </c>
      <c r="R375" s="714">
        <f t="shared" si="64"/>
        <v>0</v>
      </c>
      <c r="S375" s="361">
        <f t="shared" si="55"/>
        <v>0</v>
      </c>
    </row>
    <row r="376" spans="1:19">
      <c r="A376" s="159"/>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0.15</v>
      </c>
      <c r="R376" s="714">
        <f t="shared" si="64"/>
        <v>0</v>
      </c>
      <c r="S376" s="361">
        <f t="shared" si="55"/>
        <v>0</v>
      </c>
    </row>
    <row r="377" spans="1:19">
      <c r="A377" s="159"/>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0.15</v>
      </c>
      <c r="R377" s="714">
        <f t="shared" si="64"/>
        <v>0</v>
      </c>
      <c r="S377" s="361">
        <f t="shared" si="55"/>
        <v>0</v>
      </c>
    </row>
    <row r="378" spans="1:19">
      <c r="A378" s="159"/>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0.15</v>
      </c>
      <c r="R378" s="714">
        <f t="shared" si="64"/>
        <v>0</v>
      </c>
      <c r="S378" s="361">
        <f t="shared" si="55"/>
        <v>0</v>
      </c>
    </row>
    <row r="379" spans="1:19">
      <c r="A379" s="159"/>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0.15</v>
      </c>
      <c r="R379" s="714">
        <f t="shared" si="64"/>
        <v>0</v>
      </c>
      <c r="S379" s="361">
        <f t="shared" si="55"/>
        <v>0</v>
      </c>
    </row>
    <row r="380" spans="1:19">
      <c r="A380" s="159"/>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0.15</v>
      </c>
      <c r="R380" s="714">
        <f t="shared" si="64"/>
        <v>0</v>
      </c>
      <c r="S380" s="361">
        <f t="shared" si="55"/>
        <v>0</v>
      </c>
    </row>
    <row r="381" spans="1:19">
      <c r="A381" s="159"/>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0.15</v>
      </c>
      <c r="R381" s="714">
        <f t="shared" si="64"/>
        <v>0</v>
      </c>
      <c r="S381" s="361">
        <f t="shared" si="55"/>
        <v>0</v>
      </c>
    </row>
    <row r="382" spans="1:19">
      <c r="A382" s="159"/>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0.15</v>
      </c>
      <c r="R382" s="714">
        <f t="shared" si="64"/>
        <v>0</v>
      </c>
      <c r="S382" s="361">
        <f t="shared" si="55"/>
        <v>0</v>
      </c>
    </row>
    <row r="383" spans="1:19">
      <c r="A383" s="159"/>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0.15</v>
      </c>
      <c r="R383" s="714">
        <f t="shared" si="64"/>
        <v>0</v>
      </c>
      <c r="S383" s="361">
        <f t="shared" si="55"/>
        <v>0</v>
      </c>
    </row>
    <row r="384" spans="1:19">
      <c r="A384" s="159"/>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0.15</v>
      </c>
      <c r="R384" s="714">
        <f t="shared" si="64"/>
        <v>0</v>
      </c>
      <c r="S384" s="361">
        <f t="shared" si="55"/>
        <v>0</v>
      </c>
    </row>
    <row r="385" spans="1:19">
      <c r="A385" s="159"/>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0.15</v>
      </c>
      <c r="R385" s="714">
        <f t="shared" si="64"/>
        <v>0</v>
      </c>
      <c r="S385" s="361">
        <f t="shared" si="55"/>
        <v>0</v>
      </c>
    </row>
    <row r="386" spans="1:19">
      <c r="A386" s="159"/>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0.15</v>
      </c>
      <c r="R386" s="714">
        <f t="shared" si="64"/>
        <v>0</v>
      </c>
      <c r="S386" s="361">
        <f t="shared" si="55"/>
        <v>0</v>
      </c>
    </row>
    <row r="387" spans="1:19">
      <c r="A387" s="159"/>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0.15</v>
      </c>
      <c r="R387" s="714">
        <f t="shared" si="64"/>
        <v>0</v>
      </c>
      <c r="S387" s="361">
        <f t="shared" si="55"/>
        <v>0</v>
      </c>
    </row>
    <row r="388" spans="1:19">
      <c r="A388" s="159"/>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0.15</v>
      </c>
      <c r="R388" s="714">
        <f t="shared" si="64"/>
        <v>0</v>
      </c>
      <c r="S388" s="361">
        <f t="shared" si="55"/>
        <v>0</v>
      </c>
    </row>
    <row r="389" spans="1:19">
      <c r="A389" s="159"/>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0.15</v>
      </c>
      <c r="R389" s="714">
        <f t="shared" si="64"/>
        <v>0</v>
      </c>
      <c r="S389" s="361">
        <f t="shared" si="55"/>
        <v>0</v>
      </c>
    </row>
    <row r="390" spans="1:19">
      <c r="A390" s="159"/>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0.15</v>
      </c>
      <c r="R390" s="714">
        <f t="shared" si="64"/>
        <v>0</v>
      </c>
      <c r="S390" s="361">
        <f t="shared" si="55"/>
        <v>0</v>
      </c>
    </row>
    <row r="391" spans="1:19">
      <c r="A391" s="159"/>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0.15</v>
      </c>
      <c r="R391" s="714">
        <f t="shared" si="64"/>
        <v>0</v>
      </c>
      <c r="S391" s="361">
        <f t="shared" si="55"/>
        <v>0</v>
      </c>
    </row>
    <row r="392" spans="1:19">
      <c r="A392" s="159"/>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0.15</v>
      </c>
      <c r="R392" s="714">
        <f t="shared" si="64"/>
        <v>0</v>
      </c>
      <c r="S392" s="361">
        <f t="shared" si="55"/>
        <v>0</v>
      </c>
    </row>
    <row r="393" spans="1:19">
      <c r="A393" s="159"/>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0.15</v>
      </c>
      <c r="R393" s="714">
        <f t="shared" si="64"/>
        <v>0</v>
      </c>
      <c r="S393" s="361">
        <f t="shared" si="55"/>
        <v>0</v>
      </c>
    </row>
    <row r="394" spans="1:19">
      <c r="A394" s="159"/>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0.15</v>
      </c>
      <c r="R394" s="714">
        <f t="shared" si="64"/>
        <v>0</v>
      </c>
      <c r="S394" s="361">
        <f t="shared" si="55"/>
        <v>0</v>
      </c>
    </row>
    <row r="395" spans="1:19">
      <c r="A395" s="159"/>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0.15</v>
      </c>
      <c r="R395" s="714">
        <f t="shared" si="64"/>
        <v>0</v>
      </c>
      <c r="S395" s="361">
        <f t="shared" si="55"/>
        <v>0</v>
      </c>
    </row>
    <row r="396" spans="1:19">
      <c r="A396" s="159"/>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0.15</v>
      </c>
      <c r="R396" s="714">
        <f t="shared" si="64"/>
        <v>0</v>
      </c>
      <c r="S396" s="361">
        <f t="shared" si="55"/>
        <v>0</v>
      </c>
    </row>
    <row r="397" spans="1:19">
      <c r="A397" s="159"/>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0.15</v>
      </c>
      <c r="R397" s="714">
        <f t="shared" si="64"/>
        <v>0</v>
      </c>
      <c r="S397" s="361">
        <f t="shared" si="55"/>
        <v>0</v>
      </c>
    </row>
    <row r="398" spans="1:19">
      <c r="A398" s="159"/>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0.15</v>
      </c>
      <c r="R398" s="714">
        <f t="shared" si="64"/>
        <v>0</v>
      </c>
      <c r="S398" s="361">
        <f t="shared" si="55"/>
        <v>0</v>
      </c>
    </row>
    <row r="399" spans="1:19">
      <c r="A399" s="159"/>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0.15</v>
      </c>
      <c r="R399" s="714">
        <f t="shared" si="64"/>
        <v>0</v>
      </c>
      <c r="S399" s="361">
        <f t="shared" si="55"/>
        <v>0</v>
      </c>
    </row>
    <row r="400" spans="1:19">
      <c r="A400" s="159"/>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0.15</v>
      </c>
      <c r="R400" s="714">
        <f t="shared" si="64"/>
        <v>0</v>
      </c>
      <c r="S400" s="361">
        <f t="shared" si="55"/>
        <v>0</v>
      </c>
    </row>
    <row r="401" spans="1:19">
      <c r="A401" s="159"/>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0.15</v>
      </c>
      <c r="R401" s="714">
        <f t="shared" si="64"/>
        <v>0</v>
      </c>
      <c r="S401" s="361">
        <f t="shared" si="55"/>
        <v>0</v>
      </c>
    </row>
    <row r="402" spans="1:19">
      <c r="A402" s="159"/>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0.15</v>
      </c>
      <c r="R402" s="714">
        <f t="shared" si="64"/>
        <v>0</v>
      </c>
      <c r="S402" s="361">
        <f t="shared" si="55"/>
        <v>0</v>
      </c>
    </row>
    <row r="403" spans="1:19">
      <c r="A403" s="159"/>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0.15</v>
      </c>
      <c r="R403" s="714">
        <f t="shared" si="64"/>
        <v>0</v>
      </c>
      <c r="S403" s="361">
        <f t="shared" si="55"/>
        <v>0</v>
      </c>
    </row>
    <row r="404" spans="1:19">
      <c r="A404" s="159"/>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0.15</v>
      </c>
      <c r="R404" s="714">
        <f t="shared" si="64"/>
        <v>0</v>
      </c>
      <c r="S404" s="361">
        <f t="shared" si="55"/>
        <v>0</v>
      </c>
    </row>
    <row r="405" spans="1:19">
      <c r="A405" s="159"/>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0.15</v>
      </c>
      <c r="R405" s="714">
        <f t="shared" si="64"/>
        <v>0</v>
      </c>
      <c r="S405" s="361">
        <f t="shared" si="55"/>
        <v>0</v>
      </c>
    </row>
    <row r="406" spans="1:19">
      <c r="A406" s="159"/>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0.15</v>
      </c>
      <c r="R406" s="714">
        <f t="shared" si="64"/>
        <v>0</v>
      </c>
      <c r="S406" s="361">
        <f t="shared" si="55"/>
        <v>0</v>
      </c>
    </row>
    <row r="407" spans="1:19">
      <c r="A407" s="159"/>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0.15</v>
      </c>
      <c r="R407" s="714">
        <f t="shared" si="64"/>
        <v>0</v>
      </c>
      <c r="S407" s="361">
        <f t="shared" si="55"/>
        <v>0</v>
      </c>
    </row>
    <row r="408" spans="1:19">
      <c r="A408" s="159"/>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0.15</v>
      </c>
      <c r="R408" s="714">
        <f t="shared" si="64"/>
        <v>0</v>
      </c>
      <c r="S408" s="361">
        <f t="shared" ref="S408:S471" si="65">ROUND(R408*B408/10000,0)</f>
        <v>0</v>
      </c>
    </row>
    <row r="409" spans="1:19">
      <c r="A409" s="159"/>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0.15</v>
      </c>
      <c r="R409" s="714">
        <f t="shared" si="64"/>
        <v>0</v>
      </c>
      <c r="S409" s="361">
        <f t="shared" si="65"/>
        <v>0</v>
      </c>
    </row>
    <row r="410" spans="1:19">
      <c r="A410" s="159"/>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0.15</v>
      </c>
      <c r="R410" s="714">
        <f t="shared" ref="R410:R473" si="74">IF(B410="",0,ROUND($R$24*C410*E410*G410*I410*K410*M410*O410*Q410,0))</f>
        <v>0</v>
      </c>
      <c r="S410" s="361">
        <f t="shared" si="65"/>
        <v>0</v>
      </c>
    </row>
    <row r="411" spans="1:19">
      <c r="A411" s="159"/>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0.15</v>
      </c>
      <c r="R411" s="714">
        <f t="shared" si="74"/>
        <v>0</v>
      </c>
      <c r="S411" s="361">
        <f t="shared" si="65"/>
        <v>0</v>
      </c>
    </row>
    <row r="412" spans="1:19">
      <c r="A412" s="159"/>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0.15</v>
      </c>
      <c r="R412" s="714">
        <f t="shared" si="74"/>
        <v>0</v>
      </c>
      <c r="S412" s="361">
        <f t="shared" si="65"/>
        <v>0</v>
      </c>
    </row>
    <row r="413" spans="1:19">
      <c r="A413" s="159"/>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0.15</v>
      </c>
      <c r="R413" s="714">
        <f t="shared" si="74"/>
        <v>0</v>
      </c>
      <c r="S413" s="361">
        <f t="shared" si="65"/>
        <v>0</v>
      </c>
    </row>
    <row r="414" spans="1:19">
      <c r="A414" s="159"/>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0.15</v>
      </c>
      <c r="R414" s="714">
        <f t="shared" si="74"/>
        <v>0</v>
      </c>
      <c r="S414" s="361">
        <f t="shared" si="65"/>
        <v>0</v>
      </c>
    </row>
    <row r="415" spans="1:19">
      <c r="A415" s="159"/>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0.15</v>
      </c>
      <c r="R415" s="714">
        <f t="shared" si="74"/>
        <v>0</v>
      </c>
      <c r="S415" s="361">
        <f t="shared" si="65"/>
        <v>0</v>
      </c>
    </row>
    <row r="416" spans="1:19">
      <c r="A416" s="159"/>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0.15</v>
      </c>
      <c r="R416" s="714">
        <f t="shared" si="74"/>
        <v>0</v>
      </c>
      <c r="S416" s="361">
        <f t="shared" si="65"/>
        <v>0</v>
      </c>
    </row>
    <row r="417" spans="1:19">
      <c r="A417" s="159"/>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0.15</v>
      </c>
      <c r="R417" s="714">
        <f t="shared" si="74"/>
        <v>0</v>
      </c>
      <c r="S417" s="361">
        <f t="shared" si="65"/>
        <v>0</v>
      </c>
    </row>
    <row r="418" spans="1:19">
      <c r="A418" s="159"/>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0.15</v>
      </c>
      <c r="R418" s="714">
        <f t="shared" si="74"/>
        <v>0</v>
      </c>
      <c r="S418" s="361">
        <f t="shared" si="65"/>
        <v>0</v>
      </c>
    </row>
    <row r="419" spans="1:19">
      <c r="A419" s="159"/>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0.15</v>
      </c>
      <c r="R419" s="714">
        <f t="shared" si="74"/>
        <v>0</v>
      </c>
      <c r="S419" s="361">
        <f t="shared" si="65"/>
        <v>0</v>
      </c>
    </row>
    <row r="420" spans="1:19">
      <c r="A420" s="159"/>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0.15</v>
      </c>
      <c r="R420" s="714">
        <f t="shared" si="74"/>
        <v>0</v>
      </c>
      <c r="S420" s="361">
        <f t="shared" si="65"/>
        <v>0</v>
      </c>
    </row>
    <row r="421" spans="1:19">
      <c r="A421" s="159"/>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0.15</v>
      </c>
      <c r="R421" s="714">
        <f t="shared" si="74"/>
        <v>0</v>
      </c>
      <c r="S421" s="361">
        <f t="shared" si="65"/>
        <v>0</v>
      </c>
    </row>
    <row r="422" spans="1:19">
      <c r="A422" s="159"/>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0.15</v>
      </c>
      <c r="R422" s="714">
        <f t="shared" si="74"/>
        <v>0</v>
      </c>
      <c r="S422" s="361">
        <f t="shared" si="65"/>
        <v>0</v>
      </c>
    </row>
    <row r="423" spans="1:19">
      <c r="A423" s="159"/>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0.15</v>
      </c>
      <c r="R423" s="714">
        <f t="shared" si="74"/>
        <v>0</v>
      </c>
      <c r="S423" s="361">
        <f t="shared" si="65"/>
        <v>0</v>
      </c>
    </row>
    <row r="424" spans="1:19">
      <c r="A424" s="159"/>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0.15</v>
      </c>
      <c r="R424" s="714">
        <f t="shared" si="74"/>
        <v>0</v>
      </c>
      <c r="S424" s="361">
        <f t="shared" si="65"/>
        <v>0</v>
      </c>
    </row>
    <row r="425" spans="1:19">
      <c r="A425" s="159"/>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0.15</v>
      </c>
      <c r="R425" s="714">
        <f t="shared" si="74"/>
        <v>0</v>
      </c>
      <c r="S425" s="361">
        <f t="shared" si="65"/>
        <v>0</v>
      </c>
    </row>
    <row r="426" spans="1:19">
      <c r="A426" s="159"/>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0.15</v>
      </c>
      <c r="R426" s="714">
        <f t="shared" si="74"/>
        <v>0</v>
      </c>
      <c r="S426" s="361">
        <f t="shared" si="65"/>
        <v>0</v>
      </c>
    </row>
    <row r="427" spans="1:19">
      <c r="A427" s="159"/>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0.15</v>
      </c>
      <c r="R427" s="714">
        <f t="shared" si="74"/>
        <v>0</v>
      </c>
      <c r="S427" s="361">
        <f t="shared" si="65"/>
        <v>0</v>
      </c>
    </row>
    <row r="428" spans="1:19">
      <c r="A428" s="159"/>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0.15</v>
      </c>
      <c r="R428" s="714">
        <f t="shared" si="74"/>
        <v>0</v>
      </c>
      <c r="S428" s="361">
        <f t="shared" si="65"/>
        <v>0</v>
      </c>
    </row>
    <row r="429" spans="1:19">
      <c r="A429" s="159"/>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0.15</v>
      </c>
      <c r="R429" s="714">
        <f t="shared" si="74"/>
        <v>0</v>
      </c>
      <c r="S429" s="361">
        <f t="shared" si="65"/>
        <v>0</v>
      </c>
    </row>
    <row r="430" spans="1:19">
      <c r="A430" s="159"/>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0.15</v>
      </c>
      <c r="R430" s="714">
        <f t="shared" si="74"/>
        <v>0</v>
      </c>
      <c r="S430" s="361">
        <f t="shared" si="65"/>
        <v>0</v>
      </c>
    </row>
    <row r="431" spans="1:19">
      <c r="A431" s="159"/>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0.15</v>
      </c>
      <c r="R431" s="714">
        <f t="shared" si="74"/>
        <v>0</v>
      </c>
      <c r="S431" s="361">
        <f t="shared" si="65"/>
        <v>0</v>
      </c>
    </row>
    <row r="432" spans="1:19">
      <c r="A432" s="159"/>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0.15</v>
      </c>
      <c r="R432" s="714">
        <f t="shared" si="74"/>
        <v>0</v>
      </c>
      <c r="S432" s="361">
        <f t="shared" si="65"/>
        <v>0</v>
      </c>
    </row>
    <row r="433" spans="1:19">
      <c r="A433" s="159"/>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0.15</v>
      </c>
      <c r="R433" s="714">
        <f t="shared" si="74"/>
        <v>0</v>
      </c>
      <c r="S433" s="361">
        <f t="shared" si="65"/>
        <v>0</v>
      </c>
    </row>
    <row r="434" spans="1:19">
      <c r="A434" s="159"/>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0.15</v>
      </c>
      <c r="R434" s="714">
        <f t="shared" si="74"/>
        <v>0</v>
      </c>
      <c r="S434" s="361">
        <f t="shared" si="65"/>
        <v>0</v>
      </c>
    </row>
    <row r="435" spans="1:19">
      <c r="A435" s="159"/>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0.15</v>
      </c>
      <c r="R435" s="714">
        <f t="shared" si="74"/>
        <v>0</v>
      </c>
      <c r="S435" s="361">
        <f t="shared" si="65"/>
        <v>0</v>
      </c>
    </row>
    <row r="436" spans="1:19">
      <c r="A436" s="159"/>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0.15</v>
      </c>
      <c r="R436" s="714">
        <f t="shared" si="74"/>
        <v>0</v>
      </c>
      <c r="S436" s="361">
        <f t="shared" si="65"/>
        <v>0</v>
      </c>
    </row>
    <row r="437" spans="1:19">
      <c r="A437" s="159"/>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0.15</v>
      </c>
      <c r="R437" s="714">
        <f t="shared" si="74"/>
        <v>0</v>
      </c>
      <c r="S437" s="361">
        <f t="shared" si="65"/>
        <v>0</v>
      </c>
    </row>
    <row r="438" spans="1:19">
      <c r="A438" s="159"/>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0.15</v>
      </c>
      <c r="R438" s="714">
        <f t="shared" si="74"/>
        <v>0</v>
      </c>
      <c r="S438" s="361">
        <f t="shared" si="65"/>
        <v>0</v>
      </c>
    </row>
    <row r="439" spans="1:19">
      <c r="A439" s="159"/>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0.15</v>
      </c>
      <c r="R439" s="714">
        <f t="shared" si="74"/>
        <v>0</v>
      </c>
      <c r="S439" s="361">
        <f t="shared" si="65"/>
        <v>0</v>
      </c>
    </row>
    <row r="440" spans="1:19">
      <c r="A440" s="159"/>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0.15</v>
      </c>
      <c r="R440" s="714">
        <f t="shared" si="74"/>
        <v>0</v>
      </c>
      <c r="S440" s="361">
        <f t="shared" si="65"/>
        <v>0</v>
      </c>
    </row>
    <row r="441" spans="1:19">
      <c r="A441" s="159"/>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0.15</v>
      </c>
      <c r="R441" s="714">
        <f t="shared" si="74"/>
        <v>0</v>
      </c>
      <c r="S441" s="361">
        <f t="shared" si="65"/>
        <v>0</v>
      </c>
    </row>
    <row r="442" spans="1:19">
      <c r="A442" s="159"/>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0.15</v>
      </c>
      <c r="R442" s="714">
        <f t="shared" si="74"/>
        <v>0</v>
      </c>
      <c r="S442" s="361">
        <f t="shared" si="65"/>
        <v>0</v>
      </c>
    </row>
    <row r="443" spans="1:19">
      <c r="A443" s="159"/>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0.15</v>
      </c>
      <c r="R443" s="714">
        <f t="shared" si="74"/>
        <v>0</v>
      </c>
      <c r="S443" s="361">
        <f t="shared" si="65"/>
        <v>0</v>
      </c>
    </row>
    <row r="444" spans="1:19">
      <c r="A444" s="159"/>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0.15</v>
      </c>
      <c r="R444" s="714">
        <f t="shared" si="74"/>
        <v>0</v>
      </c>
      <c r="S444" s="361">
        <f t="shared" si="65"/>
        <v>0</v>
      </c>
    </row>
    <row r="445" spans="1:19">
      <c r="A445" s="159"/>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0.15</v>
      </c>
      <c r="R445" s="714">
        <f t="shared" si="74"/>
        <v>0</v>
      </c>
      <c r="S445" s="361">
        <f t="shared" si="65"/>
        <v>0</v>
      </c>
    </row>
    <row r="446" spans="1:19">
      <c r="A446" s="159"/>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0.15</v>
      </c>
      <c r="R446" s="714">
        <f t="shared" si="74"/>
        <v>0</v>
      </c>
      <c r="S446" s="361">
        <f t="shared" si="65"/>
        <v>0</v>
      </c>
    </row>
    <row r="447" spans="1:19">
      <c r="A447" s="159"/>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0.15</v>
      </c>
      <c r="R447" s="714">
        <f t="shared" si="74"/>
        <v>0</v>
      </c>
      <c r="S447" s="361">
        <f t="shared" si="65"/>
        <v>0</v>
      </c>
    </row>
    <row r="448" spans="1:19">
      <c r="A448" s="159"/>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0.15</v>
      </c>
      <c r="R448" s="714">
        <f t="shared" si="74"/>
        <v>0</v>
      </c>
      <c r="S448" s="361">
        <f t="shared" si="65"/>
        <v>0</v>
      </c>
    </row>
    <row r="449" spans="1:19">
      <c r="A449" s="159"/>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0.15</v>
      </c>
      <c r="R449" s="714">
        <f t="shared" si="74"/>
        <v>0</v>
      </c>
      <c r="S449" s="361">
        <f t="shared" si="65"/>
        <v>0</v>
      </c>
    </row>
    <row r="450" spans="1:19">
      <c r="A450" s="159"/>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0.15</v>
      </c>
      <c r="R450" s="714">
        <f t="shared" si="74"/>
        <v>0</v>
      </c>
      <c r="S450" s="361">
        <f t="shared" si="65"/>
        <v>0</v>
      </c>
    </row>
    <row r="451" spans="1:19">
      <c r="A451" s="159"/>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0.15</v>
      </c>
      <c r="R451" s="714">
        <f t="shared" si="74"/>
        <v>0</v>
      </c>
      <c r="S451" s="361">
        <f t="shared" si="65"/>
        <v>0</v>
      </c>
    </row>
    <row r="452" spans="1:19">
      <c r="A452" s="159"/>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0.15</v>
      </c>
      <c r="R452" s="714">
        <f t="shared" si="74"/>
        <v>0</v>
      </c>
      <c r="S452" s="361">
        <f t="shared" si="65"/>
        <v>0</v>
      </c>
    </row>
    <row r="453" spans="1:19">
      <c r="A453" s="159"/>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0.15</v>
      </c>
      <c r="R453" s="714">
        <f t="shared" si="74"/>
        <v>0</v>
      </c>
      <c r="S453" s="361">
        <f t="shared" si="65"/>
        <v>0</v>
      </c>
    </row>
    <row r="454" spans="1:19">
      <c r="A454" s="159"/>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0.15</v>
      </c>
      <c r="R454" s="714">
        <f t="shared" si="74"/>
        <v>0</v>
      </c>
      <c r="S454" s="361">
        <f t="shared" si="65"/>
        <v>0</v>
      </c>
    </row>
    <row r="455" spans="1:19">
      <c r="A455" s="159"/>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0.15</v>
      </c>
      <c r="R455" s="714">
        <f t="shared" si="74"/>
        <v>0</v>
      </c>
      <c r="S455" s="361">
        <f t="shared" si="65"/>
        <v>0</v>
      </c>
    </row>
    <row r="456" spans="1:19">
      <c r="A456" s="159"/>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0.15</v>
      </c>
      <c r="R456" s="714">
        <f t="shared" si="74"/>
        <v>0</v>
      </c>
      <c r="S456" s="361">
        <f t="shared" si="65"/>
        <v>0</v>
      </c>
    </row>
    <row r="457" spans="1:19">
      <c r="A457" s="159"/>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0.15</v>
      </c>
      <c r="R457" s="714">
        <f t="shared" si="74"/>
        <v>0</v>
      </c>
      <c r="S457" s="361">
        <f t="shared" si="65"/>
        <v>0</v>
      </c>
    </row>
    <row r="458" spans="1:19">
      <c r="A458" s="159"/>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0.15</v>
      </c>
      <c r="R458" s="714">
        <f t="shared" si="74"/>
        <v>0</v>
      </c>
      <c r="S458" s="361">
        <f t="shared" si="65"/>
        <v>0</v>
      </c>
    </row>
    <row r="459" spans="1:19">
      <c r="A459" s="159"/>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0.15</v>
      </c>
      <c r="R459" s="714">
        <f t="shared" si="74"/>
        <v>0</v>
      </c>
      <c r="S459" s="361">
        <f t="shared" si="65"/>
        <v>0</v>
      </c>
    </row>
    <row r="460" spans="1:19">
      <c r="A460" s="159"/>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0.15</v>
      </c>
      <c r="R460" s="714">
        <f t="shared" si="74"/>
        <v>0</v>
      </c>
      <c r="S460" s="361">
        <f t="shared" si="65"/>
        <v>0</v>
      </c>
    </row>
    <row r="461" spans="1:19">
      <c r="A461" s="159"/>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0.15</v>
      </c>
      <c r="R461" s="714">
        <f t="shared" si="74"/>
        <v>0</v>
      </c>
      <c r="S461" s="361">
        <f t="shared" si="65"/>
        <v>0</v>
      </c>
    </row>
    <row r="462" spans="1:19">
      <c r="A462" s="159"/>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0.15</v>
      </c>
      <c r="R462" s="714">
        <f t="shared" si="74"/>
        <v>0</v>
      </c>
      <c r="S462" s="361">
        <f t="shared" si="65"/>
        <v>0</v>
      </c>
    </row>
    <row r="463" spans="1:19">
      <c r="A463" s="159"/>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0.15</v>
      </c>
      <c r="R463" s="714">
        <f t="shared" si="74"/>
        <v>0</v>
      </c>
      <c r="S463" s="361">
        <f t="shared" si="65"/>
        <v>0</v>
      </c>
    </row>
    <row r="464" spans="1:19">
      <c r="A464" s="159"/>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0.15</v>
      </c>
      <c r="R464" s="714">
        <f t="shared" si="74"/>
        <v>0</v>
      </c>
      <c r="S464" s="361">
        <f t="shared" si="65"/>
        <v>0</v>
      </c>
    </row>
    <row r="465" spans="1:19">
      <c r="A465" s="159"/>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0.15</v>
      </c>
      <c r="R465" s="714">
        <f t="shared" si="74"/>
        <v>0</v>
      </c>
      <c r="S465" s="361">
        <f t="shared" si="65"/>
        <v>0</v>
      </c>
    </row>
    <row r="466" spans="1:19">
      <c r="A466" s="159"/>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0.15</v>
      </c>
      <c r="R466" s="714">
        <f t="shared" si="74"/>
        <v>0</v>
      </c>
      <c r="S466" s="361">
        <f t="shared" si="65"/>
        <v>0</v>
      </c>
    </row>
    <row r="467" spans="1:19">
      <c r="A467" s="159"/>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0.15</v>
      </c>
      <c r="R467" s="714">
        <f t="shared" si="74"/>
        <v>0</v>
      </c>
      <c r="S467" s="361">
        <f t="shared" si="65"/>
        <v>0</v>
      </c>
    </row>
    <row r="468" spans="1:19">
      <c r="A468" s="159"/>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0.15</v>
      </c>
      <c r="R468" s="714">
        <f t="shared" si="74"/>
        <v>0</v>
      </c>
      <c r="S468" s="361">
        <f t="shared" si="65"/>
        <v>0</v>
      </c>
    </row>
    <row r="469" spans="1:19">
      <c r="A469" s="159"/>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0.15</v>
      </c>
      <c r="R469" s="714">
        <f t="shared" si="74"/>
        <v>0</v>
      </c>
      <c r="S469" s="361">
        <f t="shared" si="65"/>
        <v>0</v>
      </c>
    </row>
    <row r="470" spans="1:19">
      <c r="A470" s="159"/>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0.15</v>
      </c>
      <c r="R470" s="714">
        <f t="shared" si="74"/>
        <v>0</v>
      </c>
      <c r="S470" s="361">
        <f t="shared" si="65"/>
        <v>0</v>
      </c>
    </row>
    <row r="471" spans="1:19">
      <c r="A471" s="159"/>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0.15</v>
      </c>
      <c r="R471" s="714">
        <f t="shared" si="74"/>
        <v>0</v>
      </c>
      <c r="S471" s="361">
        <f t="shared" si="65"/>
        <v>0</v>
      </c>
    </row>
    <row r="472" spans="1:19">
      <c r="A472" s="159"/>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0.15</v>
      </c>
      <c r="R472" s="714">
        <f t="shared" si="74"/>
        <v>0</v>
      </c>
      <c r="S472" s="361">
        <f t="shared" ref="S472:S524" si="75">ROUND(R472*B472/10000,0)</f>
        <v>0</v>
      </c>
    </row>
    <row r="473" spans="1:19">
      <c r="A473" s="159"/>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0.15</v>
      </c>
      <c r="R473" s="714">
        <f t="shared" si="74"/>
        <v>0</v>
      </c>
      <c r="S473" s="361">
        <f t="shared" si="75"/>
        <v>0</v>
      </c>
    </row>
    <row r="474" spans="1:19">
      <c r="A474" s="159"/>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0.15</v>
      </c>
      <c r="R474" s="714">
        <f t="shared" ref="R474:R524" si="84">IF(B474="",0,ROUND($R$24*C474*E474*G474*I474*K474*M474*O474*Q474,0))</f>
        <v>0</v>
      </c>
      <c r="S474" s="361">
        <f t="shared" si="75"/>
        <v>0</v>
      </c>
    </row>
    <row r="475" spans="1:19">
      <c r="A475" s="159"/>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0.15</v>
      </c>
      <c r="R475" s="714">
        <f t="shared" si="84"/>
        <v>0</v>
      </c>
      <c r="S475" s="361">
        <f t="shared" si="75"/>
        <v>0</v>
      </c>
    </row>
    <row r="476" spans="1:19">
      <c r="A476" s="159"/>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0.15</v>
      </c>
      <c r="R476" s="714">
        <f t="shared" si="84"/>
        <v>0</v>
      </c>
      <c r="S476" s="361">
        <f t="shared" si="75"/>
        <v>0</v>
      </c>
    </row>
    <row r="477" spans="1:19">
      <c r="A477" s="159"/>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0.15</v>
      </c>
      <c r="R477" s="714">
        <f t="shared" si="84"/>
        <v>0</v>
      </c>
      <c r="S477" s="361">
        <f t="shared" si="75"/>
        <v>0</v>
      </c>
    </row>
    <row r="478" spans="1:19">
      <c r="A478" s="159"/>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0.15</v>
      </c>
      <c r="R478" s="714">
        <f t="shared" si="84"/>
        <v>0</v>
      </c>
      <c r="S478" s="361">
        <f t="shared" si="75"/>
        <v>0</v>
      </c>
    </row>
    <row r="479" spans="1:19">
      <c r="A479" s="159"/>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0.15</v>
      </c>
      <c r="R479" s="714">
        <f t="shared" si="84"/>
        <v>0</v>
      </c>
      <c r="S479" s="361">
        <f t="shared" si="75"/>
        <v>0</v>
      </c>
    </row>
    <row r="480" spans="1:19">
      <c r="A480" s="159"/>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0.15</v>
      </c>
      <c r="R480" s="714">
        <f t="shared" si="84"/>
        <v>0</v>
      </c>
      <c r="S480" s="361">
        <f t="shared" si="75"/>
        <v>0</v>
      </c>
    </row>
    <row r="481" spans="1:19">
      <c r="A481" s="159"/>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0.15</v>
      </c>
      <c r="R481" s="714">
        <f t="shared" si="84"/>
        <v>0</v>
      </c>
      <c r="S481" s="361">
        <f t="shared" si="75"/>
        <v>0</v>
      </c>
    </row>
    <row r="482" spans="1:19">
      <c r="A482" s="159"/>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0.15</v>
      </c>
      <c r="R482" s="714">
        <f t="shared" si="84"/>
        <v>0</v>
      </c>
      <c r="S482" s="361">
        <f t="shared" si="75"/>
        <v>0</v>
      </c>
    </row>
    <row r="483" spans="1:19">
      <c r="A483" s="159"/>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0.15</v>
      </c>
      <c r="R483" s="714">
        <f t="shared" si="84"/>
        <v>0</v>
      </c>
      <c r="S483" s="361">
        <f t="shared" si="75"/>
        <v>0</v>
      </c>
    </row>
    <row r="484" spans="1:19">
      <c r="A484" s="159"/>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0.15</v>
      </c>
      <c r="R484" s="714">
        <f t="shared" si="84"/>
        <v>0</v>
      </c>
      <c r="S484" s="361">
        <f t="shared" si="75"/>
        <v>0</v>
      </c>
    </row>
    <row r="485" spans="1:19">
      <c r="A485" s="159"/>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0.15</v>
      </c>
      <c r="R485" s="714">
        <f t="shared" si="84"/>
        <v>0</v>
      </c>
      <c r="S485" s="361">
        <f t="shared" si="75"/>
        <v>0</v>
      </c>
    </row>
    <row r="486" spans="1:19">
      <c r="A486" s="159"/>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0.15</v>
      </c>
      <c r="R486" s="714">
        <f t="shared" si="84"/>
        <v>0</v>
      </c>
      <c r="S486" s="361">
        <f t="shared" si="75"/>
        <v>0</v>
      </c>
    </row>
    <row r="487" spans="1:19">
      <c r="A487" s="159"/>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0.15</v>
      </c>
      <c r="R487" s="714">
        <f t="shared" si="84"/>
        <v>0</v>
      </c>
      <c r="S487" s="361">
        <f t="shared" si="75"/>
        <v>0</v>
      </c>
    </row>
    <row r="488" spans="1:19">
      <c r="A488" s="159"/>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0.15</v>
      </c>
      <c r="R488" s="714">
        <f t="shared" si="84"/>
        <v>0</v>
      </c>
      <c r="S488" s="361">
        <f t="shared" si="75"/>
        <v>0</v>
      </c>
    </row>
    <row r="489" spans="1:19">
      <c r="A489" s="159"/>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0.15</v>
      </c>
      <c r="R489" s="714">
        <f t="shared" si="84"/>
        <v>0</v>
      </c>
      <c r="S489" s="361">
        <f t="shared" si="75"/>
        <v>0</v>
      </c>
    </row>
    <row r="490" spans="1:19">
      <c r="A490" s="159"/>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0.15</v>
      </c>
      <c r="R490" s="714">
        <f t="shared" si="84"/>
        <v>0</v>
      </c>
      <c r="S490" s="361">
        <f t="shared" si="75"/>
        <v>0</v>
      </c>
    </row>
    <row r="491" spans="1:19">
      <c r="A491" s="159"/>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0.15</v>
      </c>
      <c r="R491" s="714">
        <f t="shared" si="84"/>
        <v>0</v>
      </c>
      <c r="S491" s="361">
        <f t="shared" si="75"/>
        <v>0</v>
      </c>
    </row>
    <row r="492" spans="1:19">
      <c r="A492" s="159"/>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0.15</v>
      </c>
      <c r="R492" s="714">
        <f t="shared" si="84"/>
        <v>0</v>
      </c>
      <c r="S492" s="361">
        <f t="shared" si="75"/>
        <v>0</v>
      </c>
    </row>
    <row r="493" spans="1:19">
      <c r="A493" s="159"/>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0.15</v>
      </c>
      <c r="R493" s="714">
        <f t="shared" si="84"/>
        <v>0</v>
      </c>
      <c r="S493" s="361">
        <f t="shared" si="75"/>
        <v>0</v>
      </c>
    </row>
    <row r="494" spans="1:19">
      <c r="A494" s="159"/>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0.15</v>
      </c>
      <c r="R494" s="714">
        <f t="shared" si="84"/>
        <v>0</v>
      </c>
      <c r="S494" s="361">
        <f t="shared" si="75"/>
        <v>0</v>
      </c>
    </row>
    <row r="495" spans="1:19">
      <c r="A495" s="159"/>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0.15</v>
      </c>
      <c r="R495" s="714">
        <f t="shared" si="84"/>
        <v>0</v>
      </c>
      <c r="S495" s="361">
        <f t="shared" si="75"/>
        <v>0</v>
      </c>
    </row>
    <row r="496" spans="1:19">
      <c r="A496" s="159"/>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0.15</v>
      </c>
      <c r="R496" s="714">
        <f t="shared" si="84"/>
        <v>0</v>
      </c>
      <c r="S496" s="361">
        <f t="shared" si="75"/>
        <v>0</v>
      </c>
    </row>
    <row r="497" spans="1:19">
      <c r="A497" s="159"/>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0.15</v>
      </c>
      <c r="R497" s="714">
        <f t="shared" si="84"/>
        <v>0</v>
      </c>
      <c r="S497" s="361">
        <f t="shared" si="75"/>
        <v>0</v>
      </c>
    </row>
    <row r="498" spans="1:19">
      <c r="A498" s="159"/>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0.15</v>
      </c>
      <c r="R498" s="714">
        <f t="shared" si="84"/>
        <v>0</v>
      </c>
      <c r="S498" s="361">
        <f t="shared" si="75"/>
        <v>0</v>
      </c>
    </row>
    <row r="499" spans="1:19">
      <c r="A499" s="159"/>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0.15</v>
      </c>
      <c r="R499" s="714">
        <f t="shared" si="84"/>
        <v>0</v>
      </c>
      <c r="S499" s="361">
        <f t="shared" si="75"/>
        <v>0</v>
      </c>
    </row>
    <row r="500" spans="1:19">
      <c r="A500" s="159"/>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0.15</v>
      </c>
      <c r="R500" s="714">
        <f t="shared" si="84"/>
        <v>0</v>
      </c>
      <c r="S500" s="361">
        <f t="shared" si="75"/>
        <v>0</v>
      </c>
    </row>
    <row r="501" spans="1:19">
      <c r="A501" s="159"/>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0.15</v>
      </c>
      <c r="R501" s="714">
        <f t="shared" si="84"/>
        <v>0</v>
      </c>
      <c r="S501" s="361">
        <f t="shared" si="75"/>
        <v>0</v>
      </c>
    </row>
    <row r="502" spans="1:19">
      <c r="A502" s="159"/>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0.15</v>
      </c>
      <c r="R502" s="714">
        <f t="shared" si="84"/>
        <v>0</v>
      </c>
      <c r="S502" s="361">
        <f t="shared" si="75"/>
        <v>0</v>
      </c>
    </row>
    <row r="503" spans="1:19">
      <c r="A503" s="159"/>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0.15</v>
      </c>
      <c r="R503" s="714">
        <f t="shared" si="84"/>
        <v>0</v>
      </c>
      <c r="S503" s="361">
        <f t="shared" si="75"/>
        <v>0</v>
      </c>
    </row>
    <row r="504" spans="1:19">
      <c r="A504" s="159"/>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0.15</v>
      </c>
      <c r="R504" s="714">
        <f t="shared" si="84"/>
        <v>0</v>
      </c>
      <c r="S504" s="361">
        <f t="shared" si="75"/>
        <v>0</v>
      </c>
    </row>
    <row r="505" spans="1:19">
      <c r="A505" s="159"/>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0.15</v>
      </c>
      <c r="R505" s="714">
        <f t="shared" si="84"/>
        <v>0</v>
      </c>
      <c r="S505" s="361">
        <f t="shared" si="75"/>
        <v>0</v>
      </c>
    </row>
    <row r="506" spans="1:19">
      <c r="A506" s="159"/>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0.15</v>
      </c>
      <c r="R506" s="714">
        <f t="shared" si="84"/>
        <v>0</v>
      </c>
      <c r="S506" s="361">
        <f t="shared" si="75"/>
        <v>0</v>
      </c>
    </row>
    <row r="507" spans="1:19">
      <c r="A507" s="159"/>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0.15</v>
      </c>
      <c r="R507" s="714">
        <f t="shared" si="84"/>
        <v>0</v>
      </c>
      <c r="S507" s="361">
        <f t="shared" si="75"/>
        <v>0</v>
      </c>
    </row>
    <row r="508" spans="1:19">
      <c r="A508" s="159"/>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0.15</v>
      </c>
      <c r="R508" s="714">
        <f t="shared" si="84"/>
        <v>0</v>
      </c>
      <c r="S508" s="361">
        <f t="shared" si="75"/>
        <v>0</v>
      </c>
    </row>
    <row r="509" spans="1:19">
      <c r="A509" s="159"/>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0.15</v>
      </c>
      <c r="R509" s="714">
        <f t="shared" si="84"/>
        <v>0</v>
      </c>
      <c r="S509" s="361">
        <f t="shared" si="75"/>
        <v>0</v>
      </c>
    </row>
    <row r="510" spans="1:19">
      <c r="A510" s="159"/>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0.15</v>
      </c>
      <c r="R510" s="714">
        <f t="shared" si="84"/>
        <v>0</v>
      </c>
      <c r="S510" s="361">
        <f t="shared" si="75"/>
        <v>0</v>
      </c>
    </row>
    <row r="511" spans="1:19">
      <c r="A511" s="159"/>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0.15</v>
      </c>
      <c r="R511" s="714">
        <f t="shared" si="84"/>
        <v>0</v>
      </c>
      <c r="S511" s="361">
        <f t="shared" si="75"/>
        <v>0</v>
      </c>
    </row>
    <row r="512" spans="1:19">
      <c r="A512" s="159"/>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0.15</v>
      </c>
      <c r="R512" s="714">
        <f t="shared" si="84"/>
        <v>0</v>
      </c>
      <c r="S512" s="361">
        <f t="shared" si="75"/>
        <v>0</v>
      </c>
    </row>
    <row r="513" spans="1:19">
      <c r="A513" s="159"/>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0.15</v>
      </c>
      <c r="R513" s="714">
        <f t="shared" si="84"/>
        <v>0</v>
      </c>
      <c r="S513" s="361">
        <f t="shared" si="75"/>
        <v>0</v>
      </c>
    </row>
    <row r="514" spans="1:19">
      <c r="A514" s="159"/>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0.15</v>
      </c>
      <c r="R514" s="714">
        <f t="shared" si="84"/>
        <v>0</v>
      </c>
      <c r="S514" s="361">
        <f t="shared" si="75"/>
        <v>0</v>
      </c>
    </row>
    <row r="515" spans="1:19">
      <c r="A515" s="159"/>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0.15</v>
      </c>
      <c r="R515" s="714">
        <f t="shared" si="84"/>
        <v>0</v>
      </c>
      <c r="S515" s="361">
        <f t="shared" si="75"/>
        <v>0</v>
      </c>
    </row>
    <row r="516" spans="1:19">
      <c r="A516" s="159"/>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0.15</v>
      </c>
      <c r="R516" s="714">
        <f t="shared" si="84"/>
        <v>0</v>
      </c>
      <c r="S516" s="361">
        <f t="shared" si="75"/>
        <v>0</v>
      </c>
    </row>
    <row r="517" spans="1:19">
      <c r="A517" s="159"/>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0.15</v>
      </c>
      <c r="R517" s="714">
        <f t="shared" si="84"/>
        <v>0</v>
      </c>
      <c r="S517" s="361">
        <f t="shared" si="75"/>
        <v>0</v>
      </c>
    </row>
    <row r="518" spans="1:19">
      <c r="A518" s="159"/>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0.15</v>
      </c>
      <c r="R518" s="714">
        <f t="shared" si="84"/>
        <v>0</v>
      </c>
      <c r="S518" s="361">
        <f t="shared" si="75"/>
        <v>0</v>
      </c>
    </row>
    <row r="519" spans="1:19">
      <c r="A519" s="159"/>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0.15</v>
      </c>
      <c r="R519" s="714">
        <f t="shared" si="84"/>
        <v>0</v>
      </c>
      <c r="S519" s="361">
        <f t="shared" si="75"/>
        <v>0</v>
      </c>
    </row>
    <row r="520" spans="1:19">
      <c r="A520" s="159"/>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0.15</v>
      </c>
      <c r="R520" s="714">
        <f t="shared" si="84"/>
        <v>0</v>
      </c>
      <c r="S520" s="361">
        <f t="shared" si="75"/>
        <v>0</v>
      </c>
    </row>
    <row r="521" spans="1:19">
      <c r="A521" s="159"/>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0.15</v>
      </c>
      <c r="R521" s="714">
        <f t="shared" si="84"/>
        <v>0</v>
      </c>
      <c r="S521" s="361">
        <f t="shared" si="75"/>
        <v>0</v>
      </c>
    </row>
    <row r="522" spans="1:19">
      <c r="A522" s="159"/>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0.15</v>
      </c>
      <c r="R522" s="714">
        <f t="shared" si="84"/>
        <v>0</v>
      </c>
      <c r="S522" s="361">
        <f t="shared" si="75"/>
        <v>0</v>
      </c>
    </row>
    <row r="523" spans="1:19">
      <c r="A523" s="159"/>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0.15</v>
      </c>
      <c r="R523" s="714">
        <f t="shared" si="84"/>
        <v>0</v>
      </c>
      <c r="S523" s="361">
        <f t="shared" si="75"/>
        <v>0</v>
      </c>
    </row>
    <row r="524" spans="1:19">
      <c r="A524" s="159"/>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0.15</v>
      </c>
      <c r="R524" s="714">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北京富兴金地置业有限公司：</v>
      </c>
    </row>
    <row r="4" spans="1:1" ht="54">
      <c r="A4" s="1946" t="str">
        <f>"受贵公司委托，我公司对"&amp;项目基本情况!S1&amp;"进行了预评估。"</f>
        <v>受贵公司委托，我公司对北京市北京经济技术开发区天华北街11号院1号楼，2号楼，3号楼，4幢等部分办公、商业用房房地产抵押价值评估房地产抵押价值进行了预评估。</v>
      </c>
    </row>
    <row r="5" spans="1:1" ht="18.75">
      <c r="A5" s="1947" t="s">
        <v>1608</v>
      </c>
    </row>
    <row r="6" spans="1:1" ht="18.75">
      <c r="A6" s="1948" t="s">
        <v>1609</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11508.72平方米，建筑面积为51884.22平方米。</v>
      </c>
    </row>
    <row r="8" spans="1:1" ht="57.75">
      <c r="A8" s="1949" t="s">
        <v>1610</v>
      </c>
    </row>
    <row r="9" spans="1:1" ht="18.75">
      <c r="A9" s="1948" t="s">
        <v>1611</v>
      </c>
    </row>
    <row r="10" spans="1:1" ht="90">
      <c r="A10" s="194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11508.72平方米，规划建筑面积为51884.22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为估价委托人在向浦发银行清华园支行办理贷款手续过程中，确定房地产抵押贷款额度提供参考依据而评估房地产抵押价值。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2019年5月17日（评估专业人员实地查勘之日）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"本次评估采用的主估价方法为"&amp;结果表办公!K4&amp;"和"&amp;结果表办公!L4&amp;"。"</f>
        <v>本次评估采用的主估价方法为收益法和基准地价系数修正法。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0" zoomScaleNormal="100" zoomScaleSheetLayoutView="100" zoomScalePageLayoutView="80" workbookViewId="0">
      <selection activeCell="G38" sqref="G3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2118</v>
      </c>
      <c r="B1" s="2413"/>
      <c r="C1" s="2414" t="s">
        <v>3083</v>
      </c>
      <c r="D1" s="2413"/>
      <c r="E1" s="2413"/>
      <c r="F1" s="2415" t="s">
        <v>2119</v>
      </c>
      <c r="G1" s="2065" t="s">
        <v>3072</v>
      </c>
      <c r="H1" s="2416" t="str">
        <f>IF(G1="现房","——","估价对象范围")</f>
        <v>——</v>
      </c>
      <c r="I1" s="2417"/>
    </row>
    <row r="2" spans="1:12" ht="21.75" customHeight="1" thickBot="1">
      <c r="A2" s="3170" t="str">
        <f>项目基本情况!S2</f>
        <v>北京市北京经济技术开发区天华北街11号院1号楼，2号楼，3号楼，4幢等部分办公、商业用房房地产抵押价值评估房地产</v>
      </c>
      <c r="B2" s="3171"/>
      <c r="C2" s="3171"/>
      <c r="D2" s="3171"/>
      <c r="E2" s="3171"/>
      <c r="F2" s="3171"/>
      <c r="G2" s="3171"/>
      <c r="H2" s="3171"/>
      <c r="I2" s="3172"/>
    </row>
    <row r="3" spans="1:12" ht="12.75">
      <c r="A3" s="3173" t="s">
        <v>2120</v>
      </c>
      <c r="B3" s="3174"/>
      <c r="C3" s="3174"/>
      <c r="D3" s="3174"/>
      <c r="E3" s="3174"/>
      <c r="F3" s="3174"/>
      <c r="G3" s="3174"/>
      <c r="H3" s="3174"/>
      <c r="I3" s="3174"/>
    </row>
    <row r="4" spans="1:12" ht="14.25">
      <c r="A4" s="2420" t="s">
        <v>2121</v>
      </c>
      <c r="B4" s="2421" t="s">
        <v>2122</v>
      </c>
      <c r="C4" s="2422" t="s">
        <v>3176</v>
      </c>
      <c r="D4" s="2422" t="s">
        <v>3285</v>
      </c>
      <c r="E4" s="3154" t="s">
        <v>2123</v>
      </c>
      <c r="F4" s="3167"/>
      <c r="G4" s="3167"/>
      <c r="H4" s="3167"/>
      <c r="I4" s="3155"/>
      <c r="K4" s="2423" t="str">
        <f>IF(ISNUMBER(FIND("比较法",结果表车库!C4)),"比较法",IF(ISNUMBER(FIND("成本法",结果表车库!C4)),"成本法",IF(ISNUMBER(FIND("假设开发法",结果表车库!C4)),"假设开发法",IF(ISNUMBER(FIND("收益法",结果表车库!C4)),"收益法","基准地价系数修正法"))))</f>
        <v>收益法</v>
      </c>
      <c r="L4" s="2423" t="str">
        <f>IF(ISNUMBER(FIND("比较法",结果表车库!D4)),"比较法",IF(ISNUMBER(FIND("成本法",结果表车库!D4)),"成本法",IF(ISNUMBER(FIND("假设开发法",结果表车库!D4)),"假设开发法",IF(ISNUMBER(FIND("收益法",结果表车库!D4)),"收益法","基准地价系数修正法"))))</f>
        <v>比较法</v>
      </c>
    </row>
    <row r="5" spans="1:12" ht="12.75">
      <c r="A5" s="3145" t="s">
        <v>2124</v>
      </c>
      <c r="B5" s="3071">
        <v>25</v>
      </c>
      <c r="C5" s="3175"/>
      <c r="D5" s="3163"/>
      <c r="E5" s="140" t="s">
        <v>2125</v>
      </c>
      <c r="F5" s="2424"/>
      <c r="G5" s="2424"/>
      <c r="H5" s="2424"/>
      <c r="I5" s="1829"/>
    </row>
    <row r="6" spans="1:12" ht="12.75">
      <c r="A6" s="3145"/>
      <c r="B6" s="3071"/>
      <c r="C6" s="3177"/>
      <c r="D6" s="3163"/>
      <c r="E6" s="140" t="s">
        <v>2126</v>
      </c>
      <c r="F6" s="2424"/>
      <c r="G6" s="2424"/>
      <c r="H6" s="2424"/>
      <c r="I6" s="1829"/>
    </row>
    <row r="7" spans="1:12" ht="12.75">
      <c r="A7" s="3145"/>
      <c r="B7" s="3071"/>
      <c r="C7" s="3176"/>
      <c r="D7" s="3163"/>
      <c r="E7" s="140" t="s">
        <v>2127</v>
      </c>
      <c r="F7" s="2424"/>
      <c r="G7" s="2424"/>
      <c r="H7" s="2424"/>
      <c r="I7" s="1829"/>
    </row>
    <row r="8" spans="1:12" ht="12.75">
      <c r="A8" s="3145" t="s">
        <v>2128</v>
      </c>
      <c r="B8" s="3071">
        <v>15</v>
      </c>
      <c r="C8" s="3175"/>
      <c r="D8" s="3163"/>
      <c r="E8" s="140" t="s">
        <v>2129</v>
      </c>
      <c r="F8" s="2424"/>
      <c r="G8" s="2424"/>
      <c r="H8" s="2424"/>
      <c r="I8" s="1829"/>
    </row>
    <row r="9" spans="1:12" ht="12.75">
      <c r="A9" s="3145"/>
      <c r="B9" s="3071"/>
      <c r="C9" s="3176"/>
      <c r="D9" s="3163"/>
      <c r="E9" s="140" t="s">
        <v>2130</v>
      </c>
      <c r="F9" s="2424"/>
      <c r="G9" s="2424"/>
      <c r="H9" s="2424"/>
      <c r="I9" s="1829"/>
    </row>
    <row r="10" spans="1:12" ht="12.75">
      <c r="A10" s="3145" t="s">
        <v>2131</v>
      </c>
      <c r="B10" s="3071">
        <v>15</v>
      </c>
      <c r="C10" s="3175"/>
      <c r="D10" s="3163"/>
      <c r="E10" s="140" t="s">
        <v>2132</v>
      </c>
      <c r="F10" s="2424"/>
      <c r="G10" s="2424"/>
      <c r="H10" s="2424"/>
      <c r="I10" s="1829"/>
    </row>
    <row r="11" spans="1:12" ht="12.75">
      <c r="A11" s="3145"/>
      <c r="B11" s="3071"/>
      <c r="C11" s="3176"/>
      <c r="D11" s="3163"/>
      <c r="E11" s="140" t="s">
        <v>2133</v>
      </c>
      <c r="F11" s="2424"/>
      <c r="G11" s="2424"/>
      <c r="H11" s="2424"/>
      <c r="I11" s="1829"/>
    </row>
    <row r="12" spans="1:12" ht="12.75">
      <c r="A12" s="3145" t="s">
        <v>2134</v>
      </c>
      <c r="B12" s="3071">
        <v>15</v>
      </c>
      <c r="C12" s="3175"/>
      <c r="D12" s="3163"/>
      <c r="E12" s="140" t="s">
        <v>2135</v>
      </c>
      <c r="F12" s="2424"/>
      <c r="G12" s="2424"/>
      <c r="H12" s="2424"/>
      <c r="I12" s="1829"/>
    </row>
    <row r="13" spans="1:12" ht="12.75">
      <c r="A13" s="3145"/>
      <c r="B13" s="3071"/>
      <c r="C13" s="3176"/>
      <c r="D13" s="3163"/>
      <c r="E13" s="140" t="s">
        <v>2136</v>
      </c>
      <c r="F13" s="2424"/>
      <c r="G13" s="2424"/>
      <c r="H13" s="2424"/>
      <c r="I13" s="1829"/>
    </row>
    <row r="14" spans="1:12" ht="12.75">
      <c r="A14" s="3145" t="s">
        <v>2137</v>
      </c>
      <c r="B14" s="3071">
        <v>30</v>
      </c>
      <c r="C14" s="3175">
        <v>4</v>
      </c>
      <c r="D14" s="3163">
        <v>6</v>
      </c>
      <c r="E14" s="140" t="s">
        <v>2138</v>
      </c>
      <c r="F14" s="2424"/>
      <c r="G14" s="2424"/>
      <c r="H14" s="2424"/>
      <c r="I14" s="1829"/>
    </row>
    <row r="15" spans="1:12" ht="12.75">
      <c r="A15" s="3145"/>
      <c r="B15" s="3071"/>
      <c r="C15" s="3177"/>
      <c r="D15" s="3163"/>
      <c r="E15" s="140" t="s">
        <v>2139</v>
      </c>
      <c r="F15" s="2424"/>
      <c r="G15" s="2424"/>
      <c r="H15" s="2424"/>
      <c r="I15" s="1829"/>
    </row>
    <row r="16" spans="1:12" ht="12.75">
      <c r="A16" s="3145"/>
      <c r="B16" s="3071"/>
      <c r="C16" s="3176"/>
      <c r="D16" s="3163"/>
      <c r="E16" s="140" t="s">
        <v>2140</v>
      </c>
      <c r="F16" s="2424"/>
      <c r="G16" s="2424"/>
      <c r="H16" s="2424"/>
      <c r="I16" s="1829"/>
    </row>
    <row r="17" spans="1:35" ht="15">
      <c r="A17" s="2425" t="s">
        <v>2141</v>
      </c>
      <c r="B17" s="64"/>
      <c r="C17" s="141">
        <f>SUM(C5:C16)</f>
        <v>4</v>
      </c>
      <c r="D17" s="141">
        <f>SUM(D5:D16)</f>
        <v>6</v>
      </c>
      <c r="E17" s="138"/>
      <c r="F17" s="138"/>
      <c r="G17" s="138"/>
      <c r="H17" s="138"/>
      <c r="I17" s="138"/>
      <c r="K17" s="2423"/>
      <c r="L17" s="2426" t="s">
        <v>2142</v>
      </c>
      <c r="M17" s="2426" t="s">
        <v>2143</v>
      </c>
    </row>
    <row r="18" spans="1:35" ht="15.75" thickBot="1">
      <c r="A18" s="2427" t="s">
        <v>2144</v>
      </c>
      <c r="B18" s="2428"/>
      <c r="C18" s="142">
        <f>ROUND(C17/SUM(C17:D17),2)</f>
        <v>0.4</v>
      </c>
      <c r="D18" s="142">
        <f>1-C18</f>
        <v>0.6</v>
      </c>
      <c r="E18" s="138"/>
      <c r="F18" s="138"/>
      <c r="G18" s="138"/>
      <c r="H18" s="138"/>
      <c r="I18" s="138"/>
      <c r="K18" s="2423" t="s">
        <v>2145</v>
      </c>
      <c r="L18" s="2423">
        <f>IF(C1="",'数据-汇总表'!E3,SUMIF(项目类型,C1,'数据-汇总表'!E17:E26)+SUMIF(项目类型,C1,'数据-汇总表'!I17:I26))</f>
        <v>12246.83</v>
      </c>
      <c r="M18" s="2423">
        <f>IF(C1="",'数据-汇总表'!E3,SUMIF(项目类型,C1,'数据-汇总表'!E17:E26))</f>
        <v>12246.83</v>
      </c>
    </row>
    <row r="19" spans="1:35" ht="15">
      <c r="A19" s="2429" t="s">
        <v>2146</v>
      </c>
      <c r="B19" s="2430" t="s">
        <v>2147</v>
      </c>
      <c r="C19" s="143">
        <f ca="1">SUMIF(INDIRECT("'"&amp;C4&amp;"'"&amp;"!A:A"),结果表车库!B19,INDIRECT("'"&amp;C4&amp;"'"&amp;"!B:B"))</f>
        <v>2442</v>
      </c>
      <c r="D19" s="144">
        <f ca="1">SUMIF(INDIRECT("'"&amp;D4&amp;"'"&amp;"!A:A"),结果表车库!B19,INDIRECT("'"&amp;D4&amp;"'"&amp;"!B:B"))</f>
        <v>4290</v>
      </c>
      <c r="E19" s="2429" t="s">
        <v>2148</v>
      </c>
      <c r="F19" s="2430" t="s">
        <v>2147</v>
      </c>
      <c r="G19" s="145">
        <f ca="1">ROUND(C19*$C$18+D19*$D$18,0)</f>
        <v>3551</v>
      </c>
      <c r="H19" s="2431" t="s">
        <v>2149</v>
      </c>
      <c r="I19" s="138"/>
      <c r="K19" s="2423" t="s">
        <v>2150</v>
      </c>
      <c r="L19" s="2423">
        <f>IF(C1="",'数据-汇总表'!D3,SUMIF(项目类型,C1,'数据-汇总表'!D17:D26)+SUMIF(项目类型,C1,'数据-汇总表'!H17:H27))</f>
        <v>2716.54</v>
      </c>
      <c r="M19" s="2423">
        <f>IF(C1="",'数据-汇总表'!D3,SUMIF(项目类型,C1,'数据-汇总表'!D17:D26))</f>
        <v>2716.54</v>
      </c>
    </row>
    <row r="20" spans="1:35" ht="15">
      <c r="A20" s="2432"/>
      <c r="B20" s="1245" t="s">
        <v>2151</v>
      </c>
      <c r="C20" s="146">
        <f ca="1">SUMIF(INDIRECT("'"&amp;C4&amp;"'"&amp;"!A:A"),结果表车库!B20,INDIRECT("'"&amp;C4&amp;"'"&amp;"!B:B"))</f>
        <v>1994</v>
      </c>
      <c r="D20" s="147">
        <f ca="1">SUMIF(INDIRECT("'"&amp;D4&amp;"'"&amp;"!A:A"),结果表车库!B20,INDIRECT("'"&amp;D4&amp;"'"&amp;"!B:B"))</f>
        <v>3503</v>
      </c>
      <c r="E20" s="2432"/>
      <c r="F20" s="1245" t="s">
        <v>2151</v>
      </c>
      <c r="G20" s="148">
        <f ca="1">ROUND(C20*$C$18+D20*$D$18,0)</f>
        <v>2899</v>
      </c>
      <c r="H20" s="978" t="s">
        <v>2152</v>
      </c>
      <c r="I20" s="138"/>
    </row>
    <row r="21" spans="1:35" ht="15" customHeight="1" thickBot="1">
      <c r="A21" s="998"/>
      <c r="B21" s="2433" t="s">
        <v>2153</v>
      </c>
      <c r="C21" s="787">
        <f ca="1">ROUND(C19*10000/L19,0)</f>
        <v>8989</v>
      </c>
      <c r="D21" s="788">
        <f ca="1">ROUND(D19*10000/L19,0)</f>
        <v>15792</v>
      </c>
      <c r="E21" s="998"/>
      <c r="F21" s="2433" t="s">
        <v>2153</v>
      </c>
      <c r="G21" s="149">
        <f ca="1">ROUND(G19*10000/L19,0)</f>
        <v>13072</v>
      </c>
      <c r="H21" s="2434" t="s">
        <v>2152</v>
      </c>
      <c r="I21" s="138"/>
    </row>
    <row r="22" spans="1:35" ht="15" thickBot="1">
      <c r="A22" s="2275" t="s">
        <v>2154</v>
      </c>
      <c r="B22" s="2435"/>
      <c r="C22" s="2436"/>
      <c r="D22" s="789">
        <f ca="1">IF(C19&lt;D19,D19/C19-1,C19/D19-1)</f>
        <v>0.7567567567567568</v>
      </c>
      <c r="E22" s="138"/>
      <c r="F22" s="138"/>
      <c r="G22" s="138"/>
      <c r="H22" s="138"/>
      <c r="I22" s="138"/>
    </row>
    <row r="23" spans="1:35" ht="13.5" thickBot="1">
      <c r="A23" s="2413"/>
      <c r="B23" s="2413"/>
      <c r="C23" s="2413"/>
      <c r="D23" s="2413"/>
      <c r="E23" s="138"/>
      <c r="F23" s="138"/>
      <c r="G23" s="138"/>
      <c r="H23" s="138"/>
      <c r="I23" s="138"/>
    </row>
    <row r="24" spans="1:35" ht="14.25">
      <c r="A24" s="3184" t="s">
        <v>2155</v>
      </c>
      <c r="B24" s="2430" t="s">
        <v>2147</v>
      </c>
      <c r="C24" s="145">
        <f>IF(B30=0,0,D30)</f>
        <v>0</v>
      </c>
      <c r="D24" s="2437"/>
      <c r="E24" s="138"/>
      <c r="F24" s="138"/>
      <c r="G24" s="138"/>
      <c r="H24" s="138"/>
      <c r="I24" s="138"/>
    </row>
    <row r="25" spans="1:35" ht="14.25">
      <c r="A25" s="3185"/>
      <c r="B25" s="1245"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12" t="s">
        <v>3037</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2161</v>
      </c>
      <c r="B32" s="2443"/>
      <c r="C32" s="153">
        <f ca="1">IF(D32="总价",G19-C24,G20-C25)</f>
        <v>3551</v>
      </c>
      <c r="D32" s="2444" t="s">
        <v>2162</v>
      </c>
      <c r="E32" s="138"/>
      <c r="F32" s="138"/>
      <c r="G32" s="138"/>
      <c r="H32" s="138"/>
      <c r="I32" s="138"/>
    </row>
    <row r="33" spans="1:15" ht="15">
      <c r="A33" s="955" t="s">
        <v>2163</v>
      </c>
      <c r="B33" s="2445"/>
      <c r="C33" s="2446" t="s">
        <v>3182</v>
      </c>
      <c r="D33" s="2447"/>
      <c r="E33" s="2448" t="s">
        <v>2164</v>
      </c>
      <c r="F33" s="2948" t="str">
        <f>IF(D32="楼面单价","取值（单价）","取值（总价）")</f>
        <v>取值（总价）</v>
      </c>
      <c r="G33" s="138"/>
      <c r="H33" s="138"/>
      <c r="I33" s="138"/>
    </row>
    <row r="34" spans="1:15" ht="15">
      <c r="A34" s="2450"/>
      <c r="B34" s="2451" t="s">
        <v>2165</v>
      </c>
      <c r="C34" s="157">
        <f ca="1">IF(C33="自定义",F34,C32-C35)</f>
        <v>249</v>
      </c>
      <c r="D34" s="1053">
        <f ca="1">IF(C33="自定义",ROUND(C34/C32,3),IF(C33="收益比率",SUMIF(INDIRECT("'"&amp;D33&amp;"'"&amp;"!b:b"),"土地收益比率",INDIRECT("'"&amp;D33&amp;"'"&amp;"!c:c")),SUMIF(INDIRECT("'"&amp;D33&amp;"'"&amp;"!b:b"),"土地成本比率",INDIRECT("'"&amp;D33&amp;"'"&amp;"!c:c"))))</f>
        <v>7.0000000000000007E-2</v>
      </c>
      <c r="E34" s="2452" t="s">
        <v>2166</v>
      </c>
      <c r="F34" s="1734">
        <f ca="1">G19-F35</f>
        <v>249</v>
      </c>
      <c r="G34" s="138"/>
      <c r="H34" s="138"/>
      <c r="I34" s="138"/>
    </row>
    <row r="35" spans="1:15" ht="15.75" thickBot="1">
      <c r="A35" s="2453"/>
      <c r="B35" s="2454" t="s">
        <v>2167</v>
      </c>
      <c r="C35" s="1439">
        <f ca="1">IF(C33="自定义",F35,ROUND(C32*D35,0))</f>
        <v>3302</v>
      </c>
      <c r="D35" s="1440">
        <f ca="1">IF(C33="自定义",ROUND(C35/C32,3),IF(C33="收益比率",SUMIF(INDIRECT("'"&amp;D33&amp;"'"&amp;"!b:b"),"建筑物收益比率",INDIRECT("'"&amp;D33&amp;"'"&amp;"!c:c")),SUMIF(INDIRECT("'"&amp;D33&amp;"'"&amp;"!b:b"),"建筑物成本比率",INDIRECT("'"&amp;D33&amp;"'"&amp;"!c:c"))))</f>
        <v>0.93</v>
      </c>
      <c r="E35" s="2455" t="s">
        <v>2168</v>
      </c>
      <c r="F35" s="163">
        <f ca="1">收益法车库!C13</f>
        <v>3302</v>
      </c>
      <c r="G35" s="138"/>
      <c r="H35" s="138"/>
      <c r="I35" s="138"/>
    </row>
    <row r="36" spans="1:15" ht="15.75" thickBot="1">
      <c r="A36" s="3164" t="s">
        <v>2169</v>
      </c>
      <c r="B36" s="2456" t="s">
        <v>2170</v>
      </c>
      <c r="C36" s="154"/>
      <c r="D36" s="2457"/>
      <c r="E36" s="2458"/>
      <c r="F36" s="2459"/>
      <c r="G36" s="138"/>
      <c r="H36" s="138"/>
      <c r="I36" s="138"/>
    </row>
    <row r="37" spans="1:15" ht="15.75" thickBot="1">
      <c r="A37" s="3165"/>
      <c r="B37" s="2261" t="s">
        <v>2171</v>
      </c>
      <c r="C37" s="156"/>
      <c r="D37" s="1390"/>
      <c r="E37" s="1390"/>
      <c r="F37" s="2459"/>
      <c r="G37" s="138"/>
      <c r="H37" s="138"/>
      <c r="I37" s="138"/>
    </row>
    <row r="38" spans="1:15" ht="15.75" thickBot="1">
      <c r="A38" s="3166"/>
      <c r="B38" s="2460" t="s">
        <v>2172</v>
      </c>
      <c r="C38" s="725"/>
      <c r="D38" s="2461" t="s">
        <v>2173</v>
      </c>
      <c r="E38" s="1390"/>
      <c r="F38" s="2459"/>
      <c r="G38" s="138"/>
      <c r="H38" s="138"/>
      <c r="I38" s="138"/>
    </row>
    <row r="39" spans="1:15" ht="15">
      <c r="A39" s="2432" t="s">
        <v>2174</v>
      </c>
      <c r="B39" s="2462" t="s">
        <v>2157</v>
      </c>
      <c r="C39" s="2463" t="s">
        <v>2158</v>
      </c>
      <c r="D39" s="2463" t="s">
        <v>2177</v>
      </c>
      <c r="E39" s="2464" t="s">
        <v>2159</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81" t="s">
        <v>2183</v>
      </c>
      <c r="B45" s="3182"/>
      <c r="C45" s="3183"/>
      <c r="D45" s="164">
        <f ca="1">ROUND(H101*F45,0)</f>
        <v>3551</v>
      </c>
      <c r="E45" s="165" t="s">
        <v>2184</v>
      </c>
      <c r="F45" s="166">
        <v>1</v>
      </c>
      <c r="G45" s="167" t="s">
        <v>2185</v>
      </c>
      <c r="H45" s="138"/>
      <c r="I45" s="138"/>
      <c r="J45" s="3100" t="s">
        <v>2186</v>
      </c>
      <c r="K45" s="3100"/>
      <c r="L45" s="3100"/>
      <c r="M45" s="3100"/>
      <c r="N45" s="3100"/>
      <c r="O45" s="3100"/>
    </row>
    <row r="46" spans="1:15" ht="14.25" customHeight="1">
      <c r="A46" s="3178" t="s">
        <v>2187</v>
      </c>
      <c r="B46" s="3179"/>
      <c r="C46" s="3179"/>
      <c r="D46" s="3179"/>
      <c r="E46" s="3179"/>
      <c r="F46" s="3179"/>
      <c r="G46" s="3180"/>
      <c r="H46" s="2475"/>
      <c r="I46" s="168"/>
      <c r="J46" s="2960">
        <v>1</v>
      </c>
      <c r="K46" s="3100" t="s">
        <v>2188</v>
      </c>
      <c r="L46" s="3100"/>
      <c r="M46" s="3101"/>
      <c r="N46" s="3101"/>
      <c r="O46" s="3101"/>
    </row>
    <row r="47" spans="1:15" ht="12" customHeight="1">
      <c r="A47" s="169" t="s">
        <v>2189</v>
      </c>
      <c r="B47" s="170"/>
      <c r="C47" s="171"/>
      <c r="D47" s="172" t="s">
        <v>2190</v>
      </c>
      <c r="E47" s="24" t="s">
        <v>2191</v>
      </c>
      <c r="F47" s="173" t="s">
        <v>2192</v>
      </c>
      <c r="G47" s="174" t="s">
        <v>2193</v>
      </c>
      <c r="H47" s="2475"/>
      <c r="I47" s="168"/>
      <c r="J47" s="2960">
        <v>2</v>
      </c>
      <c r="K47" s="3100" t="s">
        <v>2194</v>
      </c>
      <c r="L47" s="3100"/>
      <c r="M47" s="3102">
        <f>'数据-取费表'!B2</f>
        <v>43602</v>
      </c>
      <c r="N47" s="3102"/>
      <c r="O47" s="3102"/>
    </row>
    <row r="48" spans="1:15" ht="25.5">
      <c r="A48" s="3168" t="s">
        <v>2195</v>
      </c>
      <c r="B48" s="3169"/>
      <c r="C48" s="3169"/>
      <c r="D48" s="140">
        <f>IF(H48="情况1",0,IF(H48="情况2",D52,IF(H48="情况3",D53,IF(H48="情况4",D54))))</f>
        <v>0</v>
      </c>
      <c r="E48" s="2952" t="str">
        <f>IF(H48="情况4","(销售额-原购置价)×税（费）率","销售额×税（费）率")</f>
        <v>销售额×税（费）率</v>
      </c>
      <c r="F48" s="175" t="str">
        <f>IF(H48="情况1","免征",'数据-取费表'!B41)</f>
        <v>免征</v>
      </c>
      <c r="G48" s="2476" t="s">
        <v>2196</v>
      </c>
      <c r="H48" s="2477" t="s">
        <v>2197</v>
      </c>
      <c r="I48" s="2475"/>
      <c r="J48" s="2960">
        <v>3</v>
      </c>
      <c r="K48" s="3100" t="s">
        <v>2198</v>
      </c>
      <c r="L48" s="3100"/>
      <c r="M48" s="3103">
        <f ca="1">H101</f>
        <v>3551</v>
      </c>
      <c r="N48" s="3103"/>
      <c r="O48" s="3103"/>
    </row>
    <row r="49" spans="1:35" ht="25.5" customHeight="1">
      <c r="A49" s="176" t="s">
        <v>2199</v>
      </c>
      <c r="B49" s="3148" t="s">
        <v>2200</v>
      </c>
      <c r="C49" s="3148"/>
      <c r="D49" s="177">
        <v>0</v>
      </c>
      <c r="E49" s="23" t="s">
        <v>2201</v>
      </c>
      <c r="F49" s="28" t="s">
        <v>34</v>
      </c>
      <c r="G49" s="3129"/>
      <c r="H49" s="138"/>
      <c r="I49" s="2478"/>
      <c r="J49" s="2960">
        <v>4</v>
      </c>
      <c r="K49" s="3100" t="str">
        <f>IF(项目基本情况!E8="房地产抵押价值","房地产抵押价值","抵押担保权已注销时的房地产抵押价值")</f>
        <v>房地产抵押价值</v>
      </c>
      <c r="L49" s="3100"/>
      <c r="M49" s="3103">
        <f ca="1">IF(项目基本情况!E8="房地产抵押价值",H107,H109)</f>
        <v>3551</v>
      </c>
      <c r="N49" s="3103"/>
      <c r="O49" s="3103"/>
    </row>
    <row r="50" spans="1:35" ht="25.5" customHeight="1">
      <c r="A50" s="178"/>
      <c r="B50" s="3148" t="s">
        <v>2202</v>
      </c>
      <c r="C50" s="3148"/>
      <c r="D50" s="179"/>
      <c r="E50" s="31"/>
      <c r="F50" s="180"/>
      <c r="G50" s="3130"/>
      <c r="H50" s="138"/>
      <c r="I50" s="2478"/>
      <c r="J50" s="3100" t="s">
        <v>2203</v>
      </c>
      <c r="K50" s="3100"/>
      <c r="L50" s="3100"/>
      <c r="M50" s="3100"/>
      <c r="N50" s="3100"/>
      <c r="O50" s="3100"/>
    </row>
    <row r="51" spans="1:35" ht="12" customHeight="1">
      <c r="A51" s="181"/>
      <c r="B51" s="3148" t="s">
        <v>2204</v>
      </c>
      <c r="C51" s="3148"/>
      <c r="D51" s="182"/>
      <c r="E51" s="30"/>
      <c r="F51" s="180"/>
      <c r="G51" s="3131"/>
      <c r="H51" s="138"/>
      <c r="I51" s="2478"/>
      <c r="J51" s="2959" t="s">
        <v>2205</v>
      </c>
      <c r="K51" s="3100" t="s">
        <v>2206</v>
      </c>
      <c r="L51" s="3100"/>
      <c r="M51" s="2959" t="s">
        <v>2207</v>
      </c>
      <c r="N51" s="2959" t="s">
        <v>2208</v>
      </c>
      <c r="O51" s="2959" t="s">
        <v>2209</v>
      </c>
    </row>
    <row r="52" spans="1:35" ht="24" customHeight="1">
      <c r="A52" s="183" t="s">
        <v>2210</v>
      </c>
      <c r="B52" s="3148" t="s">
        <v>2211</v>
      </c>
      <c r="C52" s="3148"/>
      <c r="D52" s="182">
        <f ca="1">ROUND(D45*'数据-取费表'!B41/(1+'数据-取费表'!C42),0)</f>
        <v>186</v>
      </c>
      <c r="E52" s="11" t="s">
        <v>2212</v>
      </c>
      <c r="F52" s="184">
        <f>'数据-取费表'!B41</f>
        <v>5.5000000000000007E-2</v>
      </c>
      <c r="G52" s="2480"/>
      <c r="H52" s="138"/>
      <c r="I52" s="2478"/>
      <c r="J52" s="2960">
        <v>1</v>
      </c>
      <c r="K52" s="3123" t="s">
        <v>2213</v>
      </c>
      <c r="L52" s="3123"/>
      <c r="M52" s="1749">
        <f>D48</f>
        <v>0</v>
      </c>
      <c r="N52" s="2960" t="str">
        <f>E48</f>
        <v>销售额×税（费）率</v>
      </c>
      <c r="O52" s="1750" t="str">
        <f>F48</f>
        <v>免征</v>
      </c>
    </row>
    <row r="53" spans="1:35" ht="12" customHeight="1">
      <c r="A53" s="183" t="s">
        <v>2214</v>
      </c>
      <c r="B53" s="3149" t="s">
        <v>2215</v>
      </c>
      <c r="C53" s="3150"/>
      <c r="D53" s="182">
        <f ca="1">ROUND(D45*'数据-取费表'!B41/(1+'数据-取费表'!C42),0)</f>
        <v>186</v>
      </c>
      <c r="E53" s="11" t="s">
        <v>2212</v>
      </c>
      <c r="F53" s="184">
        <f>'数据-取费表'!B41</f>
        <v>5.5000000000000007E-2</v>
      </c>
      <c r="G53" s="2480"/>
      <c r="H53" s="138"/>
      <c r="I53" s="2478"/>
      <c r="J53" s="2960">
        <v>2</v>
      </c>
      <c r="K53" s="3123" t="s">
        <v>2216</v>
      </c>
      <c r="L53" s="3123"/>
      <c r="M53" s="1749">
        <f t="shared" ref="M53:O54" ca="1" si="0">D55</f>
        <v>2</v>
      </c>
      <c r="N53" s="2960" t="str">
        <f t="shared" si="0"/>
        <v>销售额×税（费）率</v>
      </c>
      <c r="O53" s="1750">
        <f t="shared" si="0"/>
        <v>5.0000000000000001E-4</v>
      </c>
    </row>
    <row r="54" spans="1:35" ht="12" customHeight="1">
      <c r="A54" s="183" t="s">
        <v>2217</v>
      </c>
      <c r="B54" s="3149" t="s">
        <v>2218</v>
      </c>
      <c r="C54" s="3150"/>
      <c r="D54" s="182">
        <f ca="1">C68</f>
        <v>186</v>
      </c>
      <c r="E54" s="30" t="s">
        <v>2219</v>
      </c>
      <c r="F54" s="184">
        <f>'数据-取费表'!B41</f>
        <v>5.5000000000000007E-2</v>
      </c>
      <c r="G54" s="2480"/>
      <c r="H54" s="2481"/>
      <c r="I54" s="2478"/>
      <c r="J54" s="2960">
        <v>3</v>
      </c>
      <c r="K54" s="3123" t="s">
        <v>2220</v>
      </c>
      <c r="L54" s="3123"/>
      <c r="M54" s="1749">
        <f t="shared" ca="1" si="0"/>
        <v>2013</v>
      </c>
      <c r="N54" s="2960" t="str">
        <f t="shared" si="0"/>
        <v>增值额×税（费）率</v>
      </c>
      <c r="O54" s="1751" t="str">
        <f t="shared" si="0"/>
        <v>——</v>
      </c>
    </row>
    <row r="55" spans="1:35" ht="24" customHeight="1">
      <c r="A55" s="3187" t="s">
        <v>2221</v>
      </c>
      <c r="B55" s="3169"/>
      <c r="C55" s="3169"/>
      <c r="D55" s="185">
        <f ca="1">IF(H55="个人住宅",0,ROUND(D45*I55,0))</f>
        <v>2</v>
      </c>
      <c r="E55" s="11" t="s">
        <v>2222</v>
      </c>
      <c r="F55" s="184">
        <f>IF(H55="正常",I55,"免征")</f>
        <v>5.0000000000000001E-4</v>
      </c>
      <c r="G55" s="2480"/>
      <c r="H55" s="2477" t="s">
        <v>2223</v>
      </c>
      <c r="I55" s="186">
        <f>'数据-取费表'!B49</f>
        <v>5.0000000000000001E-4</v>
      </c>
      <c r="J55" s="2960" t="str">
        <f>IF(H59="非个人房产","",4)</f>
        <v/>
      </c>
      <c r="K55" s="3123" t="str">
        <f>IF(H59="非个人房产","——","个人所得税")</f>
        <v>——</v>
      </c>
      <c r="L55" s="3123"/>
      <c r="M55" s="1752" t="str">
        <f>D59</f>
        <v>——</v>
      </c>
      <c r="N55" s="2961" t="str">
        <f>E59</f>
        <v>——</v>
      </c>
      <c r="O55" s="1753" t="str">
        <f>F59</f>
        <v>——</v>
      </c>
    </row>
    <row r="56" spans="1:35" ht="24.75">
      <c r="A56" s="3187" t="s">
        <v>2224</v>
      </c>
      <c r="B56" s="3169"/>
      <c r="C56" s="3169"/>
      <c r="D56" s="185">
        <f ca="1">IF(H56="个人住宅",D57,D58)</f>
        <v>2013</v>
      </c>
      <c r="E56" s="11" t="s">
        <v>2225</v>
      </c>
      <c r="F56" s="184" t="str">
        <f>IF(H56="正常",F58,"免征")</f>
        <v>——</v>
      </c>
      <c r="G56" s="2482" t="s">
        <v>2226</v>
      </c>
      <c r="H56" s="2483" t="s">
        <v>2223</v>
      </c>
      <c r="I56" s="2484"/>
      <c r="J56" s="2960" t="str">
        <f>IF(项目基本情况!K6="上海银行",IF(J55="",4,J55+1),"")</f>
        <v/>
      </c>
      <c r="K56" s="3106" t="str">
        <f>IF(项目基本情况!K6="上海银行","其他处置费用","")</f>
        <v/>
      </c>
      <c r="L56" s="3107"/>
      <c r="M56" s="1749" t="str">
        <f>IF(项目基本情况!K6="上海银行",M69,"")</f>
        <v/>
      </c>
      <c r="N56" s="3109" t="str">
        <f>IF(项目基本情况!K6="上海银行","包含处置中涉及的律师、诉讼、拍卖、评估等费用","")</f>
        <v/>
      </c>
      <c r="O56" s="3110"/>
    </row>
    <row r="57" spans="1:35" ht="12.75">
      <c r="A57" s="183" t="s">
        <v>2199</v>
      </c>
      <c r="B57" s="3154" t="s">
        <v>2227</v>
      </c>
      <c r="C57" s="3155"/>
      <c r="D57" s="187">
        <v>0</v>
      </c>
      <c r="E57" s="23" t="s">
        <v>2201</v>
      </c>
      <c r="F57" s="155"/>
      <c r="G57" s="2480"/>
      <c r="H57" s="2484"/>
      <c r="I57" s="2484"/>
      <c r="J57" s="3123">
        <f>IF(AND(J55="",J56=""),4,IF(项目基本情况!K6="上海银行",结果表车库!J56+1,结果表车库!J55+1))</f>
        <v>4</v>
      </c>
      <c r="K57" s="3123" t="s">
        <v>2228</v>
      </c>
      <c r="L57" s="2485" t="s">
        <v>2229</v>
      </c>
      <c r="M57" s="1754"/>
      <c r="N57" s="1755">
        <f ca="1">SUMIF(M52:M56,"&lt;9e307")</f>
        <v>2015</v>
      </c>
      <c r="O57" s="2486"/>
      <c r="P57" s="1748">
        <f ca="1">N57/M49</f>
        <v>0.56744578991833283</v>
      </c>
    </row>
    <row r="58" spans="1:35" ht="24.75">
      <c r="A58" s="183" t="s">
        <v>2210</v>
      </c>
      <c r="B58" s="3154" t="s">
        <v>2230</v>
      </c>
      <c r="C58" s="3167"/>
      <c r="D58" s="185">
        <f ca="1">IF(H58="转让取得",C81,C97)</f>
        <v>2013</v>
      </c>
      <c r="E58" s="11" t="s">
        <v>2225</v>
      </c>
      <c r="F58" s="24" t="s">
        <v>34</v>
      </c>
      <c r="G58" s="2480"/>
      <c r="H58" s="2483" t="s">
        <v>2231</v>
      </c>
      <c r="I58" s="2484"/>
      <c r="J58" s="3123"/>
      <c r="K58" s="3123"/>
      <c r="L58" s="2485" t="s">
        <v>2232</v>
      </c>
      <c r="M58" s="1756"/>
      <c r="N58" s="2487" t="str">
        <f ca="1">NUMBERSTRING(INT(N57*10000),2)&amp;"元整"</f>
        <v>贰仟零壹拾伍万元整</v>
      </c>
      <c r="O58" s="2488"/>
    </row>
    <row r="59" spans="1:35" ht="24.75" thickBot="1">
      <c r="A59" s="3127" t="s">
        <v>2233</v>
      </c>
      <c r="B59" s="3128"/>
      <c r="C59" s="312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25">
        <f>J57+1</f>
        <v>5</v>
      </c>
      <c r="K59" s="3123" t="s">
        <v>2235</v>
      </c>
      <c r="L59" s="2960" t="s">
        <v>2229</v>
      </c>
      <c r="M59" s="1757"/>
      <c r="N59" s="1758">
        <f ca="1">M49-N57</f>
        <v>1536</v>
      </c>
      <c r="O59" s="2490"/>
    </row>
    <row r="60" spans="1:35" ht="12" customHeight="1">
      <c r="A60" s="2491"/>
      <c r="B60" s="2413"/>
      <c r="C60" s="2413"/>
      <c r="D60" s="2413"/>
      <c r="E60" s="2160"/>
      <c r="F60" s="2484"/>
      <c r="G60" s="2484"/>
      <c r="H60" s="2492"/>
      <c r="I60" s="138"/>
      <c r="J60" s="3126"/>
      <c r="K60" s="3123"/>
      <c r="L60" s="2485" t="s">
        <v>2232</v>
      </c>
      <c r="M60" s="1756"/>
      <c r="N60" s="2487" t="str">
        <f ca="1">NUMBERSTRING(INT(N59*10000),2)&amp;"元整"</f>
        <v>壹仟伍佰叁拾陆万元整</v>
      </c>
      <c r="O60" s="2488"/>
    </row>
    <row r="61" spans="1:35" ht="13.5" thickBot="1">
      <c r="A61" s="3186" t="s">
        <v>2236</v>
      </c>
      <c r="B61" s="3186"/>
      <c r="C61" s="3186"/>
      <c r="D61" s="3186"/>
      <c r="E61" s="3186"/>
      <c r="F61" s="2484"/>
      <c r="G61" s="2484"/>
      <c r="H61" s="2492"/>
      <c r="I61" s="138"/>
      <c r="J61" s="2960">
        <f>J59+1</f>
        <v>6</v>
      </c>
      <c r="K61" s="3123" t="s">
        <v>2237</v>
      </c>
      <c r="L61" s="3123"/>
      <c r="M61" s="1759"/>
      <c r="N61" s="1760">
        <f ca="1">ROUND(N59*10000/'数据-汇总表'!E3,0)</f>
        <v>296</v>
      </c>
      <c r="O61" s="2493"/>
    </row>
    <row r="62" spans="1:35" ht="12.75">
      <c r="A62" s="3143" t="s">
        <v>2238</v>
      </c>
      <c r="B62" s="3144"/>
      <c r="C62" s="2955"/>
      <c r="D62" s="2955" t="s">
        <v>2239</v>
      </c>
      <c r="E62" s="192" t="s">
        <v>2240</v>
      </c>
      <c r="F62" s="2484"/>
      <c r="G62" s="2484"/>
      <c r="H62" s="2492"/>
      <c r="I62" s="138"/>
    </row>
    <row r="63" spans="1:35" ht="12.75">
      <c r="A63" s="203" t="s">
        <v>775</v>
      </c>
      <c r="B63" s="193" t="s">
        <v>2241</v>
      </c>
      <c r="C63" s="194">
        <f ca="1">ROUND((C64+C65)/(1+'数据-取费表'!C42),0)</f>
        <v>3382</v>
      </c>
      <c r="D63" s="195"/>
      <c r="E63" s="196"/>
      <c r="F63" s="2484"/>
      <c r="G63" s="2484"/>
      <c r="H63" s="2492"/>
      <c r="I63" s="138"/>
      <c r="J63" s="3108" t="s">
        <v>2242</v>
      </c>
      <c r="K63" s="2964" t="s">
        <v>2243</v>
      </c>
      <c r="L63" s="1747">
        <f ca="1">IF(M49&gt;10000,M49*0.5%,IF(AND(M49&gt;1000,M49&lt;=10000),M49*1%,IF(AND(M49&gt;100,M49&lt;=1000),M49*3%,IF(AND(M49&gt;10,M49&lt;=100),M49*5%,M49*8%))))</f>
        <v>35.51</v>
      </c>
      <c r="M63" s="24">
        <f ca="1">ROUND(L63,1)</f>
        <v>35.5</v>
      </c>
      <c r="Z63" s="2418"/>
      <c r="AI63" s="2419"/>
    </row>
    <row r="64" spans="1:35" ht="14.25" customHeight="1">
      <c r="A64" s="197" t="s">
        <v>770</v>
      </c>
      <c r="B64" s="198" t="s">
        <v>2244</v>
      </c>
      <c r="C64" s="199">
        <f ca="1">D45</f>
        <v>3551</v>
      </c>
      <c r="D64" s="200" t="s">
        <v>32</v>
      </c>
      <c r="E64" s="201"/>
      <c r="F64" s="2484"/>
      <c r="G64" s="2484"/>
      <c r="H64" s="2492"/>
      <c r="I64" s="138"/>
      <c r="J64" s="3108"/>
      <c r="K64" s="2964" t="s">
        <v>2245</v>
      </c>
      <c r="L64" s="1747">
        <f ca="1">IF(M49&gt;2000,M49*0.5%,IF(AND(M49&gt;1000,M49&lt;=2000),M49*0.6%,IF(AND(M49&gt;500,M49&lt;=1000),M49*0.7%,IF(AND(M49&gt;200,M49&lt;=500),M49*0.8%,IF(AND(M49&gt;100,M49&lt;=200),M49*0.9%,IF(AND(M49&gt;50,M49&lt;=100),M49*1%,IF(AND(M49&gt;20,M49&lt;=50),M49*1.5%,IF(AND(M49&gt;10,M49&lt;=20),M49*2%,IF(AND(M49&gt;1,M49&lt;=10),M49*2.5%)))))))))</f>
        <v>17.754999999999999</v>
      </c>
      <c r="M64" s="24">
        <f t="shared" ref="M64:M65" ca="1" si="1">ROUND(L64,1)</f>
        <v>17.8</v>
      </c>
      <c r="N64" s="138" t="s">
        <v>2246</v>
      </c>
      <c r="Z64" s="2418"/>
      <c r="AI64" s="2419"/>
    </row>
    <row r="65" spans="1:35" ht="14.25" customHeight="1">
      <c r="A65" s="197" t="s">
        <v>771</v>
      </c>
      <c r="B65" s="198" t="s">
        <v>2247</v>
      </c>
      <c r="C65" s="202"/>
      <c r="D65" s="200"/>
      <c r="E65" s="201"/>
      <c r="F65" s="2484"/>
      <c r="G65" s="2484"/>
      <c r="H65" s="2492"/>
      <c r="I65" s="138"/>
      <c r="J65" s="3108"/>
      <c r="K65" s="2964" t="s">
        <v>2248</v>
      </c>
      <c r="L65" s="1747">
        <f ca="1">IF(M49&gt;1000,M49*0.1%,IF(AND(M49&gt;500,M49&lt;=1000),M49*0.5%,IF(AND(M49&gt;50,M49&lt;=500),M49*1%,IF(AND(M49&gt;1,M49&lt;=50),M49*1.5%))))</f>
        <v>3.5510000000000002</v>
      </c>
      <c r="M65" s="24">
        <f t="shared" ca="1" si="1"/>
        <v>3.6</v>
      </c>
      <c r="N65" s="138" t="s">
        <v>2246</v>
      </c>
      <c r="Z65" s="2418"/>
      <c r="AI65" s="2419"/>
    </row>
    <row r="66" spans="1:35" ht="14.25" customHeight="1">
      <c r="A66" s="203" t="s">
        <v>772</v>
      </c>
      <c r="B66" s="204" t="s">
        <v>2249</v>
      </c>
      <c r="C66" s="205"/>
      <c r="D66" s="206" t="s">
        <v>32</v>
      </c>
      <c r="E66" s="1771" t="s">
        <v>1367</v>
      </c>
      <c r="F66" s="2484"/>
      <c r="G66" s="2484"/>
      <c r="H66" s="2492"/>
      <c r="I66" s="138"/>
      <c r="J66" s="3108"/>
      <c r="K66" s="2964" t="s">
        <v>2250</v>
      </c>
      <c r="L66" s="1747">
        <f ca="1">M49*0.5%</f>
        <v>17.754999999999999</v>
      </c>
      <c r="M66" s="24">
        <f ca="1">IF(L66&gt;0.5,0.5,ROUND(L66,0))</f>
        <v>0.5</v>
      </c>
      <c r="N66" s="138" t="s">
        <v>2251</v>
      </c>
      <c r="Z66" s="2418"/>
      <c r="AI66" s="2419"/>
    </row>
    <row r="67" spans="1:35" ht="14.25" customHeight="1">
      <c r="A67" s="203" t="s">
        <v>773</v>
      </c>
      <c r="B67" s="204" t="s">
        <v>2252</v>
      </c>
      <c r="C67" s="207">
        <f ca="1">C63-C66</f>
        <v>3382</v>
      </c>
      <c r="D67" s="200" t="s">
        <v>32</v>
      </c>
      <c r="E67" s="201"/>
      <c r="F67" s="2484"/>
      <c r="G67" s="2484"/>
      <c r="H67" s="2492"/>
      <c r="I67" s="138"/>
      <c r="J67" s="3108"/>
      <c r="K67" s="2964" t="s">
        <v>2253</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2254</v>
      </c>
      <c r="C68" s="210">
        <f ca="1">IF(C67&lt;=0,0,ROUND(C67*D68,0))</f>
        <v>186</v>
      </c>
      <c r="D68" s="211">
        <f>'数据-取费表'!B41</f>
        <v>5.5000000000000007E-2</v>
      </c>
      <c r="E68" s="212"/>
      <c r="F68" s="2484"/>
      <c r="G68" s="2484"/>
      <c r="H68" s="2492"/>
      <c r="I68" s="138"/>
      <c r="J68" s="3108"/>
      <c r="K68" s="2964" t="s">
        <v>2255</v>
      </c>
      <c r="L68" s="1747">
        <f ca="1">IF(M49&gt;10000,M49*0.5%,IF(AND(M49&gt;5000,M49&lt;=10000),M49*1%,IF(AND(M49&gt;1000,M49&lt;=5000),M49*2%,IF(AND(M49&gt;200,M49&lt;=1000),M49*3%,M49*5%))))</f>
        <v>71.02</v>
      </c>
      <c r="M68" s="24">
        <f ca="1">ROUND(L68,1)</f>
        <v>71</v>
      </c>
      <c r="Z68" s="2418"/>
      <c r="AI68" s="2419"/>
    </row>
    <row r="69" spans="1:35" s="2441" customFormat="1" ht="16.5" customHeight="1">
      <c r="A69" s="2495"/>
      <c r="B69" s="2496"/>
      <c r="C69" s="2497"/>
      <c r="D69" s="2498"/>
      <c r="E69" s="2499"/>
      <c r="F69" s="2160"/>
      <c r="G69" s="2160"/>
      <c r="H69" s="2159"/>
      <c r="I69" s="2413"/>
      <c r="J69" s="3108"/>
      <c r="K69" s="2964" t="s">
        <v>2256</v>
      </c>
      <c r="L69" s="2500"/>
      <c r="M69" s="24">
        <f ca="1">ROUND(SUM(M63:M68),0)</f>
        <v>131</v>
      </c>
      <c r="N69" s="1748">
        <f ca="1">M69/M49</f>
        <v>3.6891016615038019E-2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52" t="s">
        <v>2257</v>
      </c>
      <c r="B70" s="3153"/>
      <c r="C70" s="3153"/>
      <c r="D70" s="3153"/>
      <c r="E70" s="3153"/>
      <c r="F70" s="3153"/>
      <c r="G70" s="3153"/>
      <c r="H70" s="315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3" t="s">
        <v>2238</v>
      </c>
      <c r="B71" s="3144"/>
      <c r="C71" s="2955"/>
      <c r="D71" s="2955"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3382</v>
      </c>
      <c r="D72" s="200" t="s">
        <v>32</v>
      </c>
      <c r="E72" s="2954"/>
      <c r="F72" s="2949"/>
      <c r="G72" s="294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17</v>
      </c>
      <c r="D73" s="200" t="s">
        <v>32</v>
      </c>
      <c r="E73" s="2954"/>
      <c r="F73" s="2949"/>
      <c r="G73" s="294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2954"/>
      <c r="F74" s="2949"/>
      <c r="G74" s="294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49" t="s">
        <v>2266</v>
      </c>
      <c r="F76" s="3148"/>
      <c r="G76" s="3148"/>
      <c r="H76" s="315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2965" t="s">
        <v>2268</v>
      </c>
      <c r="F77" s="224"/>
      <c r="G77" s="2508" t="s">
        <v>2269</v>
      </c>
      <c r="H77" s="295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17</v>
      </c>
      <c r="D78" s="226">
        <f>'数据-取费表'!B43</f>
        <v>5.000000000000001E-3</v>
      </c>
      <c r="E78" s="3140" t="s">
        <v>2271</v>
      </c>
      <c r="F78" s="3141"/>
      <c r="G78" s="3141"/>
      <c r="H78" s="314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2272</v>
      </c>
      <c r="C79" s="207">
        <f ca="1">C72-C73</f>
        <v>3365</v>
      </c>
      <c r="D79" s="200" t="s">
        <v>32</v>
      </c>
      <c r="E79" s="2954"/>
      <c r="F79" s="2949"/>
      <c r="G79" s="294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197.94117647058823</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2013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2" t="s">
        <v>2275</v>
      </c>
      <c r="B83" s="3153"/>
      <c r="C83" s="3153"/>
      <c r="D83" s="3153"/>
      <c r="E83" s="3153"/>
      <c r="F83" s="3153"/>
      <c r="G83" s="3153"/>
      <c r="H83" s="315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3" t="s">
        <v>2238</v>
      </c>
      <c r="B84" s="3144"/>
      <c r="C84" s="2955"/>
      <c r="D84" s="2955"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3382</v>
      </c>
      <c r="D85" s="200" t="s">
        <v>32</v>
      </c>
      <c r="E85" s="2954"/>
      <c r="F85" s="2949"/>
      <c r="G85" s="294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17</v>
      </c>
      <c r="D86" s="235"/>
      <c r="E86" s="2954"/>
      <c r="F86" s="2949"/>
      <c r="G86" s="294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2950"/>
      <c r="F87" s="2951"/>
      <c r="G87" s="2951"/>
      <c r="H87" s="2953"/>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2951"/>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2951"/>
      <c r="G89" s="2951"/>
      <c r="H89" s="2953"/>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2951"/>
      <c r="G90" s="2951"/>
      <c r="H90" s="2953"/>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40" t="s">
        <v>2284</v>
      </c>
      <c r="F91" s="3141"/>
      <c r="G91" s="3141"/>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40" t="s">
        <v>2288</v>
      </c>
      <c r="F92" s="3141"/>
      <c r="G92" s="3141"/>
      <c r="H92" s="314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17</v>
      </c>
      <c r="D93" s="226">
        <f>'数据-取费表'!B43</f>
        <v>5.000000000000001E-3</v>
      </c>
      <c r="E93" s="3140" t="s">
        <v>2271</v>
      </c>
      <c r="F93" s="3141"/>
      <c r="G93" s="3141"/>
      <c r="H93" s="314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88" t="s">
        <v>2292</v>
      </c>
      <c r="F94" s="3189"/>
      <c r="G94" s="3189"/>
      <c r="H94" s="319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2272</v>
      </c>
      <c r="C95" s="207">
        <f ca="1">ROUND(C85-C86,0)</f>
        <v>3365</v>
      </c>
      <c r="D95" s="200" t="s">
        <v>32</v>
      </c>
      <c r="E95" s="2954"/>
      <c r="F95" s="2949"/>
      <c r="G95" s="294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197.94117647058823</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2013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2293</v>
      </c>
      <c r="B99" s="2413"/>
      <c r="C99" s="2413"/>
      <c r="D99" s="2413"/>
      <c r="E99" s="2160"/>
      <c r="F99" s="2160"/>
      <c r="G99" s="2160"/>
      <c r="H99" s="2159"/>
      <c r="I99" s="138"/>
    </row>
    <row r="100" spans="1:35" ht="18.75" customHeight="1">
      <c r="A100" s="3092" t="s">
        <v>2294</v>
      </c>
      <c r="B100" s="3093"/>
      <c r="C100" s="3093"/>
      <c r="D100" s="3124"/>
      <c r="E100" s="3093" t="s">
        <v>2295</v>
      </c>
      <c r="F100" s="3093"/>
      <c r="G100" s="3093"/>
      <c r="H100" s="3124"/>
      <c r="I100" s="138"/>
    </row>
    <row r="101" spans="1:35" ht="18.75" customHeight="1">
      <c r="A101" s="3132" t="s">
        <v>2296</v>
      </c>
      <c r="B101" s="3133"/>
      <c r="C101" s="734" t="str">
        <f>C4</f>
        <v>收益法车库</v>
      </c>
      <c r="D101" s="735" t="str">
        <f>D4</f>
        <v>比较法-车位</v>
      </c>
      <c r="E101" s="3104" t="s">
        <v>2297</v>
      </c>
      <c r="F101" s="3105"/>
      <c r="G101" s="2515" t="s">
        <v>2298</v>
      </c>
      <c r="H101" s="1043">
        <f ca="1">H118</f>
        <v>3551</v>
      </c>
      <c r="I101" s="138"/>
    </row>
    <row r="102" spans="1:35" ht="18.75" customHeight="1">
      <c r="A102" s="3134" t="s">
        <v>2299</v>
      </c>
      <c r="B102" s="2515" t="s">
        <v>2298</v>
      </c>
      <c r="C102" s="734">
        <f ca="1">C19</f>
        <v>2442</v>
      </c>
      <c r="D102" s="735">
        <f ca="1">D19</f>
        <v>4290</v>
      </c>
      <c r="E102" s="3104"/>
      <c r="F102" s="3105"/>
      <c r="G102" s="2515" t="s">
        <v>2300</v>
      </c>
      <c r="H102" s="371">
        <f ca="1">I118</f>
        <v>2900</v>
      </c>
      <c r="I102" s="138"/>
    </row>
    <row r="103" spans="1:35" ht="42.75" customHeight="1">
      <c r="A103" s="3134"/>
      <c r="B103" s="2515" t="s">
        <v>2300</v>
      </c>
      <c r="C103" s="736">
        <f ca="1">C20</f>
        <v>1994</v>
      </c>
      <c r="D103" s="737">
        <f ca="1">D20</f>
        <v>3503</v>
      </c>
      <c r="E103" s="3098" t="s">
        <v>2301</v>
      </c>
      <c r="F103" s="3099"/>
      <c r="G103" s="2516" t="s">
        <v>2302</v>
      </c>
      <c r="H103" s="1043">
        <f>IF(D36="正常操作",H104+H105+H106,H105+H106)</f>
        <v>0</v>
      </c>
      <c r="I103" s="138"/>
    </row>
    <row r="104" spans="1:35" ht="18.75" customHeight="1">
      <c r="A104" s="3134" t="s">
        <v>2303</v>
      </c>
      <c r="B104" s="2517" t="s">
        <v>2298</v>
      </c>
      <c r="C104" s="738">
        <f ca="1">H118</f>
        <v>3551</v>
      </c>
      <c r="D104" s="739"/>
      <c r="E104" s="2261" t="s">
        <v>2304</v>
      </c>
      <c r="F104" s="2252"/>
      <c r="G104" s="2516" t="s">
        <v>2302</v>
      </c>
      <c r="H104" s="1044">
        <f>IF(D36="同一抵押权人同一抵押物续贷",C36&amp;"（未扣减，详见特别提示）",C36)</f>
        <v>0</v>
      </c>
      <c r="I104" s="138"/>
    </row>
    <row r="105" spans="1:35" ht="18.75" customHeight="1" thickBot="1">
      <c r="A105" s="3146"/>
      <c r="B105" s="2518" t="s">
        <v>2300</v>
      </c>
      <c r="C105" s="740">
        <f ca="1">I118</f>
        <v>2900</v>
      </c>
      <c r="D105" s="741"/>
      <c r="E105" s="2261" t="s">
        <v>2305</v>
      </c>
      <c r="F105" s="2252"/>
      <c r="G105" s="2516" t="s">
        <v>2302</v>
      </c>
      <c r="H105" s="1044">
        <f>C37</f>
        <v>0</v>
      </c>
      <c r="I105" s="138"/>
    </row>
    <row r="106" spans="1:35" ht="18.75" customHeight="1">
      <c r="A106" s="2413" t="s">
        <v>2306</v>
      </c>
      <c r="B106" s="2413"/>
      <c r="C106" s="2413"/>
      <c r="D106" s="2413"/>
      <c r="E106" s="2519" t="s">
        <v>2307</v>
      </c>
      <c r="F106" s="2252"/>
      <c r="G106" s="2516" t="s">
        <v>2302</v>
      </c>
      <c r="H106" s="1044">
        <f>C38</f>
        <v>0</v>
      </c>
      <c r="I106" s="138"/>
    </row>
    <row r="107" spans="1:35" ht="18.75" customHeight="1">
      <c r="A107" s="138"/>
      <c r="B107" s="138"/>
      <c r="C107" s="138"/>
      <c r="D107" s="138"/>
      <c r="E107" s="3135" t="str">
        <f>IF(项目基本情况!E8="已注销","——","3.房地产抵押价值")</f>
        <v>3.房地产抵押价值</v>
      </c>
      <c r="F107" s="3105"/>
      <c r="G107" s="2515" t="s">
        <v>2298</v>
      </c>
      <c r="H107" s="1043">
        <f ca="1">IF(E107="——","——",H101-H103)</f>
        <v>3551</v>
      </c>
      <c r="I107" s="138"/>
    </row>
    <row r="108" spans="1:35" ht="18.75" customHeight="1">
      <c r="A108" s="138"/>
      <c r="B108" s="138"/>
      <c r="C108" s="138"/>
      <c r="D108" s="138"/>
      <c r="E108" s="3135"/>
      <c r="F108" s="3105"/>
      <c r="G108" s="2515" t="s">
        <v>2300</v>
      </c>
      <c r="H108" s="371">
        <f ca="1">ROUND(H107*10000/'数据-汇总表'!E3,0)</f>
        <v>684</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05"/>
      <c r="G109" s="2515" t="s">
        <v>2298</v>
      </c>
      <c r="H109" s="348" t="str">
        <f>IF(E109="——","——",H101-H105-H106)</f>
        <v>——</v>
      </c>
      <c r="I109" s="138"/>
    </row>
    <row r="110" spans="1:35" ht="18.75" customHeight="1">
      <c r="A110" s="138"/>
      <c r="B110" s="138"/>
      <c r="C110" s="138"/>
      <c r="D110" s="138"/>
      <c r="E110" s="3135"/>
      <c r="F110" s="3105"/>
      <c r="G110" s="2515" t="s">
        <v>2300</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5" t="s">
        <v>2298</v>
      </c>
      <c r="H111" s="1043" t="str">
        <f>IF(E111="——","——",N59)</f>
        <v>——</v>
      </c>
      <c r="I111" s="138"/>
    </row>
    <row r="112" spans="1:35" ht="18.75" customHeight="1" thickBot="1">
      <c r="A112" s="138"/>
      <c r="B112" s="138"/>
      <c r="C112" s="138"/>
      <c r="D112" s="138"/>
      <c r="E112" s="3138"/>
      <c r="F112" s="3139"/>
      <c r="G112" s="2520" t="s">
        <v>2300</v>
      </c>
      <c r="H112" s="788" t="str">
        <f>IF(E111="——","——",N61)</f>
        <v>——</v>
      </c>
      <c r="I112" s="138"/>
    </row>
    <row r="113" spans="1:11" ht="18.75" customHeight="1">
      <c r="A113" s="138"/>
      <c r="B113" s="138"/>
      <c r="C113" s="138"/>
      <c r="D113" s="138"/>
      <c r="E113" s="3147" t="s">
        <v>2306</v>
      </c>
      <c r="F113" s="3147"/>
      <c r="G113" s="3147"/>
      <c r="H113" s="3147"/>
      <c r="I113" s="138"/>
    </row>
    <row r="114" spans="1:11" ht="3.75" customHeight="1">
      <c r="A114" s="2413"/>
      <c r="B114" s="2413"/>
      <c r="C114" s="2413"/>
      <c r="D114" s="2413"/>
      <c r="E114" s="2491"/>
      <c r="F114" s="2491"/>
      <c r="G114" s="2491"/>
      <c r="H114" s="2491"/>
      <c r="I114" s="2413"/>
    </row>
    <row r="115" spans="1:11" ht="18.75" customHeight="1">
      <c r="A115" s="3160" t="s">
        <v>2308</v>
      </c>
      <c r="B115" s="3161"/>
      <c r="C115" s="3161"/>
      <c r="D115" s="3161"/>
      <c r="E115" s="3161"/>
      <c r="F115" s="3161"/>
      <c r="G115" s="3161"/>
      <c r="H115" s="3161"/>
      <c r="I115" s="3162"/>
    </row>
    <row r="116" spans="1:11" ht="27" customHeight="1">
      <c r="A116" s="3071" t="s">
        <v>2309</v>
      </c>
      <c r="B116" s="3114" t="s">
        <v>2310</v>
      </c>
      <c r="C116" s="3114" t="s">
        <v>2311</v>
      </c>
      <c r="D116" s="3120" t="s">
        <v>2312</v>
      </c>
      <c r="E116" s="3121"/>
      <c r="F116" s="3156" t="s">
        <v>2313</v>
      </c>
      <c r="G116" s="3156"/>
      <c r="H116" s="3071" t="s">
        <v>2314</v>
      </c>
      <c r="I116" s="3071"/>
    </row>
    <row r="117" spans="1:11" ht="18.75" customHeight="1">
      <c r="A117" s="3071"/>
      <c r="B117" s="3115"/>
      <c r="C117" s="3115"/>
      <c r="D117" s="2947" t="s">
        <v>2315</v>
      </c>
      <c r="E117" s="2947" t="s">
        <v>2316</v>
      </c>
      <c r="F117" s="2947" t="s">
        <v>2315</v>
      </c>
      <c r="G117" s="2947" t="s">
        <v>2317</v>
      </c>
      <c r="H117" s="2947" t="s">
        <v>2315</v>
      </c>
      <c r="I117" s="2947" t="s">
        <v>2317</v>
      </c>
    </row>
    <row r="118" spans="1:11" ht="24.75" customHeight="1">
      <c r="A118" s="2521" t="str">
        <f>项目基本情况!S2</f>
        <v>北京市北京经济技术开发区天华北街11号院1号楼，2号楼，3号楼，4幢等部分办公、商业用房房地产抵押价值评估房地产</v>
      </c>
      <c r="B118" s="2947">
        <f>M18</f>
        <v>12246.83</v>
      </c>
      <c r="C118" s="2947">
        <f>M19</f>
        <v>2716.54</v>
      </c>
      <c r="D118" s="2947">
        <f ca="1">ROUND(IF(D32="总价",C34,E118*B118/10000),0)</f>
        <v>249</v>
      </c>
      <c r="E118" s="2947">
        <f ca="1">ROUND(IF(C33="自定义",IF(D32="楼面单价",C34,D118*10000/B118),I118-G118),0)</f>
        <v>203</v>
      </c>
      <c r="F118" s="2947">
        <f ca="1">ROUND(IF(D32="总价",C35,G118*B118/10000),0)</f>
        <v>3302</v>
      </c>
      <c r="G118" s="2947">
        <f ca="1">ROUND(IF(D32="楼面单价",C35,F118*10000/B118),0)</f>
        <v>2696</v>
      </c>
      <c r="H118" s="2947">
        <f ca="1">ROUND(IF(D32="总价",C32,I118*B118/10000),0)</f>
        <v>3551</v>
      </c>
      <c r="I118" s="2947">
        <f ca="1">ROUND(IF(D32="楼面单价",C32,H118*10000/B118),0)</f>
        <v>2900</v>
      </c>
    </row>
    <row r="119" spans="1:11" ht="18.75" customHeight="1">
      <c r="A119" s="3071" t="s">
        <v>2318</v>
      </c>
      <c r="B119" s="3071"/>
      <c r="C119" s="3071"/>
      <c r="D119" s="3116" t="str">
        <f ca="1">NUMBERSTRING(INT(D118*10000),2)&amp;"元整"</f>
        <v>贰佰肆拾玖万元整</v>
      </c>
      <c r="E119" s="3117"/>
      <c r="F119" s="3116" t="str">
        <f ca="1">NUMBERSTRING(INT(F118*10000),2)&amp;"元整"</f>
        <v>叁仟叁佰零贰万元整</v>
      </c>
      <c r="G119" s="3117"/>
      <c r="H119" s="3116" t="str">
        <f ca="1">NUMBERSTRING(INT(H118*10000),2)&amp;"元整"</f>
        <v>叁仟伍佰伍拾壹万元整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18" t="str">
        <f>IF(D120=0,"故，本次评估不存在"&amp;A120,"故，本次评估"&amp;A120&amp;"为人民币"&amp;D120&amp;"万元整。")</f>
        <v>故，本次评估不存在估价师知悉的法定优先受偿款</v>
      </c>
    </row>
    <row r="121" spans="1:11" ht="18.75" customHeight="1">
      <c r="A121" s="3157" t="s">
        <v>2318</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3551</v>
      </c>
      <c r="E122" s="3112"/>
      <c r="F122" s="3112"/>
      <c r="G122" s="3112"/>
      <c r="H122" s="3112"/>
      <c r="I122" s="3113"/>
    </row>
    <row r="123" spans="1:11" ht="18.75" customHeight="1">
      <c r="A123" s="3071" t="s">
        <v>2318</v>
      </c>
      <c r="B123" s="3071"/>
      <c r="C123" s="3071"/>
      <c r="D123" s="3116" t="str">
        <f ca="1">NUMBERSTRING(INT(D122*10000),2)&amp;"元整"</f>
        <v>叁仟伍佰伍拾壹万元整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1" t="s">
        <v>2318</v>
      </c>
      <c r="B125" s="3071"/>
      <c r="C125" s="3071"/>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1" t="s">
        <v>2318</v>
      </c>
      <c r="B127" s="3071"/>
      <c r="C127" s="3071"/>
      <c r="D127" s="3116" t="e">
        <f>NUMBERSTRING(INT(D126*10000),2)&amp;"元整"</f>
        <v>#VALUE!</v>
      </c>
      <c r="E127" s="3118"/>
      <c r="F127" s="3118"/>
      <c r="G127" s="3118"/>
      <c r="H127" s="3118"/>
      <c r="I127" s="3117"/>
    </row>
    <row r="128" spans="1:11" ht="21.75" customHeight="1">
      <c r="A128" s="3119" t="s">
        <v>2319</v>
      </c>
      <c r="B128" s="3119"/>
      <c r="C128" s="3119"/>
      <c r="D128" s="3119"/>
      <c r="E128" s="3119"/>
      <c r="F128" s="3119"/>
      <c r="G128" s="3119"/>
      <c r="H128" s="3119"/>
      <c r="I128" s="3119"/>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2322</v>
      </c>
      <c r="G135" s="2539"/>
      <c r="H135" s="2539"/>
      <c r="I135" s="2540" t="s">
        <v>2323</v>
      </c>
    </row>
    <row r="136" spans="1:35" ht="21.75" customHeight="1">
      <c r="A136" s="793"/>
      <c r="B136" s="2541"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2325</v>
      </c>
    </row>
    <row r="139" spans="1:35" ht="21.75" customHeight="1">
      <c r="A139" s="793"/>
      <c r="B139" s="2541" t="s">
        <v>2326</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2325</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4" sqref="J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3083</v>
      </c>
      <c r="D1" s="1818" t="s">
        <v>70</v>
      </c>
      <c r="E1" s="1819" t="s">
        <v>1383</v>
      </c>
      <c r="F1" s="1281">
        <f ca="1">J53</f>
        <v>38.590000000000003</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2442</v>
      </c>
      <c r="C2" s="1843" t="s">
        <v>1512</v>
      </c>
      <c r="D2" s="1843"/>
      <c r="E2" s="1844"/>
      <c r="F2" s="1845"/>
      <c r="G2" s="1846"/>
      <c r="H2" s="1838"/>
      <c r="I2" s="1838"/>
      <c r="J2" s="1838"/>
      <c r="K2" s="1839"/>
      <c r="L2" s="1838"/>
      <c r="M2" s="1838"/>
    </row>
    <row r="3" spans="1:37" ht="18" customHeight="1" thickBot="1">
      <c r="A3" s="1847" t="s">
        <v>1513</v>
      </c>
      <c r="B3" s="1848">
        <f ca="1">IF(ISERROR(B2*10000/F43),0,ROUND(B2*10000/F43,0))</f>
        <v>1994</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238</v>
      </c>
      <c r="D5" s="1820" t="s">
        <v>1398</v>
      </c>
      <c r="E5" s="1291"/>
      <c r="F5" s="1292"/>
      <c r="G5" s="1849"/>
      <c r="H5" s="344">
        <v>1</v>
      </c>
      <c r="I5" s="345" t="s">
        <v>1397</v>
      </c>
      <c r="J5" s="1290">
        <f ca="1">J6+J10+J12</f>
        <v>0</v>
      </c>
      <c r="K5" s="1820" t="s">
        <v>1398</v>
      </c>
      <c r="L5" s="1291"/>
      <c r="M5" s="1292"/>
    </row>
    <row r="6" spans="1:37" ht="18" customHeight="1">
      <c r="A6" s="1289" t="s">
        <v>1032</v>
      </c>
      <c r="B6" s="3196" t="s">
        <v>1399</v>
      </c>
      <c r="C6" s="1294">
        <f ca="1">ROUND(F6*F8*F7*(1-F9)/10000,0)</f>
        <v>238</v>
      </c>
      <c r="D6" s="164" t="s">
        <v>3033</v>
      </c>
      <c r="E6" s="347" t="s">
        <v>1401</v>
      </c>
      <c r="F6" s="348">
        <f ca="1">INDIRECT("'数据-取费表'!u"&amp;$G$1)</f>
        <v>800</v>
      </c>
      <c r="G6" s="1849"/>
      <c r="H6" s="1289" t="s">
        <v>1032</v>
      </c>
      <c r="I6" s="3196" t="s">
        <v>1399</v>
      </c>
      <c r="J6" s="346">
        <f ca="1">ROUND(M6*M8*M7*(1-M9)/10000,0)</f>
        <v>0</v>
      </c>
      <c r="K6" s="164" t="s">
        <v>3032</v>
      </c>
      <c r="L6" s="347" t="s">
        <v>1401</v>
      </c>
      <c r="M6" s="348">
        <f ca="1">INDIRECT("'数据-取费表'!z"&amp;$G$1)</f>
        <v>0</v>
      </c>
    </row>
    <row r="7" spans="1:37" ht="18" customHeight="1">
      <c r="A7" s="1293"/>
      <c r="B7" s="3197"/>
      <c r="C7" s="1295"/>
      <c r="D7" s="352"/>
      <c r="E7" s="2966" t="s">
        <v>1402</v>
      </c>
      <c r="F7" s="348">
        <f ca="1">IF(INDIRECT("'数据-取费表'!ah"&amp;$G$1)="",INDIRECT("'数据-取费表'!k"&amp;$G$1),INDIRECT("'数据-取费表'!ah"&amp;$G$1))</f>
        <v>275</v>
      </c>
      <c r="G7" s="1849"/>
      <c r="H7" s="349"/>
      <c r="I7" s="3197"/>
      <c r="J7" s="351"/>
      <c r="K7" s="352"/>
      <c r="L7" s="347" t="s">
        <v>1402</v>
      </c>
      <c r="M7" s="348">
        <f ca="1">F7</f>
        <v>275</v>
      </c>
    </row>
    <row r="8" spans="1:37" ht="18" customHeight="1">
      <c r="A8" s="349"/>
      <c r="B8" s="3197"/>
      <c r="C8" s="351"/>
      <c r="D8" s="352"/>
      <c r="E8" s="347" t="s">
        <v>1403</v>
      </c>
      <c r="F8" s="348">
        <f ca="1">INDIRECT("'数据-取费表'!ai"&amp;$G$1)</f>
        <v>12</v>
      </c>
      <c r="G8" s="1849"/>
      <c r="H8" s="349"/>
      <c r="I8" s="3197"/>
      <c r="J8" s="351"/>
      <c r="K8" s="352"/>
      <c r="L8" s="347" t="s">
        <v>1403</v>
      </c>
      <c r="M8" s="348">
        <f ca="1">INDIRECT("'数据-取费表'!ai"&amp;$G$1)</f>
        <v>12</v>
      </c>
    </row>
    <row r="9" spans="1:37" ht="18" customHeight="1">
      <c r="A9" s="349"/>
      <c r="B9" s="3198"/>
      <c r="C9" s="351"/>
      <c r="D9" s="352"/>
      <c r="E9" s="347" t="s">
        <v>1404</v>
      </c>
      <c r="F9" s="357">
        <f ca="1">INDIRECT("'数据-取费表'!w"&amp;$G$1)</f>
        <v>0.1</v>
      </c>
      <c r="G9" s="1849"/>
      <c r="H9" s="349"/>
      <c r="I9" s="3198"/>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3041</v>
      </c>
      <c r="E10" s="358" t="s">
        <v>1406</v>
      </c>
      <c r="F10" s="1364" t="s">
        <v>3182</v>
      </c>
      <c r="G10" s="1849"/>
      <c r="H10" s="1289" t="s">
        <v>1036</v>
      </c>
      <c r="I10" s="1821" t="s">
        <v>1405</v>
      </c>
      <c r="J10" s="346">
        <f ca="1">ROUND(IF(M10="押一",J6/12*M11,IF(M10="押二",J6/12*2*M11,IF(M10="押三",J6/12*3*M11,J11*M11))),0)</f>
        <v>0</v>
      </c>
      <c r="K10" s="1822" t="s">
        <v>3041</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3302</v>
      </c>
      <c r="D13" s="1329" t="s">
        <v>1411</v>
      </c>
      <c r="E13" s="1329" t="s">
        <v>1412</v>
      </c>
      <c r="F13" s="1330">
        <f ca="1">INDIRECT("'数据-取费表'!y"&amp;$G$1)</f>
        <v>0.93</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2449</v>
      </c>
      <c r="D14" s="2954" t="s">
        <v>1414</v>
      </c>
      <c r="E14" s="2949"/>
      <c r="F14" s="364"/>
      <c r="G14" s="1849"/>
      <c r="H14" s="1199" t="s">
        <v>1032</v>
      </c>
      <c r="I14" s="347" t="s">
        <v>1415</v>
      </c>
      <c r="J14" s="24">
        <f ca="1">C29</f>
        <v>3550</v>
      </c>
      <c r="K14" s="2965"/>
      <c r="L14" s="977"/>
      <c r="M14" s="978"/>
    </row>
    <row r="15" spans="1:37" s="1856" customFormat="1" ht="18" customHeight="1" thickBot="1">
      <c r="A15" s="1199" t="s">
        <v>1033</v>
      </c>
      <c r="B15" s="347" t="s">
        <v>1416</v>
      </c>
      <c r="C15" s="24">
        <f ca="1">ROUND(C14*F15,0)</f>
        <v>73</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84</v>
      </c>
      <c r="K16" s="1335" t="s">
        <v>1421</v>
      </c>
      <c r="L16" s="2956"/>
      <c r="M16" s="1292"/>
    </row>
    <row r="17" spans="1:37" s="1856" customFormat="1" ht="18" customHeight="1">
      <c r="A17" s="1199" t="s">
        <v>1386</v>
      </c>
      <c r="B17" s="347" t="s">
        <v>1422</v>
      </c>
      <c r="C17" s="24">
        <f ca="1">ROUND(F17*(F43+INDIRECT("'数据-取费表'!S"&amp;$G$1))/10000,0)</f>
        <v>245</v>
      </c>
      <c r="D17" s="347" t="s">
        <v>1423</v>
      </c>
      <c r="E17" s="347" t="s">
        <v>1424</v>
      </c>
      <c r="F17" s="26">
        <f>'数据-取费表'!B35</f>
        <v>200</v>
      </c>
      <c r="G17" s="1852"/>
      <c r="H17" s="1199" t="s">
        <v>1032</v>
      </c>
      <c r="I17" s="347" t="s">
        <v>1425</v>
      </c>
      <c r="J17" s="24">
        <f ca="1">ROUND(IF(项目基本情况!B11="自然人",J5*M17,J18+J19+J20),1)</f>
        <v>30.2</v>
      </c>
      <c r="K17" s="2954" t="s">
        <v>1426</v>
      </c>
      <c r="L17" s="295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37</v>
      </c>
      <c r="D18" s="347" t="s">
        <v>1417</v>
      </c>
      <c r="E18" s="347" t="s">
        <v>1418</v>
      </c>
      <c r="F18" s="367">
        <f>'数据-取费表'!B36</f>
        <v>1.4999999999999999E-2</v>
      </c>
      <c r="G18" s="1852"/>
      <c r="H18" s="1199" t="s">
        <v>1031</v>
      </c>
      <c r="I18" s="347" t="s">
        <v>1429</v>
      </c>
      <c r="J18" s="24">
        <f ca="1">ROUND(J5*M18/(1+'数据-取费表'!C42),2)</f>
        <v>0</v>
      </c>
      <c r="K18" s="295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2804</v>
      </c>
      <c r="D19" s="140" t="s">
        <v>1432</v>
      </c>
      <c r="E19" s="2963"/>
      <c r="F19" s="26"/>
      <c r="G19" s="1849"/>
      <c r="H19" s="1199" t="s">
        <v>1033</v>
      </c>
      <c r="I19" s="347" t="s">
        <v>1433</v>
      </c>
      <c r="J19" s="24">
        <f ca="1">IF(K19="按租金收入计税",ROUND(J5*M19,2),ROUND(C29*M19*0.7,2))</f>
        <v>29.82</v>
      </c>
      <c r="K19" s="1826" t="s">
        <v>1434</v>
      </c>
      <c r="L19" s="347" t="s">
        <v>1418</v>
      </c>
      <c r="M19" s="367">
        <f>IF(K19="按租金收入计税",'数据-取费表'!B51,'数据-取费表'!B50)</f>
        <v>1.2E-2</v>
      </c>
    </row>
    <row r="20" spans="1:37" s="1856" customFormat="1" ht="18" customHeight="1">
      <c r="A20" s="1199" t="s">
        <v>1036</v>
      </c>
      <c r="B20" s="347" t="s">
        <v>1435</v>
      </c>
      <c r="C20" s="24">
        <f ca="1">ROUND(C19*F20,0)</f>
        <v>56</v>
      </c>
      <c r="D20" s="369" t="s">
        <v>1436</v>
      </c>
      <c r="E20" s="347" t="s">
        <v>1418</v>
      </c>
      <c r="F20" s="367">
        <f>'数据-取费表'!B37</f>
        <v>0.02</v>
      </c>
      <c r="G20" s="1852"/>
      <c r="H20" s="1199" t="s">
        <v>1385</v>
      </c>
      <c r="I20" s="164" t="s">
        <v>1437</v>
      </c>
      <c r="J20" s="25">
        <f ca="1">ROUND(M20*M21/10000,2)</f>
        <v>0.41</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2716.54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3"/>
      <c r="F22" s="26"/>
      <c r="G22" s="1849"/>
      <c r="H22" s="1199" t="s">
        <v>1036</v>
      </c>
      <c r="I22" s="347" t="s">
        <v>1445</v>
      </c>
      <c r="J22" s="24">
        <f ca="1">ROUND(J14*M22,1)</f>
        <v>53.3</v>
      </c>
      <c r="K22" s="2952"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136</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2952"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v>
      </c>
      <c r="K24" s="1340" t="s">
        <v>1455</v>
      </c>
      <c r="L24" s="1338" t="s">
        <v>1418</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3"/>
      <c r="F25" s="26"/>
      <c r="G25" s="1849"/>
      <c r="H25" s="1327" t="s">
        <v>1028</v>
      </c>
      <c r="I25" s="1342" t="s">
        <v>1459</v>
      </c>
      <c r="J25" s="355">
        <f ca="1">J5-J16</f>
        <v>-84</v>
      </c>
      <c r="K25" s="1343" t="s">
        <v>1460</v>
      </c>
      <c r="L25" s="1344"/>
      <c r="M25" s="1345"/>
    </row>
    <row r="26" spans="1:37">
      <c r="A26" s="1199" t="s">
        <v>1031</v>
      </c>
      <c r="B26" s="347" t="s">
        <v>1461</v>
      </c>
      <c r="C26" s="24">
        <f ca="1">ROUND((C19+C20)*F26,0)</f>
        <v>286</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3550</v>
      </c>
      <c r="D29" s="1340"/>
      <c r="E29" s="1338"/>
      <c r="F29" s="1341"/>
      <c r="G29" s="1852"/>
      <c r="H29" s="380" t="s">
        <v>1030</v>
      </c>
      <c r="I29" s="381" t="s">
        <v>1475</v>
      </c>
      <c r="J29" s="382">
        <f ca="1">ROUND(J26/(1+F40)^F41,0)</f>
        <v>0</v>
      </c>
      <c r="K29" s="383" t="s">
        <v>1476</v>
      </c>
      <c r="L29" s="384"/>
      <c r="M29" s="385">
        <f ca="1">INDIRECT("'数据-取费表'!k"&amp;$G$1)</f>
        <v>12246.83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103</v>
      </c>
      <c r="D30" s="1335" t="s">
        <v>1421</v>
      </c>
      <c r="E30" s="2956"/>
      <c r="F30" s="1292"/>
      <c r="G30" s="1849"/>
      <c r="H30" s="743"/>
      <c r="I30" s="744"/>
      <c r="J30" s="745"/>
      <c r="K30" s="746"/>
      <c r="L30" s="747"/>
      <c r="M30" s="748"/>
    </row>
    <row r="31" spans="1:37" ht="18" customHeight="1">
      <c r="A31" s="1199" t="s">
        <v>1032</v>
      </c>
      <c r="B31" s="347" t="s">
        <v>1425</v>
      </c>
      <c r="C31" s="24">
        <f ca="1">ROUND(IF(项目基本情况!B11="自然人",C5*F31,C32+C33+C34),1)</f>
        <v>41.4</v>
      </c>
      <c r="D31" s="2954" t="s">
        <v>1426</v>
      </c>
      <c r="E31" s="295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12.47</v>
      </c>
      <c r="D32" s="2952" t="s">
        <v>1430</v>
      </c>
      <c r="E32" s="347" t="s">
        <v>1418</v>
      </c>
      <c r="F32" s="377">
        <f>'数据-取费表'!B41</f>
        <v>5.5000000000000007E-2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28.56</v>
      </c>
      <c r="D33" s="1826" t="s">
        <v>3183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0.41</v>
      </c>
      <c r="D34" s="370" t="s">
        <v>1438</v>
      </c>
      <c r="E34" s="347" t="s">
        <v>1439</v>
      </c>
      <c r="F34" s="371">
        <f>'数据-取费表'!B52</f>
        <v>1.5</v>
      </c>
      <c r="G34" s="1849"/>
      <c r="H34" s="743"/>
      <c r="I34" s="1858"/>
      <c r="J34" s="1859"/>
      <c r="K34" s="1861"/>
      <c r="L34" s="1862"/>
      <c r="M34" s="1862"/>
    </row>
    <row r="35" spans="1:18" ht="18" customHeight="1">
      <c r="A35" s="1351"/>
      <c r="B35" s="1349"/>
      <c r="C35" s="29"/>
      <c r="D35" s="373"/>
      <c r="E35" s="347" t="s">
        <v>1443</v>
      </c>
      <c r="F35" s="348">
        <f ca="1">INDIRECT("'数据-取费表'!r"&amp;$G$1)</f>
        <v>2716.54</v>
      </c>
      <c r="G35" s="1849"/>
      <c r="H35" s="743"/>
      <c r="I35" s="1858"/>
      <c r="J35" s="1859"/>
      <c r="K35" s="1860"/>
      <c r="L35" s="1857"/>
      <c r="M35" s="1857"/>
    </row>
    <row r="36" spans="1:18" ht="18" customHeight="1">
      <c r="A36" s="1350" t="s">
        <v>1036</v>
      </c>
      <c r="B36" s="347" t="s">
        <v>1445</v>
      </c>
      <c r="C36" s="24">
        <f ca="1">ROUND(C29*F36,1)</f>
        <v>53.3</v>
      </c>
      <c r="D36" s="2952" t="s">
        <v>1478</v>
      </c>
      <c r="E36" s="347" t="s">
        <v>1418</v>
      </c>
      <c r="F36" s="374">
        <f ca="1">INDIRECT("'数据-取费表'!Ak"&amp;$G$1)</f>
        <v>1.4999999999999999E-2</v>
      </c>
      <c r="G36" s="1849"/>
      <c r="H36" s="1857"/>
      <c r="I36" s="1858"/>
      <c r="J36" s="1859"/>
      <c r="K36" s="749"/>
      <c r="L36" s="1857"/>
      <c r="M36" s="1857"/>
    </row>
    <row r="37" spans="1:18" ht="18" customHeight="1">
      <c r="A37" s="1199" t="s">
        <v>1072</v>
      </c>
      <c r="B37" s="347" t="s">
        <v>1449</v>
      </c>
      <c r="C37" s="24">
        <f ca="1">ROUND(C13*F37,1)</f>
        <v>5</v>
      </c>
      <c r="D37" s="2952" t="s">
        <v>1450</v>
      </c>
      <c r="E37" s="347" t="s">
        <v>1418</v>
      </c>
      <c r="F37" s="376">
        <f ca="1">INDIRECT("'数据-取费表'!Al"&amp;$G$1)</f>
        <v>1.5E-3</v>
      </c>
      <c r="G37" s="1849"/>
      <c r="H37" s="1857"/>
      <c r="I37" s="1858"/>
      <c r="J37" s="1859"/>
      <c r="K37" s="749"/>
      <c r="L37" s="1857"/>
      <c r="M37" s="1857"/>
    </row>
    <row r="38" spans="1:18" ht="18" customHeight="1" thickBot="1">
      <c r="A38" s="1337" t="s">
        <v>1388</v>
      </c>
      <c r="B38" s="1338" t="s">
        <v>1435</v>
      </c>
      <c r="C38" s="1339">
        <f ca="1">ROUND(C5*F38,1)</f>
        <v>3.6</v>
      </c>
      <c r="D38" s="1340" t="s">
        <v>1455</v>
      </c>
      <c r="E38" s="1338" t="s">
        <v>1418</v>
      </c>
      <c r="F38" s="1334">
        <f ca="1">INDIRECT("'数据-取费表'!Am"&amp;$G$1)</f>
        <v>1.4999999999999999E-2</v>
      </c>
      <c r="G38" s="1849"/>
      <c r="H38" s="1857"/>
      <c r="I38" s="1858"/>
      <c r="J38" s="1859"/>
      <c r="K38" s="1863"/>
      <c r="L38" s="1857"/>
      <c r="M38" s="1857"/>
    </row>
    <row r="39" spans="1:18" ht="24.6" customHeight="1" thickTop="1">
      <c r="A39" s="1327" t="s">
        <v>1028</v>
      </c>
      <c r="B39" s="1342" t="s">
        <v>1459</v>
      </c>
      <c r="C39" s="355">
        <f ca="1">C5-C30</f>
        <v>135</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2442</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38.590000000000003</v>
      </c>
      <c r="G41" s="1849"/>
      <c r="H41" s="730"/>
      <c r="I41" s="1858"/>
      <c r="J41" s="1859"/>
      <c r="K41" s="749"/>
      <c r="L41" s="730"/>
      <c r="M41" s="730"/>
    </row>
    <row r="42" spans="1:18" ht="18" customHeight="1">
      <c r="A42" s="353"/>
      <c r="B42" s="354"/>
      <c r="C42" s="355"/>
      <c r="D42" s="373"/>
      <c r="E42" s="347" t="s">
        <v>1473</v>
      </c>
      <c r="F42" s="357">
        <f ca="1">INDIRECT("'数据-取费表'!v"&amp;$G$1)</f>
        <v>0.01</v>
      </c>
      <c r="G42" s="1849"/>
      <c r="H42" s="730"/>
      <c r="I42" s="1858"/>
      <c r="J42" s="1859"/>
      <c r="K42" s="749"/>
      <c r="L42" s="730"/>
      <c r="M42" s="730"/>
    </row>
    <row r="43" spans="1:18" ht="18" customHeight="1" thickBot="1">
      <c r="A43" s="380" t="s">
        <v>1030</v>
      </c>
      <c r="B43" s="381" t="s">
        <v>1483</v>
      </c>
      <c r="C43" s="382">
        <f ca="1">ROUND(C40*10000/F43,0)</f>
        <v>1994</v>
      </c>
      <c r="D43" s="383" t="s">
        <v>1484</v>
      </c>
      <c r="E43" s="384" t="s">
        <v>1485</v>
      </c>
      <c r="F43" s="385">
        <f ca="1">INDIRECT("'数据-取费表'!k"&amp;$G$1)</f>
        <v>12246.83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-8111</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3184</v>
      </c>
      <c r="K47" s="1880" t="s">
        <v>1523</v>
      </c>
      <c r="L47" s="1881">
        <f ca="1">INDIRECT("'数据-取费表'!d"&amp;$G$1)</f>
        <v>50</v>
      </c>
      <c r="M47" s="1836" t="str">
        <f>IF(ISNUMBER(FIND("住宅",C1)),"住宅","非住宅")</f>
        <v>非住宅</v>
      </c>
      <c r="O47" s="1882" t="s">
        <v>1037</v>
      </c>
      <c r="P47" s="1883" t="s">
        <v>1524</v>
      </c>
      <c r="Q47" s="1884">
        <f ca="1">C40+J29</f>
        <v>2442</v>
      </c>
      <c r="R47" s="1884" t="s">
        <v>1525</v>
      </c>
    </row>
    <row r="48" spans="1:18" s="1840" customFormat="1" ht="28.5" thickBot="1">
      <c r="A48" s="1358" t="s">
        <v>1132</v>
      </c>
      <c r="B48" s="345" t="s">
        <v>1397</v>
      </c>
      <c r="C48" s="2962">
        <f ca="1">C49+C53+C55</f>
        <v>0</v>
      </c>
      <c r="D48" s="1360"/>
      <c r="E48" s="1361"/>
      <c r="F48" s="1179"/>
      <c r="G48" s="790"/>
      <c r="H48" s="791"/>
      <c r="I48" s="1885" t="s">
        <v>1526</v>
      </c>
      <c r="J48" s="1886" t="s">
        <v>3185</v>
      </c>
      <c r="K48" s="1887" t="s">
        <v>1527</v>
      </c>
      <c r="L48" s="1888">
        <f ca="1">INDIRECT("'数据-取费表'!f"&amp;$G$1)</f>
        <v>38.590000000000003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3032</v>
      </c>
      <c r="E49" s="1828" t="s">
        <v>1487</v>
      </c>
      <c r="F49" s="1279"/>
      <c r="G49" s="1889"/>
      <c r="H49" s="791"/>
      <c r="I49" s="1885" t="s">
        <v>1530</v>
      </c>
      <c r="J49" s="1890">
        <v>2015</v>
      </c>
      <c r="K49" s="1887" t="s">
        <v>1531</v>
      </c>
      <c r="L49" s="1891"/>
      <c r="O49" s="1892" t="s">
        <v>1039</v>
      </c>
      <c r="P49" s="1883" t="s">
        <v>1532</v>
      </c>
      <c r="Q49" s="1884">
        <f ca="1">C29</f>
        <v>3550</v>
      </c>
      <c r="R49" s="1884" t="s">
        <v>1525</v>
      </c>
    </row>
    <row r="50" spans="1:18" s="1840" customFormat="1" ht="13.5" thickBot="1">
      <c r="A50" s="1193"/>
      <c r="B50" s="1196"/>
      <c r="C50" s="1366"/>
      <c r="D50" s="1170"/>
      <c r="E50" s="1275" t="s">
        <v>1402</v>
      </c>
      <c r="F50" s="1276">
        <f ca="1">F7</f>
        <v>275</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12</v>
      </c>
      <c r="I51" s="1896" t="s">
        <v>1536</v>
      </c>
      <c r="J51" s="1897">
        <f>IF(J49="",J50,J49+J50-YEAR('数据-取费表'!B2))</f>
        <v>56</v>
      </c>
      <c r="K51" s="1898" t="s">
        <v>1537</v>
      </c>
      <c r="L51" s="1899">
        <f ca="1">ROUND(-PV(INDIRECT("'数据-取费表'!h"&amp;$G$1),L48,(C39-C13*C76),0),0)</f>
        <v>-2345</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38.590000000000003</v>
      </c>
      <c r="R52" s="1884" t="s">
        <v>1542</v>
      </c>
    </row>
    <row r="53" spans="1:18" s="1840" customFormat="1" ht="24.75" thickBot="1">
      <c r="A53" s="1403" t="s">
        <v>1134</v>
      </c>
      <c r="B53" s="1829" t="s">
        <v>1405</v>
      </c>
      <c r="C53" s="361">
        <f ca="1">ROUND(IF(F53="押一",C49/12*F11,IF(F53="押二",C49/12*2*F11,IF(F53="押三",C49/12*3*F11,C54*F11))),0)</f>
        <v>0</v>
      </c>
      <c r="D53" s="1822" t="s">
        <v>3041</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38.590000000000003</v>
      </c>
      <c r="K53" s="3194" t="s">
        <v>1544</v>
      </c>
      <c r="L53" s="3195"/>
      <c r="O53" s="1882" t="s">
        <v>1043</v>
      </c>
      <c r="P53" s="1883" t="s">
        <v>1545</v>
      </c>
      <c r="Q53" s="1884">
        <f ca="1">Q47+Q48</f>
        <v>2442</v>
      </c>
      <c r="R53" s="1884" t="s">
        <v>1044</v>
      </c>
    </row>
    <row r="54" spans="1:18" s="1840" customFormat="1" ht="13.5" thickBot="1">
      <c r="A54" s="1404"/>
      <c r="B54" s="1823" t="s">
        <v>1384</v>
      </c>
      <c r="C54" s="1176"/>
      <c r="D54" s="1822"/>
      <c r="E54" s="295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58"/>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3302</v>
      </c>
      <c r="D56" s="1912"/>
      <c r="E56" s="1913"/>
      <c r="F56" s="1905"/>
      <c r="I56" s="1914" t="s">
        <v>1550</v>
      </c>
      <c r="J56" s="1915" t="s">
        <v>3068</v>
      </c>
      <c r="K56" s="1885" t="s">
        <v>1551</v>
      </c>
      <c r="L56" s="1888" t="str">
        <f ca="1">IF(L48&lt;J51,"——",L48-J53)</f>
        <v>——</v>
      </c>
      <c r="O56" s="1882" t="s">
        <v>1037</v>
      </c>
      <c r="P56" s="1883" t="s">
        <v>1524</v>
      </c>
      <c r="Q56" s="1884">
        <f ca="1">C40+J29</f>
        <v>2442</v>
      </c>
      <c r="R56" s="1884" t="s">
        <v>1525</v>
      </c>
    </row>
    <row r="57" spans="1:18" s="1840" customFormat="1" ht="24.75" thickBot="1">
      <c r="A57" s="1916"/>
      <c r="B57" s="1167" t="s">
        <v>1474</v>
      </c>
      <c r="C57" s="282">
        <f ca="1">C29</f>
        <v>3550</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357</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298.60000000000002</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298.2</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0.41</v>
      </c>
      <c r="D62" s="1182" t="s">
        <v>1438</v>
      </c>
      <c r="E62" s="1167" t="s">
        <v>1439</v>
      </c>
      <c r="F62" s="371">
        <f t="shared" si="0"/>
        <v>1.5</v>
      </c>
      <c r="I62" s="1927" t="s">
        <v>1566</v>
      </c>
      <c r="J62" s="1928" t="s">
        <v>1567</v>
      </c>
      <c r="K62" s="1928" t="s">
        <v>1568</v>
      </c>
      <c r="L62" s="1928" t="s">
        <v>1569</v>
      </c>
      <c r="M62" s="1929" t="s">
        <v>1570</v>
      </c>
      <c r="O62" s="1882" t="s">
        <v>1043</v>
      </c>
      <c r="P62" s="1883" t="s">
        <v>1545</v>
      </c>
      <c r="Q62" s="1884">
        <f ca="1">Q56+Q57</f>
        <v>2442</v>
      </c>
      <c r="R62" s="1884" t="s">
        <v>1044</v>
      </c>
    </row>
    <row r="63" spans="1:18" s="1840" customFormat="1" ht="13.5" thickBot="1">
      <c r="A63" s="372"/>
      <c r="B63" s="1173"/>
      <c r="C63" s="29"/>
      <c r="D63" s="1183"/>
      <c r="E63" s="1167" t="s">
        <v>1443</v>
      </c>
      <c r="F63" s="348">
        <f t="shared" ca="1" si="0"/>
        <v>2716.54</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53.3</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5</v>
      </c>
      <c r="D65" s="1181" t="s">
        <v>1450</v>
      </c>
      <c r="E65" s="1167" t="s">
        <v>1418</v>
      </c>
      <c r="F65" s="376">
        <f t="shared" ca="1" si="0"/>
        <v>1.5E-3</v>
      </c>
      <c r="I65" s="1927" t="s">
        <v>1575</v>
      </c>
      <c r="J65" s="1928">
        <v>40</v>
      </c>
      <c r="K65" s="1928">
        <v>30</v>
      </c>
      <c r="L65" s="1928">
        <v>50</v>
      </c>
      <c r="M65" s="1930">
        <v>0.02</v>
      </c>
      <c r="O65" s="1882" t="s">
        <v>1037</v>
      </c>
      <c r="P65" s="1883" t="s">
        <v>1524</v>
      </c>
      <c r="Q65" s="1884">
        <f ca="1">C40+J29</f>
        <v>2442</v>
      </c>
      <c r="R65" s="1884" t="s">
        <v>1525</v>
      </c>
    </row>
    <row r="66" spans="1:18" s="1840" customFormat="1" ht="16.5" thickBot="1">
      <c r="A66" s="1199" t="s">
        <v>1500</v>
      </c>
      <c r="B66" s="1167" t="s">
        <v>1435</v>
      </c>
      <c r="C66" s="24">
        <f ca="1">ROUND(C48*F66,1)</f>
        <v>0</v>
      </c>
      <c r="D66" s="1181" t="s">
        <v>1455</v>
      </c>
      <c r="E66" s="1167" t="s">
        <v>1418</v>
      </c>
      <c r="F66" s="357">
        <f t="shared" ca="1" si="0"/>
        <v>1.4999999999999999E-2</v>
      </c>
      <c r="O66" s="1882" t="s">
        <v>1038</v>
      </c>
      <c r="P66" s="1883" t="s">
        <v>1554</v>
      </c>
      <c r="Q66" s="1884">
        <f ca="1">L60</f>
        <v>0</v>
      </c>
      <c r="R66" s="1884" t="s">
        <v>1577</v>
      </c>
    </row>
    <row r="67" spans="1:18" s="1840" customFormat="1" ht="16.5" thickBot="1">
      <c r="A67" s="1174" t="s">
        <v>1028</v>
      </c>
      <c r="B67" s="1184" t="s">
        <v>1459</v>
      </c>
      <c r="C67" s="361">
        <f ca="1">C48-C58</f>
        <v>-357</v>
      </c>
      <c r="D67" s="1180" t="s">
        <v>1460</v>
      </c>
      <c r="E67" s="1185"/>
      <c r="F67" s="1186"/>
      <c r="O67" s="1892" t="s">
        <v>1039</v>
      </c>
      <c r="P67" s="1883" t="s">
        <v>1558</v>
      </c>
      <c r="Q67" s="1931">
        <f ca="1">L51</f>
        <v>-2345</v>
      </c>
      <c r="R67" s="1884" t="s">
        <v>1578</v>
      </c>
    </row>
    <row r="68" spans="1:18" s="1840" customFormat="1" ht="16.5" thickBot="1">
      <c r="A68" s="1164" t="s">
        <v>1029</v>
      </c>
      <c r="B68" s="1165" t="s">
        <v>1481</v>
      </c>
      <c r="C68" s="346">
        <f ca="1">ROUND(C67*(1-((1+F70)/(1+F68))^F69)/(F68-F70),0)</f>
        <v>-5669</v>
      </c>
      <c r="D68" s="1182" t="s">
        <v>1465</v>
      </c>
      <c r="E68" s="1167" t="s">
        <v>1466</v>
      </c>
      <c r="F68" s="357">
        <f ca="1">F40</f>
        <v>5.5E-2</v>
      </c>
      <c r="O68" s="1892" t="s">
        <v>1040</v>
      </c>
      <c r="P68" s="1932" t="s">
        <v>1579</v>
      </c>
      <c r="Q68" s="1884">
        <f ca="1">ROUND(Q69-Q70*Q71,0)</f>
        <v>-129</v>
      </c>
      <c r="R68" s="1884" t="s">
        <v>1048</v>
      </c>
    </row>
    <row r="69" spans="1:18" s="1840" customFormat="1" ht="13.5" thickBot="1">
      <c r="A69" s="1168"/>
      <c r="B69" s="1169"/>
      <c r="C69" s="351"/>
      <c r="D69" s="1187" t="s">
        <v>1469</v>
      </c>
      <c r="E69" s="1167" t="s">
        <v>1470</v>
      </c>
      <c r="F69" s="379">
        <f ca="1">F41</f>
        <v>38.590000000000003</v>
      </c>
      <c r="O69" s="1892" t="s">
        <v>1045</v>
      </c>
      <c r="P69" s="1932" t="s">
        <v>1580</v>
      </c>
      <c r="Q69" s="1884">
        <f ca="1">C39</f>
        <v>135</v>
      </c>
      <c r="R69" s="1884" t="s">
        <v>1525</v>
      </c>
    </row>
    <row r="70" spans="1:18" s="1840" customFormat="1" ht="13.5" thickBot="1">
      <c r="A70" s="1171"/>
      <c r="B70" s="1172"/>
      <c r="C70" s="355"/>
      <c r="D70" s="1183"/>
      <c r="E70" s="1167" t="s">
        <v>1473</v>
      </c>
      <c r="F70" s="1273"/>
      <c r="O70" s="1892" t="s">
        <v>1046</v>
      </c>
      <c r="P70" s="1932" t="s">
        <v>1581</v>
      </c>
      <c r="Q70" s="1884">
        <f ca="1">C13</f>
        <v>3302</v>
      </c>
      <c r="R70" s="1884" t="s">
        <v>1525</v>
      </c>
    </row>
    <row r="71" spans="1:18" s="1840" customFormat="1" ht="13.5" thickBot="1">
      <c r="A71" s="1188" t="s">
        <v>1030</v>
      </c>
      <c r="B71" s="1189" t="s">
        <v>1483</v>
      </c>
      <c r="C71" s="382">
        <f ca="1">ROUND(C68*10000/F71,0)</f>
        <v>-4629</v>
      </c>
      <c r="D71" s="1190" t="s">
        <v>1484</v>
      </c>
      <c r="E71" s="1191" t="s">
        <v>1485</v>
      </c>
      <c r="F71" s="385">
        <f ca="1">F43</f>
        <v>12246.83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264</v>
      </c>
      <c r="D75" s="1840"/>
      <c r="E75" s="1840"/>
      <c r="F75" s="1840"/>
      <c r="K75" s="1866"/>
      <c r="L75" s="1840"/>
      <c r="O75" s="1882" t="s">
        <v>1043</v>
      </c>
      <c r="P75" s="1883" t="s">
        <v>1545</v>
      </c>
      <c r="Q75" s="1884">
        <f ca="1">Q65+Q66</f>
        <v>2442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-0.95599999999999996</v>
      </c>
    </row>
    <row r="80" spans="1:18">
      <c r="B80" s="386" t="s">
        <v>1507</v>
      </c>
      <c r="C80" s="318">
        <f ca="1">ROUND(C75/C39,3)</f>
        <v>1.956</v>
      </c>
    </row>
    <row r="81" spans="2:3">
      <c r="B81" s="314" t="s">
        <v>1508</v>
      </c>
      <c r="C81" s="282"/>
    </row>
    <row r="82" spans="2:3">
      <c r="B82" s="317" t="s">
        <v>1509</v>
      </c>
      <c r="C82" s="319">
        <f ca="1">1-C83</f>
        <v>-0.35200000000000009</v>
      </c>
    </row>
    <row r="83" spans="2:3">
      <c r="B83" s="317" t="s">
        <v>1510</v>
      </c>
      <c r="C83" s="318">
        <f ca="1">ROUND(C13/C40,3)</f>
        <v>1.3520000000000001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35" sqref="G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t="s">
        <v>27</v>
      </c>
      <c r="C1" s="1618" t="s">
        <v>2531</v>
      </c>
      <c r="D1" s="1619" t="s">
        <v>3083</v>
      </c>
      <c r="E1" s="1620"/>
      <c r="F1" s="2581" t="s">
        <v>3186</v>
      </c>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f>IF(C2="——",IF(B37="元/平方米",ROUND(C39*D3/10000,0),ROUND(F3*C39/10000,0)),IF(B37="元/平方米",ROUND(C39*D3/10000,0),ROUND(F3*C39/10000,0))-D2)</f>
        <v>4290</v>
      </c>
      <c r="C2" s="2583" t="s">
        <v>70</v>
      </c>
      <c r="D2" s="1122" t="e">
        <f ca="1">SUMIF(INDIRECT("'"&amp;F2&amp;"'"&amp;"!A:A"),"承租人权益价值",INDIRECT("'"&amp;F2&amp;"'"&amp;"!c:c"))</f>
        <v>#REF!</v>
      </c>
      <c r="E2" s="2584" t="s">
        <v>2329</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2330</v>
      </c>
      <c r="B3" s="609">
        <f>IF(AND(C2="——",B37="元/平方米"),C39,ROUND(B2*10000/D3,0))</f>
        <v>3503</v>
      </c>
      <c r="C3" s="400" t="s">
        <v>2645</v>
      </c>
      <c r="D3" s="399">
        <f>SUMIF('数据-汇总表'!$C19:$C33,D1,'数据-汇总表'!$E19:$E33)</f>
        <v>12246.83</v>
      </c>
      <c r="E3" s="400" t="s">
        <v>2709</v>
      </c>
      <c r="F3" s="399">
        <f>SUMIF('数据-取费表'!A5:A15,D1,'数据-取费表'!AH5:AH15)</f>
        <v>275</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59" t="s">
        <v>2652</v>
      </c>
      <c r="Q4" s="3260"/>
      <c r="R4" s="3255" t="s">
        <v>2648</v>
      </c>
      <c r="S4" s="3256"/>
      <c r="T4" s="3255" t="s">
        <v>2649</v>
      </c>
      <c r="U4" s="3256"/>
      <c r="V4" s="3233" t="s">
        <v>2650</v>
      </c>
      <c r="W4" s="3233"/>
      <c r="X4" s="1811"/>
      <c r="Y4" s="3255" t="s">
        <v>2652</v>
      </c>
      <c r="Z4" s="3256"/>
      <c r="AA4" s="3254" t="s">
        <v>2648</v>
      </c>
      <c r="AB4" s="3200" t="s">
        <v>2649</v>
      </c>
      <c r="AC4" s="3254" t="s">
        <v>2650</v>
      </c>
    </row>
    <row r="5" spans="1:29" ht="15">
      <c r="A5" s="404"/>
      <c r="B5" s="405"/>
      <c r="C5" s="3258" t="s">
        <v>3233</v>
      </c>
      <c r="D5" s="3211"/>
      <c r="E5" s="3208" t="s">
        <v>3215</v>
      </c>
      <c r="F5" s="3257"/>
      <c r="G5" s="3210" t="s">
        <v>3277</v>
      </c>
      <c r="H5" s="3211"/>
      <c r="I5" s="3210" t="s">
        <v>3278</v>
      </c>
      <c r="J5" s="3211"/>
      <c r="K5" s="610"/>
      <c r="L5" s="1128"/>
      <c r="M5" s="1129"/>
      <c r="N5" s="1129"/>
      <c r="O5" s="1129"/>
      <c r="P5" s="3261"/>
      <c r="Q5" s="3227"/>
      <c r="R5" s="3206"/>
      <c r="S5" s="3207"/>
      <c r="T5" s="3206"/>
      <c r="U5" s="3207"/>
      <c r="V5" s="3233"/>
      <c r="W5" s="3233"/>
      <c r="X5" s="1811"/>
      <c r="Y5" s="3206"/>
      <c r="Z5" s="3207"/>
      <c r="AA5" s="3200"/>
      <c r="AB5" s="3200"/>
      <c r="AC5" s="3200"/>
    </row>
    <row r="6" spans="1:29" ht="15.75" thickBot="1">
      <c r="A6" s="406"/>
      <c r="B6" s="407"/>
      <c r="C6" s="3212" t="s">
        <v>3279</v>
      </c>
      <c r="D6" s="3213"/>
      <c r="E6" s="3214" t="s">
        <v>3279</v>
      </c>
      <c r="F6" s="3215"/>
      <c r="G6" s="3212" t="s">
        <v>3279</v>
      </c>
      <c r="H6" s="3213"/>
      <c r="I6" s="3212" t="s">
        <v>3279</v>
      </c>
      <c r="J6" s="3213"/>
      <c r="K6" s="610" t="s">
        <v>2548</v>
      </c>
      <c r="L6" s="1128"/>
      <c r="M6" s="1129"/>
      <c r="N6" s="1129"/>
      <c r="O6" s="1129"/>
      <c r="P6" s="3262"/>
      <c r="Q6" s="3229"/>
      <c r="R6" s="3206"/>
      <c r="S6" s="3207"/>
      <c r="T6" s="3230"/>
      <c r="U6" s="3231"/>
      <c r="V6" s="3233"/>
      <c r="W6" s="3233"/>
      <c r="X6" s="1811"/>
      <c r="Y6" s="3230"/>
      <c r="Z6" s="3231"/>
      <c r="AA6" s="3201"/>
      <c r="AB6" s="3201"/>
      <c r="AC6" s="3201"/>
    </row>
    <row r="7" spans="1:29" s="117" customFormat="1" ht="15.75" thickBot="1">
      <c r="A7" s="408" t="s">
        <v>2549</v>
      </c>
      <c r="B7" s="409"/>
      <c r="C7" s="410">
        <f>'数据-取费表'!B2</f>
        <v>43602</v>
      </c>
      <c r="D7" s="411">
        <v>100</v>
      </c>
      <c r="E7" s="412">
        <v>43586</v>
      </c>
      <c r="F7" s="413">
        <f>SUMIF(48:48,YEAR(E7)&amp;"-"&amp;MONTH(E7),49:49)</f>
        <v>100</v>
      </c>
      <c r="G7" s="412">
        <v>43586</v>
      </c>
      <c r="H7" s="411">
        <f>SUMIF(48:48,YEAR(G7)&amp;"-"&amp;MONTH(G7),49:49)</f>
        <v>100</v>
      </c>
      <c r="I7" s="412">
        <v>43586</v>
      </c>
      <c r="J7" s="411">
        <f>SUMIF(48:48,YEAR(I7)&amp;"-"&amp;MONTH(I7),49:49)</f>
        <v>100</v>
      </c>
      <c r="K7" s="611"/>
      <c r="L7" s="1130"/>
      <c r="M7" s="1131"/>
      <c r="N7" s="1131"/>
      <c r="O7" s="1131"/>
      <c r="P7" s="3202" t="s">
        <v>2550</v>
      </c>
      <c r="Q7" s="3235"/>
      <c r="R7" s="768" t="s">
        <v>17</v>
      </c>
      <c r="S7" s="769">
        <f t="shared" ref="S7:S14" si="0">F7</f>
        <v>100</v>
      </c>
      <c r="T7" s="768" t="s">
        <v>17</v>
      </c>
      <c r="U7" s="769">
        <f t="shared" ref="U7:U14" si="1">H7</f>
        <v>100</v>
      </c>
      <c r="V7" s="768" t="s">
        <v>17</v>
      </c>
      <c r="W7" s="769">
        <f t="shared" ref="W7:W14" si="2">J7</f>
        <v>100</v>
      </c>
      <c r="X7" s="770"/>
      <c r="Y7" s="3202" t="s">
        <v>2550</v>
      </c>
      <c r="Z7" s="3203"/>
      <c r="AA7" s="771">
        <f>D7/F7</f>
        <v>1</v>
      </c>
      <c r="AB7" s="771">
        <f>D7/H7</f>
        <v>1</v>
      </c>
      <c r="AC7" s="771">
        <f>D7/J7</f>
        <v>1</v>
      </c>
    </row>
    <row r="8" spans="1:29" s="117" customFormat="1" ht="15.75" thickBot="1">
      <c r="A8" s="408" t="s">
        <v>2551</v>
      </c>
      <c r="B8" s="409"/>
      <c r="C8" s="414" t="s">
        <v>2653</v>
      </c>
      <c r="D8" s="411">
        <v>100</v>
      </c>
      <c r="E8" s="414" t="s">
        <v>2588</v>
      </c>
      <c r="F8" s="413">
        <f>SUMIF(51:51,E8,52:52)-SUMIF(51:51,C8,52:52)+100</f>
        <v>100</v>
      </c>
      <c r="G8" s="414" t="s">
        <v>2588</v>
      </c>
      <c r="H8" s="411">
        <f>SUMIF(51:51,G8,52:52)-SUMIF(51:51,C8,52:52)+100</f>
        <v>100</v>
      </c>
      <c r="I8" s="414" t="s">
        <v>2588</v>
      </c>
      <c r="J8" s="411">
        <f>SUMIF(51:51,I8,52:52)-SUMIF(51:51,C8,52:52)+100</f>
        <v>100</v>
      </c>
      <c r="K8" s="611"/>
      <c r="L8" s="1130"/>
      <c r="M8" s="1131"/>
      <c r="N8" s="1131"/>
      <c r="O8" s="1131"/>
      <c r="P8" s="3202" t="s">
        <v>2553</v>
      </c>
      <c r="Q8" s="3203"/>
      <c r="R8" s="768" t="s">
        <v>17</v>
      </c>
      <c r="S8" s="769">
        <f t="shared" si="0"/>
        <v>100</v>
      </c>
      <c r="T8" s="768" t="s">
        <v>17</v>
      </c>
      <c r="U8" s="769">
        <f t="shared" si="1"/>
        <v>100</v>
      </c>
      <c r="V8" s="768" t="s">
        <v>17</v>
      </c>
      <c r="W8" s="769">
        <f t="shared" si="2"/>
        <v>100</v>
      </c>
      <c r="X8" s="770"/>
      <c r="Y8" s="3202" t="s">
        <v>2553</v>
      </c>
      <c r="Z8" s="3203"/>
      <c r="AA8" s="771">
        <f t="shared" ref="AA8:AA36" si="3">D8/F8</f>
        <v>1</v>
      </c>
      <c r="AB8" s="771">
        <f t="shared" ref="AB8:AB36" si="4">D8/H8</f>
        <v>1</v>
      </c>
      <c r="AC8" s="771">
        <f t="shared" ref="AC8:AC36" si="5">D8/J8</f>
        <v>1</v>
      </c>
    </row>
    <row r="9" spans="1:29" s="117" customFormat="1">
      <c r="A9" s="68" t="s">
        <v>2554</v>
      </c>
      <c r="B9" s="640" t="s">
        <v>2555</v>
      </c>
      <c r="C9" s="2981" t="s">
        <v>3280</v>
      </c>
      <c r="D9" s="135">
        <v>100</v>
      </c>
      <c r="E9" s="2981" t="s">
        <v>3280</v>
      </c>
      <c r="F9" s="135">
        <f>SUMIF(53:53,E9,54:54)-SUMIF(53:53,C9,54:54)+100</f>
        <v>100</v>
      </c>
      <c r="G9" s="2981" t="s">
        <v>3280</v>
      </c>
      <c r="H9" s="135">
        <f>SUMIF(53:53,G9,54:54)-SUMIF(53:53,C9,54:54)+100</f>
        <v>100</v>
      </c>
      <c r="I9" s="2981" t="s">
        <v>3280</v>
      </c>
      <c r="J9" s="135">
        <f>SUMIF(53:53,I9,54:54)-SUMIF(53:53,C9,54:54)+100</f>
        <v>100</v>
      </c>
      <c r="K9" s="611"/>
      <c r="L9" s="1130"/>
      <c r="M9" s="1131"/>
      <c r="N9" s="1131"/>
      <c r="O9" s="1131"/>
      <c r="P9" s="3245" t="s">
        <v>2556</v>
      </c>
      <c r="Q9" s="1793" t="str">
        <f t="shared" ref="Q9:Q14" si="6">B9</f>
        <v>用途</v>
      </c>
      <c r="R9" s="768" t="s">
        <v>17</v>
      </c>
      <c r="S9" s="769">
        <f t="shared" si="0"/>
        <v>100</v>
      </c>
      <c r="T9" s="768" t="s">
        <v>17</v>
      </c>
      <c r="U9" s="769">
        <f t="shared" si="1"/>
        <v>100</v>
      </c>
      <c r="V9" s="768" t="s">
        <v>17</v>
      </c>
      <c r="W9" s="769">
        <f t="shared" si="2"/>
        <v>100</v>
      </c>
      <c r="X9" s="770"/>
      <c r="Y9" s="3071" t="s">
        <v>2557</v>
      </c>
      <c r="Z9" s="55" t="str">
        <f t="shared" ref="Z9:Z14" si="7">Q9</f>
        <v>用途</v>
      </c>
      <c r="AA9" s="771">
        <f t="shared" si="3"/>
        <v>1</v>
      </c>
      <c r="AB9" s="771">
        <f t="shared" si="4"/>
        <v>1</v>
      </c>
      <c r="AC9" s="771">
        <f t="shared" si="5"/>
        <v>1</v>
      </c>
    </row>
    <row r="10" spans="1:29" s="427" customFormat="1" ht="27">
      <c r="A10" s="641"/>
      <c r="B10" s="642" t="s">
        <v>2558</v>
      </c>
      <c r="C10" s="423" t="s">
        <v>3218</v>
      </c>
      <c r="D10" s="136">
        <v>100</v>
      </c>
      <c r="E10" s="423" t="s">
        <v>3219</v>
      </c>
      <c r="F10" s="136">
        <f>SUMIF(55:55,E10,56:56)-SUMIF(55:55,C10,56:56)+100</f>
        <v>102</v>
      </c>
      <c r="G10" s="423" t="s">
        <v>3219</v>
      </c>
      <c r="H10" s="136">
        <f>SUMIF(55:55,G10,56:56)-SUMIF(55:55,C10,56:56)+100</f>
        <v>102</v>
      </c>
      <c r="I10" s="423" t="s">
        <v>3219</v>
      </c>
      <c r="J10" s="136">
        <f>SUMIF(55:55,I10,56:56)-SUMIF(55:55,C10,56:56)+100</f>
        <v>102</v>
      </c>
      <c r="K10" s="612">
        <v>2</v>
      </c>
      <c r="L10" s="1133"/>
      <c r="M10" s="1134"/>
      <c r="N10" s="1134"/>
      <c r="O10" s="1134"/>
      <c r="P10" s="3245"/>
      <c r="Q10" s="1793" t="str">
        <f t="shared" si="6"/>
        <v>土地使用年限（年）</v>
      </c>
      <c r="R10" s="768" t="s">
        <v>17</v>
      </c>
      <c r="S10" s="769">
        <f t="shared" si="0"/>
        <v>102</v>
      </c>
      <c r="T10" s="768" t="s">
        <v>17</v>
      </c>
      <c r="U10" s="769">
        <f t="shared" si="1"/>
        <v>102</v>
      </c>
      <c r="V10" s="768" t="s">
        <v>17</v>
      </c>
      <c r="W10" s="769">
        <f t="shared" si="2"/>
        <v>102</v>
      </c>
      <c r="X10" s="770"/>
      <c r="Y10" s="3071"/>
      <c r="Z10" s="55" t="str">
        <f t="shared" si="7"/>
        <v>土地使用年限（年）</v>
      </c>
      <c r="AA10" s="771">
        <f t="shared" si="3"/>
        <v>0.98039215686274506</v>
      </c>
      <c r="AB10" s="771">
        <f t="shared" si="4"/>
        <v>0.98039215686274506</v>
      </c>
      <c r="AC10" s="771">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45"/>
      <c r="Q11" s="1793">
        <f t="shared" si="6"/>
        <v>111</v>
      </c>
      <c r="R11" s="768" t="s">
        <v>17</v>
      </c>
      <c r="S11" s="769">
        <f t="shared" si="0"/>
        <v>100</v>
      </c>
      <c r="T11" s="768" t="s">
        <v>17</v>
      </c>
      <c r="U11" s="769">
        <f t="shared" si="1"/>
        <v>100</v>
      </c>
      <c r="V11" s="768" t="s">
        <v>17</v>
      </c>
      <c r="W11" s="769">
        <f t="shared" si="2"/>
        <v>100</v>
      </c>
      <c r="X11" s="770"/>
      <c r="Y11" s="307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45"/>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45"/>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85.5">
      <c r="A14" s="401" t="s">
        <v>2560</v>
      </c>
      <c r="B14" s="629" t="s">
        <v>2710</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98</v>
      </c>
      <c r="K14" s="614">
        <v>2</v>
      </c>
      <c r="L14" s="1138"/>
      <c r="M14" s="1129"/>
      <c r="N14" s="1129"/>
      <c r="O14" s="1129"/>
      <c r="P14" s="3238" t="s">
        <v>2561</v>
      </c>
      <c r="Q14" s="1808" t="str">
        <f t="shared" si="6"/>
        <v>交通便捷度</v>
      </c>
      <c r="R14" s="772" t="s">
        <v>17</v>
      </c>
      <c r="S14" s="773">
        <f t="shared" si="0"/>
        <v>100</v>
      </c>
      <c r="T14" s="772" t="s">
        <v>17</v>
      </c>
      <c r="U14" s="773">
        <f t="shared" si="1"/>
        <v>100</v>
      </c>
      <c r="V14" s="772" t="s">
        <v>17</v>
      </c>
      <c r="W14" s="773">
        <f t="shared" si="2"/>
        <v>98</v>
      </c>
      <c r="X14" s="1811"/>
      <c r="Y14" s="3238" t="s">
        <v>2561</v>
      </c>
      <c r="Z14" s="1812" t="str">
        <f t="shared" si="7"/>
        <v>交通便捷度</v>
      </c>
      <c r="AA14" s="1809">
        <f t="shared" si="3"/>
        <v>1</v>
      </c>
      <c r="AB14" s="1809">
        <f t="shared" si="4"/>
        <v>1</v>
      </c>
      <c r="AC14" s="1809">
        <f t="shared" si="5"/>
        <v>1.0204081632653061</v>
      </c>
    </row>
    <row r="15" spans="1:29" ht="15">
      <c r="A15" s="404"/>
      <c r="B15" s="647"/>
      <c r="C15" s="447" t="s">
        <v>3220</v>
      </c>
      <c r="D15" s="448"/>
      <c r="E15" s="447" t="s">
        <v>3220</v>
      </c>
      <c r="F15" s="449"/>
      <c r="G15" s="447" t="s">
        <v>3220</v>
      </c>
      <c r="H15" s="450"/>
      <c r="I15" s="447" t="s">
        <v>3256</v>
      </c>
      <c r="J15" s="448"/>
      <c r="K15" s="615"/>
      <c r="L15" s="1138"/>
      <c r="M15" s="1129"/>
      <c r="N15" s="1129"/>
      <c r="O15" s="1129"/>
      <c r="P15" s="3239"/>
      <c r="Q15" s="1808"/>
      <c r="R15" s="772"/>
      <c r="S15" s="773"/>
      <c r="T15" s="772"/>
      <c r="U15" s="773"/>
      <c r="V15" s="772"/>
      <c r="W15" s="773"/>
      <c r="X15" s="1811"/>
      <c r="Y15" s="3239"/>
      <c r="Z15" s="1812"/>
      <c r="AA15" s="1809">
        <v>1</v>
      </c>
      <c r="AB15" s="1809">
        <v>1</v>
      </c>
      <c r="AC15" s="1809">
        <v>1</v>
      </c>
    </row>
    <row r="16" spans="1:29" ht="42.75">
      <c r="A16" s="404"/>
      <c r="B16" s="631" t="s">
        <v>2689</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38"/>
      <c r="M16" s="1129"/>
      <c r="N16" s="1129"/>
      <c r="O16" s="1129"/>
      <c r="P16" s="3239"/>
      <c r="Q16" s="1808" t="str">
        <f>B16</f>
        <v>公共配套设施</v>
      </c>
      <c r="R16" s="772" t="s">
        <v>17</v>
      </c>
      <c r="S16" s="773">
        <f>F16</f>
        <v>100</v>
      </c>
      <c r="T16" s="772" t="s">
        <v>17</v>
      </c>
      <c r="U16" s="773">
        <f>H16</f>
        <v>100</v>
      </c>
      <c r="V16" s="772" t="s">
        <v>17</v>
      </c>
      <c r="W16" s="773">
        <f>J16</f>
        <v>100</v>
      </c>
      <c r="X16" s="1811"/>
      <c r="Y16" s="3239"/>
      <c r="Z16" s="1812" t="str">
        <f>Q16</f>
        <v>公共配套设施</v>
      </c>
      <c r="AA16" s="1809">
        <f t="shared" si="3"/>
        <v>1</v>
      </c>
      <c r="AB16" s="1809">
        <f t="shared" si="4"/>
        <v>1</v>
      </c>
      <c r="AC16" s="1809">
        <f t="shared" si="5"/>
        <v>1</v>
      </c>
    </row>
    <row r="17" spans="1:29" ht="15">
      <c r="A17" s="404"/>
      <c r="B17" s="632"/>
      <c r="C17" s="2605" t="s">
        <v>3220</v>
      </c>
      <c r="D17" s="448"/>
      <c r="E17" s="2605" t="s">
        <v>3220</v>
      </c>
      <c r="F17" s="449"/>
      <c r="G17" s="2605" t="s">
        <v>3220</v>
      </c>
      <c r="H17" s="448"/>
      <c r="I17" s="2605" t="s">
        <v>3220</v>
      </c>
      <c r="J17" s="448"/>
      <c r="K17" s="615"/>
      <c r="L17" s="1138"/>
      <c r="M17" s="1129"/>
      <c r="N17" s="1129"/>
      <c r="O17" s="1129"/>
      <c r="P17" s="3239"/>
      <c r="Q17" s="1808"/>
      <c r="R17" s="772"/>
      <c r="S17" s="773"/>
      <c r="T17" s="772"/>
      <c r="U17" s="773"/>
      <c r="V17" s="772"/>
      <c r="W17" s="773"/>
      <c r="X17" s="1811"/>
      <c r="Y17" s="3239"/>
      <c r="Z17" s="1812"/>
      <c r="AA17" s="1809">
        <v>1</v>
      </c>
      <c r="AB17" s="1809">
        <v>1</v>
      </c>
      <c r="AC17" s="1809">
        <v>1</v>
      </c>
    </row>
    <row r="18" spans="1:29" ht="28.5">
      <c r="A18" s="404"/>
      <c r="B18" s="633" t="s">
        <v>2690</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38"/>
      <c r="M18" s="1129"/>
      <c r="N18" s="1129"/>
      <c r="O18" s="1129"/>
      <c r="P18" s="3239"/>
      <c r="Q18" s="1808" t="str">
        <f>B18</f>
        <v>基础设施水平</v>
      </c>
      <c r="R18" s="772" t="s">
        <v>17</v>
      </c>
      <c r="S18" s="773">
        <f>F18</f>
        <v>100</v>
      </c>
      <c r="T18" s="772" t="s">
        <v>17</v>
      </c>
      <c r="U18" s="773">
        <f>H18</f>
        <v>100</v>
      </c>
      <c r="V18" s="772" t="s">
        <v>17</v>
      </c>
      <c r="W18" s="773">
        <f>J18</f>
        <v>100</v>
      </c>
      <c r="X18" s="1811"/>
      <c r="Y18" s="3239"/>
      <c r="Z18" s="1812" t="str">
        <f>Q18</f>
        <v>基础设施水平</v>
      </c>
      <c r="AA18" s="1809">
        <f t="shared" ref="AA18" si="8">D18/F18</f>
        <v>1</v>
      </c>
      <c r="AB18" s="1809">
        <f t="shared" ref="AB18" si="9">D18/H18</f>
        <v>1</v>
      </c>
      <c r="AC18" s="1809">
        <f t="shared" ref="AC18" si="10">D18/J18</f>
        <v>1</v>
      </c>
    </row>
    <row r="19" spans="1:29" ht="15">
      <c r="A19" s="404"/>
      <c r="B19" s="633"/>
      <c r="C19" s="2605" t="s">
        <v>3206</v>
      </c>
      <c r="D19" s="450"/>
      <c r="E19" s="2605" t="s">
        <v>3206</v>
      </c>
      <c r="F19" s="453"/>
      <c r="G19" s="2605" t="s">
        <v>3206</v>
      </c>
      <c r="H19" s="448"/>
      <c r="I19" s="2605" t="s">
        <v>3206</v>
      </c>
      <c r="J19" s="448"/>
      <c r="K19" s="1381"/>
      <c r="L19" s="1138"/>
      <c r="M19" s="1129"/>
      <c r="N19" s="1129"/>
      <c r="O19" s="1129"/>
      <c r="P19" s="3239"/>
      <c r="Q19" s="1808"/>
      <c r="R19" s="772"/>
      <c r="S19" s="773"/>
      <c r="T19" s="772"/>
      <c r="U19" s="773"/>
      <c r="V19" s="772"/>
      <c r="W19" s="773"/>
      <c r="X19" s="1811"/>
      <c r="Y19" s="3239"/>
      <c r="Z19" s="1812"/>
      <c r="AA19" s="1809">
        <v>1</v>
      </c>
      <c r="AB19" s="1809">
        <v>1</v>
      </c>
      <c r="AC19" s="1809">
        <v>1</v>
      </c>
    </row>
    <row r="20" spans="1:29" ht="57">
      <c r="A20" s="404"/>
      <c r="B20" s="631" t="s">
        <v>2711</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1</v>
      </c>
      <c r="L20" s="1138"/>
      <c r="M20" s="1129"/>
      <c r="N20" s="1129"/>
      <c r="O20" s="1129"/>
      <c r="P20" s="3239"/>
      <c r="Q20" s="1808" t="str">
        <f>B20</f>
        <v>自然及人文环境</v>
      </c>
      <c r="R20" s="772" t="s">
        <v>17</v>
      </c>
      <c r="S20" s="773">
        <f>F20</f>
        <v>100</v>
      </c>
      <c r="T20" s="772" t="s">
        <v>17</v>
      </c>
      <c r="U20" s="773">
        <f>H20</f>
        <v>100</v>
      </c>
      <c r="V20" s="772" t="s">
        <v>17</v>
      </c>
      <c r="W20" s="773">
        <f>J20</f>
        <v>100</v>
      </c>
      <c r="X20" s="1811"/>
      <c r="Y20" s="3239"/>
      <c r="Z20" s="1812" t="str">
        <f>Q20</f>
        <v>自然及人文环境</v>
      </c>
      <c r="AA20" s="1809">
        <f t="shared" si="3"/>
        <v>1</v>
      </c>
      <c r="AB20" s="1809">
        <f t="shared" si="4"/>
        <v>1</v>
      </c>
      <c r="AC20" s="1809">
        <f t="shared" si="5"/>
        <v>1</v>
      </c>
    </row>
    <row r="21" spans="1:29" ht="15">
      <c r="A21" s="404"/>
      <c r="B21" s="632"/>
      <c r="C21" s="447" t="s">
        <v>3220</v>
      </c>
      <c r="D21" s="448"/>
      <c r="E21" s="447" t="s">
        <v>3220</v>
      </c>
      <c r="F21" s="449"/>
      <c r="G21" s="447" t="s">
        <v>3220</v>
      </c>
      <c r="H21" s="448"/>
      <c r="I21" s="447" t="s">
        <v>3220</v>
      </c>
      <c r="J21" s="448"/>
      <c r="K21" s="615"/>
      <c r="L21" s="1138"/>
      <c r="M21" s="1129"/>
      <c r="N21" s="1129"/>
      <c r="O21" s="1129"/>
      <c r="P21" s="3239"/>
      <c r="Q21" s="1808"/>
      <c r="R21" s="772"/>
      <c r="S21" s="773"/>
      <c r="T21" s="772"/>
      <c r="U21" s="773"/>
      <c r="V21" s="772"/>
      <c r="W21" s="773"/>
      <c r="X21" s="1811"/>
      <c r="Y21" s="3239"/>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v>0</v>
      </c>
      <c r="L22" s="1138"/>
      <c r="M22" s="1129"/>
      <c r="N22" s="1129"/>
      <c r="O22" s="1129"/>
      <c r="P22" s="3239"/>
      <c r="Q22" s="1808" t="str">
        <f>B22</f>
        <v>楼层</v>
      </c>
      <c r="R22" s="772" t="s">
        <v>17</v>
      </c>
      <c r="S22" s="773">
        <f>F22</f>
        <v>100</v>
      </c>
      <c r="T22" s="772" t="s">
        <v>17</v>
      </c>
      <c r="U22" s="773">
        <f>H22</f>
        <v>100</v>
      </c>
      <c r="V22" s="772" t="s">
        <v>17</v>
      </c>
      <c r="W22" s="773">
        <f>J22</f>
        <v>100</v>
      </c>
      <c r="X22" s="1811"/>
      <c r="Y22" s="323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39"/>
      <c r="Q23" s="1808">
        <f>B23</f>
        <v>111</v>
      </c>
      <c r="R23" s="772" t="s">
        <v>17</v>
      </c>
      <c r="S23" s="773">
        <f>F23</f>
        <v>100</v>
      </c>
      <c r="T23" s="772" t="s">
        <v>17</v>
      </c>
      <c r="U23" s="773">
        <f>H23</f>
        <v>100</v>
      </c>
      <c r="V23" s="772" t="s">
        <v>17</v>
      </c>
      <c r="W23" s="773">
        <f>J23</f>
        <v>100</v>
      </c>
      <c r="X23" s="1811"/>
      <c r="Y23" s="323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39"/>
      <c r="Q24" s="1808">
        <f t="shared" ref="Q24:Q36" si="11">B24</f>
        <v>111</v>
      </c>
      <c r="R24" s="772" t="s">
        <v>17</v>
      </c>
      <c r="S24" s="773">
        <f>F24</f>
        <v>100</v>
      </c>
      <c r="T24" s="772" t="s">
        <v>17</v>
      </c>
      <c r="U24" s="773">
        <f>H24</f>
        <v>100</v>
      </c>
      <c r="V24" s="772" t="s">
        <v>17</v>
      </c>
      <c r="W24" s="773">
        <f>J24</f>
        <v>100</v>
      </c>
      <c r="X24" s="1811"/>
      <c r="Y24" s="323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39"/>
      <c r="Q25" s="1793">
        <f t="shared" si="11"/>
        <v>111</v>
      </c>
      <c r="R25" s="768" t="s">
        <v>17</v>
      </c>
      <c r="S25" s="769">
        <f>F25</f>
        <v>100</v>
      </c>
      <c r="T25" s="768" t="s">
        <v>17</v>
      </c>
      <c r="U25" s="769">
        <f>H25</f>
        <v>100</v>
      </c>
      <c r="V25" s="768" t="s">
        <v>17</v>
      </c>
      <c r="W25" s="769">
        <f>J25</f>
        <v>100</v>
      </c>
      <c r="X25" s="770"/>
      <c r="Y25" s="3239"/>
      <c r="Z25" s="55">
        <f>Q25</f>
        <v>111</v>
      </c>
      <c r="AA25" s="1809">
        <f>D25/F25</f>
        <v>1</v>
      </c>
      <c r="AB25" s="1809">
        <f>D25/H25</f>
        <v>1</v>
      </c>
      <c r="AC25" s="1809">
        <f>D25/J25</f>
        <v>1</v>
      </c>
    </row>
    <row r="26" spans="1:29" ht="28.5">
      <c r="A26" s="652" t="s">
        <v>2564</v>
      </c>
      <c r="B26" s="70" t="s">
        <v>2713</v>
      </c>
      <c r="C26" s="2691" t="str">
        <f>B1</f>
        <v>办公</v>
      </c>
      <c r="D26" s="448">
        <v>100</v>
      </c>
      <c r="E26" s="447" t="s">
        <v>27</v>
      </c>
      <c r="F26" s="449">
        <f>SUMIF(79:79,E26,80:80)-SUMIF(79:79,C26,80:80)+100</f>
        <v>100</v>
      </c>
      <c r="G26" s="447" t="s">
        <v>3281</v>
      </c>
      <c r="H26" s="448">
        <f>SUMIF(79:79,G26,80:80)-SUMIF(79:79,C26,80:80)+100</f>
        <v>98</v>
      </c>
      <c r="I26" s="447" t="s">
        <v>3281</v>
      </c>
      <c r="J26" s="448">
        <f>SUMIF(79:79,I26,80:80)-SUMIF(79:79,C26,80:80)+100</f>
        <v>98</v>
      </c>
      <c r="K26" s="612">
        <v>2</v>
      </c>
      <c r="L26" s="1138"/>
      <c r="M26" s="1129"/>
      <c r="N26" s="1129"/>
      <c r="O26" s="1129"/>
      <c r="P26" s="3266" t="s">
        <v>2566</v>
      </c>
      <c r="Q26" s="1808" t="str">
        <f t="shared" si="11"/>
        <v>配套类型</v>
      </c>
      <c r="R26" s="772" t="s">
        <v>17</v>
      </c>
      <c r="S26" s="773">
        <f t="shared" ref="S26:S36" si="12">F26</f>
        <v>100</v>
      </c>
      <c r="T26" s="772" t="s">
        <v>17</v>
      </c>
      <c r="U26" s="773">
        <f t="shared" ref="U26:U36" si="13">H26</f>
        <v>98</v>
      </c>
      <c r="V26" s="772" t="s">
        <v>17</v>
      </c>
      <c r="W26" s="773">
        <f t="shared" ref="W26:W36" si="14">J26</f>
        <v>98</v>
      </c>
      <c r="X26" s="1811"/>
      <c r="Y26" s="3243" t="s">
        <v>2566</v>
      </c>
      <c r="Z26" s="1812" t="str">
        <f t="shared" ref="Z26:Z36" si="15">Q26</f>
        <v>配套类型</v>
      </c>
      <c r="AA26" s="1809">
        <f t="shared" si="3"/>
        <v>1</v>
      </c>
      <c r="AB26" s="1809">
        <f t="shared" si="4"/>
        <v>1.0204081632653061</v>
      </c>
      <c r="AC26" s="1809">
        <f t="shared" si="5"/>
        <v>1.0204081632653061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43"/>
      <c r="Q27" s="774" t="str">
        <f t="shared" si="11"/>
        <v>项目停车位配比</v>
      </c>
      <c r="R27" s="775" t="s">
        <v>17</v>
      </c>
      <c r="S27" s="776">
        <f t="shared" si="12"/>
        <v>100</v>
      </c>
      <c r="T27" s="775" t="s">
        <v>17</v>
      </c>
      <c r="U27" s="776">
        <f t="shared" si="13"/>
        <v>100</v>
      </c>
      <c r="V27" s="775" t="s">
        <v>17</v>
      </c>
      <c r="W27" s="776">
        <f t="shared" si="14"/>
        <v>100</v>
      </c>
      <c r="X27" s="777"/>
      <c r="Y27" s="3243"/>
      <c r="Z27" s="778" t="str">
        <f t="shared" si="15"/>
        <v>项目停车位配比</v>
      </c>
      <c r="AA27" s="1809">
        <f t="shared" si="3"/>
        <v>1</v>
      </c>
      <c r="AB27" s="1809">
        <f t="shared" si="4"/>
        <v>1</v>
      </c>
      <c r="AC27" s="1809">
        <f t="shared" si="5"/>
        <v>1</v>
      </c>
    </row>
    <row r="28" spans="1:29" ht="15">
      <c r="A28" s="656"/>
      <c r="B28" s="654" t="s">
        <v>2715</v>
      </c>
      <c r="C28" s="460" t="s">
        <v>3198</v>
      </c>
      <c r="D28" s="435">
        <v>100</v>
      </c>
      <c r="E28" s="460" t="s">
        <v>3198</v>
      </c>
      <c r="F28" s="461">
        <f>SUMIF(83:83,E28,84:84)-SUMIF(83:83,C28,84:84)+100</f>
        <v>100</v>
      </c>
      <c r="G28" s="460" t="s">
        <v>3198</v>
      </c>
      <c r="H28" s="435">
        <f>SUMIF(83:83,G28,84:84)-SUMIF(83:83,C28,84:84)+100</f>
        <v>100</v>
      </c>
      <c r="I28" s="460" t="s">
        <v>3198</v>
      </c>
      <c r="J28" s="435">
        <f>SUMIF(83:83,I28,84:84)-SUMIF(83:83,C28,84:84)+100</f>
        <v>100</v>
      </c>
      <c r="K28" s="612">
        <v>2</v>
      </c>
      <c r="L28" s="1138"/>
      <c r="M28" s="1129"/>
      <c r="N28" s="1129"/>
      <c r="O28" s="1129"/>
      <c r="P28" s="3243"/>
      <c r="Q28" s="1808" t="str">
        <f t="shared" si="11"/>
        <v>公共部分装修</v>
      </c>
      <c r="R28" s="772" t="s">
        <v>17</v>
      </c>
      <c r="S28" s="773">
        <f t="shared" si="12"/>
        <v>100</v>
      </c>
      <c r="T28" s="772" t="s">
        <v>17</v>
      </c>
      <c r="U28" s="773">
        <f t="shared" si="13"/>
        <v>100</v>
      </c>
      <c r="V28" s="772" t="s">
        <v>17</v>
      </c>
      <c r="W28" s="773">
        <f t="shared" si="14"/>
        <v>100</v>
      </c>
      <c r="X28" s="1811"/>
      <c r="Y28" s="3243"/>
      <c r="Z28" s="1812" t="str">
        <f t="shared" si="15"/>
        <v>公共部分装修</v>
      </c>
      <c r="AA28" s="1809">
        <f t="shared" si="3"/>
        <v>1</v>
      </c>
      <c r="AB28" s="1809">
        <f t="shared" si="4"/>
        <v>1</v>
      </c>
      <c r="AC28" s="1809">
        <f t="shared" si="5"/>
        <v>1</v>
      </c>
    </row>
    <row r="29" spans="1:29" ht="15">
      <c r="A29" s="656"/>
      <c r="B29" s="654" t="s">
        <v>2716</v>
      </c>
      <c r="C29" s="469">
        <v>0.93</v>
      </c>
      <c r="D29" s="435">
        <v>100</v>
      </c>
      <c r="E29" s="474">
        <v>0.92</v>
      </c>
      <c r="F29" s="461">
        <f>LOOKUP(E29,86:86,87:87)-LOOKUP(C29,86:86,87:87)+100</f>
        <v>100</v>
      </c>
      <c r="G29" s="474">
        <v>0.93</v>
      </c>
      <c r="H29" s="461">
        <f>LOOKUP(G29,86:86,87:87)-LOOKUP(C29,86:86,87:87)+100</f>
        <v>100</v>
      </c>
      <c r="I29" s="474">
        <v>0.93</v>
      </c>
      <c r="J29" s="435">
        <f>LOOKUP(I29,86:86,87:87)-LOOKUP(C29,86:86,87:87)+100</f>
        <v>100</v>
      </c>
      <c r="K29" s="612">
        <v>1</v>
      </c>
      <c r="L29" s="1138"/>
      <c r="M29" s="1129"/>
      <c r="N29" s="1129"/>
      <c r="O29" s="1129"/>
      <c r="P29" s="3243"/>
      <c r="Q29" s="1808" t="str">
        <f t="shared" si="11"/>
        <v>成新率</v>
      </c>
      <c r="R29" s="772" t="s">
        <v>17</v>
      </c>
      <c r="S29" s="773">
        <f t="shared" si="12"/>
        <v>100</v>
      </c>
      <c r="T29" s="772" t="s">
        <v>17</v>
      </c>
      <c r="U29" s="773">
        <f t="shared" si="13"/>
        <v>100</v>
      </c>
      <c r="V29" s="772" t="s">
        <v>17</v>
      </c>
      <c r="W29" s="773">
        <f t="shared" si="14"/>
        <v>100</v>
      </c>
      <c r="X29" s="1811"/>
      <c r="Y29" s="3243"/>
      <c r="Z29" s="1812" t="str">
        <f t="shared" si="15"/>
        <v>成新率</v>
      </c>
      <c r="AA29" s="1809">
        <f t="shared" si="3"/>
        <v>1</v>
      </c>
      <c r="AB29" s="1809">
        <f t="shared" si="4"/>
        <v>1</v>
      </c>
      <c r="AC29" s="1809">
        <f t="shared" si="5"/>
        <v>1</v>
      </c>
    </row>
    <row r="30" spans="1:29" ht="15">
      <c r="A30" s="656"/>
      <c r="B30" s="654" t="s">
        <v>2717</v>
      </c>
      <c r="C30" s="657" t="s">
        <v>3204</v>
      </c>
      <c r="D30" s="435">
        <v>100</v>
      </c>
      <c r="E30" s="657" t="s">
        <v>3204</v>
      </c>
      <c r="F30" s="461">
        <f>SUMIF(88:88,E30,89:89)-SUMIF(88:88,C30,89:89)+100</f>
        <v>100</v>
      </c>
      <c r="G30" s="657" t="s">
        <v>3205</v>
      </c>
      <c r="H30" s="435">
        <f>SUMIF(88:88,E30,89:89)-SUMIF(88:88,C30,89:89)+100</f>
        <v>100</v>
      </c>
      <c r="I30" s="657" t="s">
        <v>3205</v>
      </c>
      <c r="J30" s="435">
        <f>SUMIF(88:88,E30,89:89)-SUMIF(88:88,C30,89:89)+100</f>
        <v>100</v>
      </c>
      <c r="K30" s="612">
        <v>2</v>
      </c>
      <c r="L30" s="1138"/>
      <c r="M30" s="1129"/>
      <c r="N30" s="1129"/>
      <c r="O30" s="1129"/>
      <c r="P30" s="3243"/>
      <c r="Q30" s="1808" t="str">
        <f t="shared" si="11"/>
        <v>物业等级</v>
      </c>
      <c r="R30" s="772" t="s">
        <v>17</v>
      </c>
      <c r="S30" s="773">
        <f t="shared" si="12"/>
        <v>100</v>
      </c>
      <c r="T30" s="772" t="s">
        <v>17</v>
      </c>
      <c r="U30" s="773">
        <f t="shared" si="13"/>
        <v>100</v>
      </c>
      <c r="V30" s="772" t="s">
        <v>17</v>
      </c>
      <c r="W30" s="773">
        <f t="shared" si="14"/>
        <v>100</v>
      </c>
      <c r="X30" s="1811"/>
      <c r="Y30" s="3243"/>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f>LOOKUP(E31,91:91,92:92)-LOOKUP(C31,91:91,92:92)+100</f>
        <v>100</v>
      </c>
      <c r="G31" s="469"/>
      <c r="H31" s="435">
        <f>LOOKUP(G31,91:91,92:92)-LOOKUP(C31,91:91,92:92)+100</f>
        <v>100</v>
      </c>
      <c r="I31" s="469"/>
      <c r="J31" s="435">
        <f>LOOKUP(I31,91:91,92:92)-LOOKUP(C31,91:91,92:92)+100</f>
        <v>100</v>
      </c>
      <c r="K31" s="612"/>
      <c r="L31" s="1130"/>
      <c r="M31" s="1131"/>
      <c r="N31" s="1131"/>
      <c r="O31" s="1131"/>
      <c r="P31" s="3243"/>
      <c r="Q31" s="1793" t="str">
        <f t="shared" si="11"/>
        <v>停车位面积</v>
      </c>
      <c r="R31" s="768" t="s">
        <v>17</v>
      </c>
      <c r="S31" s="769">
        <f t="shared" si="12"/>
        <v>100</v>
      </c>
      <c r="T31" s="768" t="s">
        <v>17</v>
      </c>
      <c r="U31" s="769">
        <f t="shared" si="13"/>
        <v>100</v>
      </c>
      <c r="V31" s="768" t="s">
        <v>17</v>
      </c>
      <c r="W31" s="769">
        <f t="shared" si="14"/>
        <v>100</v>
      </c>
      <c r="X31" s="770"/>
      <c r="Y31" s="3243"/>
      <c r="Z31" s="55" t="str">
        <f t="shared" si="15"/>
        <v>停车位面积</v>
      </c>
      <c r="AA31" s="771">
        <f t="shared" si="3"/>
        <v>1</v>
      </c>
      <c r="AB31" s="771">
        <f t="shared" si="4"/>
        <v>1</v>
      </c>
      <c r="AC31" s="771">
        <f t="shared" si="5"/>
        <v>1</v>
      </c>
    </row>
    <row r="32" spans="1:29" ht="15">
      <c r="A32" s="656"/>
      <c r="B32" s="654" t="s">
        <v>2719</v>
      </c>
      <c r="C32" s="460" t="s">
        <v>3284</v>
      </c>
      <c r="D32" s="435">
        <v>100</v>
      </c>
      <c r="E32" s="460" t="s">
        <v>3284</v>
      </c>
      <c r="F32" s="461">
        <f>SUMIF(93:93,E32,94:94)-SUMIF(93:93,C32,94:94)+100</f>
        <v>100</v>
      </c>
      <c r="G32" s="460" t="s">
        <v>3284</v>
      </c>
      <c r="H32" s="435">
        <f>SUMIF(93:93,G32,94:94)-SUMIF(93:93,C32,94:94)+100</f>
        <v>100</v>
      </c>
      <c r="I32" s="460" t="s">
        <v>3284</v>
      </c>
      <c r="J32" s="435">
        <f>SUMIF(93:93,I32,94:94)-SUMIF(93:93,C32,94:94)+100</f>
        <v>100</v>
      </c>
      <c r="K32" s="612">
        <v>2</v>
      </c>
      <c r="L32" s="1138"/>
      <c r="M32" s="1129"/>
      <c r="N32" s="1129"/>
      <c r="O32" s="1129"/>
      <c r="P32" s="3243" t="s">
        <v>2566</v>
      </c>
      <c r="Q32" s="1808" t="str">
        <f t="shared" si="11"/>
        <v>车位类型</v>
      </c>
      <c r="R32" s="772" t="s">
        <v>17</v>
      </c>
      <c r="S32" s="773">
        <f t="shared" si="12"/>
        <v>100</v>
      </c>
      <c r="T32" s="772" t="s">
        <v>17</v>
      </c>
      <c r="U32" s="773">
        <f t="shared" si="13"/>
        <v>100</v>
      </c>
      <c r="V32" s="772" t="s">
        <v>17</v>
      </c>
      <c r="W32" s="773">
        <f t="shared" si="14"/>
        <v>100</v>
      </c>
      <c r="X32" s="1811"/>
      <c r="Y32" s="3243"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43"/>
      <c r="Q33" s="1808" t="str">
        <f t="shared" si="11"/>
        <v>是否直接入户</v>
      </c>
      <c r="R33" s="772" t="s">
        <v>17</v>
      </c>
      <c r="S33" s="773">
        <f t="shared" si="12"/>
        <v>100</v>
      </c>
      <c r="T33" s="772" t="s">
        <v>17</v>
      </c>
      <c r="U33" s="773">
        <f t="shared" si="13"/>
        <v>100</v>
      </c>
      <c r="V33" s="772" t="s">
        <v>17</v>
      </c>
      <c r="W33" s="773">
        <f t="shared" si="14"/>
        <v>100</v>
      </c>
      <c r="X33" s="1811"/>
      <c r="Y33" s="324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43"/>
      <c r="Q34" s="1808">
        <f t="shared" si="11"/>
        <v>111</v>
      </c>
      <c r="R34" s="772" t="s">
        <v>17</v>
      </c>
      <c r="S34" s="773">
        <f t="shared" si="12"/>
        <v>100</v>
      </c>
      <c r="T34" s="772" t="s">
        <v>17</v>
      </c>
      <c r="U34" s="773">
        <f t="shared" si="13"/>
        <v>100</v>
      </c>
      <c r="V34" s="772" t="s">
        <v>17</v>
      </c>
      <c r="W34" s="773">
        <f t="shared" si="14"/>
        <v>100</v>
      </c>
      <c r="X34" s="1811"/>
      <c r="Y34" s="324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43"/>
      <c r="Q35" s="774">
        <f t="shared" si="11"/>
        <v>111</v>
      </c>
      <c r="R35" s="775" t="s">
        <v>17</v>
      </c>
      <c r="S35" s="776">
        <f t="shared" si="12"/>
        <v>100</v>
      </c>
      <c r="T35" s="775" t="s">
        <v>17</v>
      </c>
      <c r="U35" s="776">
        <f t="shared" si="13"/>
        <v>100</v>
      </c>
      <c r="V35" s="775" t="s">
        <v>17</v>
      </c>
      <c r="W35" s="776">
        <f t="shared" si="14"/>
        <v>100</v>
      </c>
      <c r="X35" s="777"/>
      <c r="Y35" s="3243"/>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43"/>
      <c r="Q36" s="1808">
        <f t="shared" si="11"/>
        <v>111</v>
      </c>
      <c r="R36" s="772" t="s">
        <v>17</v>
      </c>
      <c r="S36" s="773">
        <f t="shared" si="12"/>
        <v>100</v>
      </c>
      <c r="T36" s="772" t="s">
        <v>17</v>
      </c>
      <c r="U36" s="773">
        <f t="shared" si="13"/>
        <v>100</v>
      </c>
      <c r="V36" s="772" t="s">
        <v>17</v>
      </c>
      <c r="W36" s="773">
        <f t="shared" si="14"/>
        <v>100</v>
      </c>
      <c r="X36" s="1811"/>
      <c r="Y36" s="3243"/>
      <c r="Z36" s="1812">
        <f t="shared" si="15"/>
        <v>111</v>
      </c>
      <c r="AA36" s="1809">
        <f t="shared" si="3"/>
        <v>1</v>
      </c>
      <c r="AB36" s="1809">
        <f t="shared" si="4"/>
        <v>1</v>
      </c>
      <c r="AC36" s="1809">
        <f t="shared" si="5"/>
        <v>1</v>
      </c>
    </row>
    <row r="37" spans="1:29" ht="15">
      <c r="A37" s="479" t="s">
        <v>2721</v>
      </c>
      <c r="B37" s="2692" t="s">
        <v>2722</v>
      </c>
      <c r="C37" s="1405" t="s">
        <v>1</v>
      </c>
      <c r="D37" s="1406"/>
      <c r="E37" s="1407">
        <v>160000</v>
      </c>
      <c r="F37" s="1408"/>
      <c r="G37" s="1409">
        <v>158000</v>
      </c>
      <c r="H37" s="1410"/>
      <c r="I37" s="1407">
        <v>150000</v>
      </c>
      <c r="J37" s="1410"/>
      <c r="K37" s="619"/>
      <c r="L37" s="1141"/>
      <c r="M37" s="1142"/>
      <c r="N37" s="1129"/>
      <c r="O37" s="1142"/>
      <c r="P37" s="3245" t="str">
        <f>A37</f>
        <v>成交单价</v>
      </c>
      <c r="Q37" s="3245"/>
      <c r="R37" s="3246">
        <f>E37</f>
        <v>160000</v>
      </c>
      <c r="S37" s="3246"/>
      <c r="T37" s="3246">
        <f>G37</f>
        <v>158000</v>
      </c>
      <c r="U37" s="3246"/>
      <c r="V37" s="3246">
        <f>I37</f>
        <v>150000</v>
      </c>
      <c r="W37" s="3246"/>
      <c r="X37" s="757"/>
      <c r="Y37" s="779"/>
      <c r="Z37" s="757"/>
      <c r="AA37" s="757"/>
      <c r="AB37" s="757"/>
      <c r="AC37" s="757"/>
    </row>
    <row r="38" spans="1:29" ht="15.75" thickBot="1">
      <c r="A38" s="486" t="s">
        <v>2723</v>
      </c>
      <c r="B38" s="487" t="str">
        <f>B37</f>
        <v>元/车位</v>
      </c>
      <c r="C38" s="1411">
        <f>R39</f>
        <v>156016</v>
      </c>
      <c r="D38" s="1412"/>
      <c r="E38" s="1413">
        <f>R38</f>
        <v>156863</v>
      </c>
      <c r="F38" s="1413"/>
      <c r="G38" s="1411">
        <f>T38</f>
        <v>158063</v>
      </c>
      <c r="H38" s="1412"/>
      <c r="I38" s="1413">
        <f>V38</f>
        <v>153122</v>
      </c>
      <c r="J38" s="1412"/>
      <c r="K38" s="620"/>
      <c r="L38" s="1141"/>
      <c r="M38" s="1142"/>
      <c r="N38" s="1142"/>
      <c r="O38" s="1142"/>
      <c r="P38" s="3245" t="str">
        <f>A38</f>
        <v>比较价值（元/平方米）</v>
      </c>
      <c r="Q38" s="3245"/>
      <c r="R38" s="3246">
        <f>IF(F1="售价",ROUND(PRODUCT(R37,AA7:AA36),0),ROUND(PRODUCT(R37,AA7:AA36),1))</f>
        <v>156863</v>
      </c>
      <c r="S38" s="3246"/>
      <c r="T38" s="3246">
        <f>IF(F1="售价",ROUND(PRODUCT(T37,AB7:AB36),0),ROUND(PRODUCT(T37,AB7:AB36),1))</f>
        <v>158063</v>
      </c>
      <c r="U38" s="3246"/>
      <c r="V38" s="3246">
        <f>IF(F1="售价",ROUND(PRODUCT(V37,AC7:AC36),0),ROUND(PRODUCT(V37,AC7:AC36),1))</f>
        <v>153122</v>
      </c>
      <c r="W38" s="3246"/>
      <c r="X38" s="757"/>
      <c r="Y38" s="757"/>
      <c r="Z38" s="757"/>
      <c r="AA38" s="757"/>
      <c r="AB38" s="757"/>
      <c r="AC38" s="757"/>
    </row>
    <row r="39" spans="1:29" ht="15.75" thickBot="1">
      <c r="A39" s="492" t="s">
        <v>2724</v>
      </c>
      <c r="B39" s="493"/>
      <c r="C39" s="1415">
        <f>R39</f>
        <v>156016</v>
      </c>
      <c r="D39" s="1415"/>
      <c r="E39" s="1415"/>
      <c r="F39" s="1415"/>
      <c r="G39" s="1415"/>
      <c r="H39" s="1415"/>
      <c r="I39" s="1415"/>
      <c r="J39" s="1415"/>
      <c r="K39" s="621"/>
      <c r="L39" s="1141"/>
      <c r="M39" s="1142"/>
      <c r="N39" s="1142"/>
      <c r="O39" s="1142"/>
      <c r="P39" s="3263" t="str">
        <f>A39</f>
        <v>估价对象XX用房的比较价值（楼面单价，元/平方米）</v>
      </c>
      <c r="Q39" s="3264"/>
      <c r="R39" s="3265">
        <f>IF(F1="售价",ROUND(AVERAGE(R38:V38),0),ROUND(AVERAGE(R38:V38),1))</f>
        <v>156016</v>
      </c>
      <c r="S39" s="3265"/>
      <c r="T39" s="3265"/>
      <c r="U39" s="3265"/>
      <c r="V39" s="3265"/>
      <c r="W39" s="3265"/>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f>IF(E37&lt;E38,E38/E37-1,E37/E38-1)</f>
        <v>1.99983425026935E-2</v>
      </c>
      <c r="F42" s="500" t="str">
        <f>IF(OR(E42&gt;=0.3,E42&lt;=-0.3),"超过30%","")</f>
        <v/>
      </c>
      <c r="G42" s="499">
        <f>IF(G37&lt;G38,G38/G37-1,G37/G38-1)</f>
        <v>3.9873417721514315E-4</v>
      </c>
      <c r="H42" s="500" t="str">
        <f>IF(OR(G42&gt;=0.3,G42&lt;=-0.3),"超过30%","")</f>
        <v/>
      </c>
      <c r="I42" s="499">
        <f>IF(I37&lt;I38,I38/I37-1,I37/I38-1)</f>
        <v>2.081333333333335E-2</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f>IF(E38&lt;G38,G38/E38-1,E38/G38-1)</f>
        <v>7.6499875687701113E-3</v>
      </c>
      <c r="F43" s="500" t="str">
        <f>IF(OR(E43&gt;=0.2,E43&lt;=-0.2),"超过20%","")</f>
        <v/>
      </c>
      <c r="G43" s="499">
        <f>IF(G38&lt;I38,I38/G38-1,G38/I38-1)</f>
        <v>3.2268387299016377E-2</v>
      </c>
      <c r="H43" s="500" t="str">
        <f>IF(OR(G43&gt;=0.2,G43&lt;=-0.2),"超过20%","")</f>
        <v/>
      </c>
      <c r="I43" s="499">
        <f>IF(I38&lt;E38,E38/I38-1,I38/E38-1)</f>
        <v>2.443149906610409E-2</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f>IF(E37&lt;G37,G37/E37-1,E37/G37-1)</f>
        <v>1.2658227848101333E-2</v>
      </c>
      <c r="F44" s="500" t="str">
        <f>IF(OR(E44&gt;=0.3,E44&lt;=-0.3),"超过30%","")</f>
        <v/>
      </c>
      <c r="G44" s="499">
        <f>IF(G37&lt;I37,I37/G37-1,G37/I37-1)</f>
        <v>5.3333333333333233E-2</v>
      </c>
      <c r="H44" s="500" t="str">
        <f>IF(OR(G44&gt;=0.3,G44&lt;=-0.3),"超过30%","")</f>
        <v/>
      </c>
      <c r="I44" s="499">
        <f>IF(I37&lt;E37,E37/I37-1,I37/E37-1)</f>
        <v>6.6666666666666652E-2</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2019-5</v>
      </c>
      <c r="D48" s="1573">
        <f>EDATE(C48,-1)</f>
        <v>43556</v>
      </c>
      <c r="E48" s="1573">
        <f t="shared" ref="E48:O48" si="16">EDATE(D48,-1)</f>
        <v>43525</v>
      </c>
      <c r="F48" s="1573">
        <f t="shared" si="16"/>
        <v>43497</v>
      </c>
      <c r="G48" s="1573">
        <f t="shared" si="16"/>
        <v>43466</v>
      </c>
      <c r="H48" s="1573">
        <f t="shared" si="16"/>
        <v>43435</v>
      </c>
      <c r="I48" s="1573">
        <f t="shared" si="16"/>
        <v>43405</v>
      </c>
      <c r="J48" s="1573">
        <f t="shared" si="16"/>
        <v>43374</v>
      </c>
      <c r="K48" s="1573">
        <f t="shared" si="16"/>
        <v>43344</v>
      </c>
      <c r="L48" s="1573">
        <f t="shared" si="16"/>
        <v>43313</v>
      </c>
      <c r="M48" s="1573">
        <f t="shared" si="16"/>
        <v>43282</v>
      </c>
      <c r="N48" s="1573">
        <f t="shared" si="16"/>
        <v>43252</v>
      </c>
      <c r="O48" s="1573">
        <f t="shared" si="16"/>
        <v>43221</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98</v>
      </c>
      <c r="E64" s="544">
        <f>D64-$K14</f>
        <v>96</v>
      </c>
      <c r="F64" s="544">
        <f>E64-$K14</f>
        <v>94</v>
      </c>
      <c r="G64" s="544">
        <f>F64-$K14</f>
        <v>92</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98</v>
      </c>
      <c r="E66" s="544">
        <f>D66-$K16</f>
        <v>96</v>
      </c>
      <c r="F66" s="544">
        <f>E66-$K16</f>
        <v>94</v>
      </c>
      <c r="G66" s="544">
        <f>F66-$K16</f>
        <v>92</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98</v>
      </c>
      <c r="E68" s="544">
        <f>D68-$K18</f>
        <v>96</v>
      </c>
      <c r="F68" s="544">
        <f>E68-$K18</f>
        <v>94</v>
      </c>
      <c r="G68" s="544">
        <f>F68-$K18</f>
        <v>92</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99</v>
      </c>
      <c r="E70" s="544">
        <f>D70-$K20</f>
        <v>98</v>
      </c>
      <c r="F70" s="544">
        <f>E70-$K20</f>
        <v>97</v>
      </c>
      <c r="G70" s="544">
        <f>F70-$K20</f>
        <v>96</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t="str">
        <f>C26</f>
        <v>办公</v>
      </c>
      <c r="D79" s="2996" t="s">
        <v>3282</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2978" t="s">
        <v>3197</v>
      </c>
      <c r="D83" s="2978" t="s">
        <v>3198</v>
      </c>
      <c r="E83" s="2978" t="s">
        <v>3199</v>
      </c>
      <c r="F83" s="2980" t="s">
        <v>3200</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2996" t="s">
        <v>3204</v>
      </c>
      <c r="D88" s="2996" t="s">
        <v>3205</v>
      </c>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0(含)-100</v>
      </c>
      <c r="D90" s="578" t="str">
        <f t="shared" ref="D90:L90" si="21">D91&amp;"(含)"&amp;"-"&amp;E91</f>
        <v>100(含)-200</v>
      </c>
      <c r="E90" s="578" t="str">
        <f t="shared" si="21"/>
        <v>200(含)-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100</v>
      </c>
      <c r="E91" s="595">
        <v>200</v>
      </c>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100</v>
      </c>
      <c r="D92" s="536">
        <v>100</v>
      </c>
      <c r="E92" s="536">
        <v>100</v>
      </c>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2990" t="s">
        <v>3283</v>
      </c>
      <c r="D93" s="2990" t="s">
        <v>3284</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2527</v>
      </c>
      <c r="B1" s="2559"/>
      <c r="C1" s="2559"/>
      <c r="D1" s="2559"/>
      <c r="E1" s="2560"/>
    </row>
    <row r="2" spans="1:6" ht="15.75">
      <c r="A2" s="2561" t="s">
        <v>2328</v>
      </c>
      <c r="B2" s="2562">
        <f ca="1">SUMIF(B6:B13,"&lt;&gt;#ref!",B6:B13)</f>
        <v>100432</v>
      </c>
      <c r="C2" s="2563" t="s">
        <v>2520</v>
      </c>
      <c r="D2" s="2564" t="s">
        <v>2521</v>
      </c>
      <c r="E2" s="2565">
        <f>SUM(E6:E13)</f>
        <v>51884.22</v>
      </c>
    </row>
    <row r="3" spans="1:6" ht="15.75">
      <c r="A3" s="2561" t="s">
        <v>1391</v>
      </c>
      <c r="B3" s="2562">
        <f ca="1">ROUND(B2*10000/E2,0)</f>
        <v>19357</v>
      </c>
      <c r="C3" s="2563" t="s">
        <v>2528</v>
      </c>
      <c r="D3" s="2566"/>
      <c r="E3" s="2567"/>
    </row>
    <row r="4" spans="1:6" ht="15.75">
      <c r="A4" s="2568"/>
      <c r="B4" s="2566"/>
      <c r="C4" s="2566"/>
      <c r="D4" s="2566"/>
      <c r="E4" s="2567"/>
    </row>
    <row r="5" spans="1:6" ht="15">
      <c r="A5" s="2569" t="s">
        <v>2522</v>
      </c>
      <c r="B5" s="3267" t="s">
        <v>2523</v>
      </c>
      <c r="C5" s="3267"/>
      <c r="D5" s="2570"/>
      <c r="E5" s="2571" t="s">
        <v>2524</v>
      </c>
      <c r="F5" s="2572" t="s">
        <v>2525</v>
      </c>
    </row>
    <row r="6" spans="1:6">
      <c r="A6" s="2573" t="str">
        <f>'数据-取费表'!AN6</f>
        <v>收益法办公</v>
      </c>
      <c r="B6" s="2572">
        <f ca="1">IF(F6="是",'数据-取费表'!AO6,0)</f>
        <v>61846</v>
      </c>
      <c r="C6" s="2563" t="s">
        <v>2520</v>
      </c>
      <c r="D6" s="2566"/>
      <c r="E6" s="2574">
        <f>IF(OR(A6=0,F6="否"),0,'数据-取费表'!K6+'数据-取费表'!S6)</f>
        <v>19736.88</v>
      </c>
      <c r="F6" s="2575" t="s">
        <v>2526</v>
      </c>
    </row>
    <row r="7" spans="1:6">
      <c r="A7" s="2573" t="str">
        <f>'数据-取费表'!AN7</f>
        <v>收益法商业</v>
      </c>
      <c r="B7" s="2572">
        <f ca="1">IF(F7="是",'数据-取费表'!AO7,0)</f>
        <v>36144</v>
      </c>
      <c r="C7" s="2563" t="s">
        <v>2520</v>
      </c>
      <c r="D7" s="2566"/>
      <c r="E7" s="2574">
        <f>IF(OR(A7=0,F7="否"),0,'数据-取费表'!K7+'数据-取费表'!S7)</f>
        <v>19900.510000000002</v>
      </c>
      <c r="F7" s="2575" t="s">
        <v>2526</v>
      </c>
    </row>
    <row r="8" spans="1:6">
      <c r="A8" s="2573" t="str">
        <f>'数据-取费表'!AN8</f>
        <v>收益法车库</v>
      </c>
      <c r="B8" s="2572">
        <f ca="1">IF(F8="是",'数据-取费表'!AO8,0)</f>
        <v>2442</v>
      </c>
      <c r="C8" s="2563" t="s">
        <v>2520</v>
      </c>
      <c r="D8" s="2566"/>
      <c r="E8" s="2574">
        <f>IF(OR(A8=0,F8="否"),0,'数据-取费表'!K8+'数据-取费表'!S8)</f>
        <v>12246.83</v>
      </c>
      <c r="F8" s="2575" t="s">
        <v>2526</v>
      </c>
    </row>
    <row r="9" spans="1:6">
      <c r="A9" s="2573">
        <f>'数据-取费表'!AN9</f>
        <v>0</v>
      </c>
      <c r="B9" s="2572" t="e">
        <f ca="1">IF(F9="是",'数据-取费表'!AO9,0)</f>
        <v>#REF!</v>
      </c>
      <c r="C9" s="2563" t="s">
        <v>2520</v>
      </c>
      <c r="D9" s="2566"/>
      <c r="E9" s="2574">
        <f>IF(OR(A9=0,F9="否"),0,'数据-取费表'!K9+'数据-取费表'!S9)</f>
        <v>0</v>
      </c>
      <c r="F9" s="2575" t="s">
        <v>2526</v>
      </c>
    </row>
    <row r="10" spans="1:6">
      <c r="A10" s="2573">
        <f>'数据-取费表'!AN10</f>
        <v>0</v>
      </c>
      <c r="B10" s="2572" t="e">
        <f ca="1">IF(F10="是",'数据-取费表'!AO10,0)</f>
        <v>#REF!</v>
      </c>
      <c r="C10" s="2563" t="s">
        <v>2520</v>
      </c>
      <c r="D10" s="2566"/>
      <c r="E10" s="2574">
        <f>IF(OR(A10=0,F10="否"),0,'数据-取费表'!K10+'数据-取费表'!S10)</f>
        <v>0</v>
      </c>
      <c r="F10" s="2575" t="s">
        <v>2526</v>
      </c>
    </row>
    <row r="11" spans="1:6">
      <c r="A11" s="2573">
        <f>'数据-取费表'!AN11</f>
        <v>0</v>
      </c>
      <c r="B11" s="2572" t="e">
        <f ca="1">IF(F11="是",'数据-取费表'!AO11,0)</f>
        <v>#REF!</v>
      </c>
      <c r="C11" s="2563" t="s">
        <v>2520</v>
      </c>
      <c r="D11" s="2566"/>
      <c r="E11" s="2574">
        <f>IF(OR(A11=0,F11="否"),0,'数据-取费表'!K11+'数据-取费表'!S11)</f>
        <v>0</v>
      </c>
      <c r="F11" s="2575" t="s">
        <v>2526</v>
      </c>
    </row>
    <row r="12" spans="1:6">
      <c r="A12" s="2573">
        <f>'数据-取费表'!AN12</f>
        <v>0</v>
      </c>
      <c r="B12" s="2572" t="e">
        <f ca="1">IF(F12="是",'数据-取费表'!AO12,0)</f>
        <v>#REF!</v>
      </c>
      <c r="C12" s="2563" t="s">
        <v>2520</v>
      </c>
      <c r="D12" s="2566"/>
      <c r="E12" s="2574">
        <f>IF(OR(A12=0,F12="否"),0,'数据-取费表'!K12+'数据-取费表'!S12)</f>
        <v>0</v>
      </c>
      <c r="F12" s="2575" t="s">
        <v>2526</v>
      </c>
    </row>
    <row r="13" spans="1:6" ht="15" thickBot="1">
      <c r="A13" s="2576">
        <f>'数据-取费表'!AN13</f>
        <v>0</v>
      </c>
      <c r="B13" s="2572" t="e">
        <f ca="1">IF(F13="是",'数据-取费表'!AO13,0)</f>
        <v>#REF!</v>
      </c>
      <c r="C13" s="2577" t="s">
        <v>2520</v>
      </c>
      <c r="D13" s="2578"/>
      <c r="E13" s="2574">
        <f>IF(OR(A13=0,F13="否"),0,'数据-取费表'!K13+'数据-取费表'!S13)</f>
        <v>0</v>
      </c>
      <c r="F13" s="257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8" t="s">
        <v>1073</v>
      </c>
      <c r="B1" s="3269"/>
      <c r="C1" s="3270"/>
      <c r="D1" s="3271">
        <f>SUM(I10,I15,I20,I21,I23)</f>
        <v>0</v>
      </c>
      <c r="E1" s="3271"/>
      <c r="F1" s="3271"/>
      <c r="G1" s="3271"/>
      <c r="H1" s="3271"/>
      <c r="I1" s="3272"/>
    </row>
    <row r="2" spans="1:9">
      <c r="A2" s="3273" t="s">
        <v>1074</v>
      </c>
      <c r="B2" s="3274" t="s">
        <v>1075</v>
      </c>
      <c r="C2" s="3274"/>
      <c r="D2" s="1299" t="s">
        <v>1076</v>
      </c>
      <c r="E2" s="1299" t="s">
        <v>1077</v>
      </c>
      <c r="F2" s="1299" t="s">
        <v>1078</v>
      </c>
      <c r="G2" s="1299" t="s">
        <v>1079</v>
      </c>
      <c r="H2" s="1299" t="s">
        <v>1080</v>
      </c>
      <c r="I2" s="1300" t="s">
        <v>1081</v>
      </c>
    </row>
    <row r="3" spans="1:9">
      <c r="A3" s="3273"/>
      <c r="B3" s="3274" t="s">
        <v>1082</v>
      </c>
      <c r="C3" s="3274"/>
      <c r="D3" s="1301"/>
      <c r="E3" s="1299"/>
      <c r="F3" s="1302"/>
      <c r="G3" s="1302"/>
      <c r="H3" s="1303"/>
      <c r="I3" s="1304">
        <f>ROUND(D3*E3*F3*G3*H3/10000,0)</f>
        <v>0</v>
      </c>
    </row>
    <row r="4" spans="1:9">
      <c r="A4" s="3273"/>
      <c r="B4" s="3274" t="s">
        <v>1083</v>
      </c>
      <c r="C4" s="3274"/>
      <c r="D4" s="1301"/>
      <c r="E4" s="1299"/>
      <c r="F4" s="1302"/>
      <c r="G4" s="1302"/>
      <c r="H4" s="1303"/>
      <c r="I4" s="1304">
        <f t="shared" ref="I4:I9" si="0">ROUND(D4*E4*F4*G4*H4/10000,0)</f>
        <v>0</v>
      </c>
    </row>
    <row r="5" spans="1:9">
      <c r="A5" s="3273"/>
      <c r="B5" s="3274" t="s">
        <v>1084</v>
      </c>
      <c r="C5" s="3274"/>
      <c r="D5" s="1301"/>
      <c r="E5" s="1299"/>
      <c r="F5" s="1302"/>
      <c r="G5" s="1302"/>
      <c r="H5" s="1303"/>
      <c r="I5" s="1304">
        <f t="shared" si="0"/>
        <v>0</v>
      </c>
    </row>
    <row r="6" spans="1:9">
      <c r="A6" s="3273"/>
      <c r="B6" s="3274" t="s">
        <v>1085</v>
      </c>
      <c r="C6" s="3274"/>
      <c r="D6" s="1301"/>
      <c r="E6" s="1299"/>
      <c r="F6" s="1302"/>
      <c r="G6" s="1302"/>
      <c r="H6" s="1303"/>
      <c r="I6" s="1304">
        <f t="shared" si="0"/>
        <v>0</v>
      </c>
    </row>
    <row r="7" spans="1:9">
      <c r="A7" s="3273"/>
      <c r="B7" s="3274" t="s">
        <v>1086</v>
      </c>
      <c r="C7" s="3274"/>
      <c r="D7" s="1301"/>
      <c r="E7" s="1299"/>
      <c r="F7" s="1302"/>
      <c r="G7" s="1302"/>
      <c r="H7" s="1303"/>
      <c r="I7" s="1304">
        <f t="shared" si="0"/>
        <v>0</v>
      </c>
    </row>
    <row r="8" spans="1:9">
      <c r="A8" s="3273"/>
      <c r="B8" s="3274" t="s">
        <v>1087</v>
      </c>
      <c r="C8" s="3274"/>
      <c r="D8" s="1301"/>
      <c r="E8" s="1299"/>
      <c r="F8" s="1302"/>
      <c r="G8" s="1302"/>
      <c r="H8" s="1303"/>
      <c r="I8" s="1304">
        <f t="shared" si="0"/>
        <v>0</v>
      </c>
    </row>
    <row r="9" spans="1:9">
      <c r="A9" s="3273"/>
      <c r="B9" s="3274" t="s">
        <v>1088</v>
      </c>
      <c r="C9" s="3274"/>
      <c r="D9" s="1301"/>
      <c r="E9" s="1299"/>
      <c r="F9" s="1302"/>
      <c r="G9" s="1302"/>
      <c r="H9" s="1303"/>
      <c r="I9" s="1304">
        <f t="shared" si="0"/>
        <v>0</v>
      </c>
    </row>
    <row r="10" spans="1:9">
      <c r="A10" s="3273"/>
      <c r="B10" s="3275" t="s">
        <v>1089</v>
      </c>
      <c r="C10" s="3275"/>
      <c r="D10" s="1305"/>
      <c r="E10" s="1305" t="e">
        <f>ROUND(D1*10000/D10/H9,0)</f>
        <v>#DIV/0!</v>
      </c>
      <c r="F10" s="1306"/>
      <c r="G10" s="1306"/>
      <c r="H10" s="1307"/>
      <c r="I10" s="1308">
        <f>SUM(I3:I9)</f>
        <v>0</v>
      </c>
    </row>
    <row r="11" spans="1:9" ht="14.25">
      <c r="A11" s="3273" t="s">
        <v>1090</v>
      </c>
      <c r="B11" s="3274" t="s">
        <v>1091</v>
      </c>
      <c r="C11" s="3274"/>
      <c r="D11" s="1301" t="s">
        <v>1092</v>
      </c>
      <c r="E11" s="1301" t="s">
        <v>1093</v>
      </c>
      <c r="F11" s="1302" t="s">
        <v>1094</v>
      </c>
      <c r="G11" s="1302" t="s">
        <v>1080</v>
      </c>
      <c r="H11" s="1309" t="s">
        <v>1095</v>
      </c>
      <c r="I11" s="1300" t="s">
        <v>1081</v>
      </c>
    </row>
    <row r="12" spans="1:9">
      <c r="A12" s="3273"/>
      <c r="B12" s="3274" t="s">
        <v>1096</v>
      </c>
      <c r="C12" s="3274"/>
      <c r="D12" s="1301"/>
      <c r="E12" s="1301"/>
      <c r="F12" s="1302"/>
      <c r="G12" s="1303"/>
      <c r="H12" s="1310"/>
      <c r="I12" s="1300">
        <f>ROUND(D12*E12*F12*G12/10000,0)</f>
        <v>0</v>
      </c>
    </row>
    <row r="13" spans="1:9">
      <c r="A13" s="3273"/>
      <c r="B13" s="3274" t="s">
        <v>1097</v>
      </c>
      <c r="C13" s="3274"/>
      <c r="D13" s="1301"/>
      <c r="E13" s="1301"/>
      <c r="F13" s="1302"/>
      <c r="G13" s="1303"/>
      <c r="H13" s="1310"/>
      <c r="I13" s="1300">
        <f>ROUND(D13*E13*F13*G13/10000,0)</f>
        <v>0</v>
      </c>
    </row>
    <row r="14" spans="1:9">
      <c r="A14" s="3273"/>
      <c r="B14" s="3274" t="s">
        <v>1098</v>
      </c>
      <c r="C14" s="3274"/>
      <c r="D14" s="1301"/>
      <c r="E14" s="1301"/>
      <c r="F14" s="1302"/>
      <c r="G14" s="1303"/>
      <c r="H14" s="1310"/>
      <c r="I14" s="1300">
        <f>ROUND(D14*E14*F14*G14/10000,0)</f>
        <v>0</v>
      </c>
    </row>
    <row r="15" spans="1:9">
      <c r="A15" s="3273"/>
      <c r="B15" s="3275" t="s">
        <v>1089</v>
      </c>
      <c r="C15" s="3275"/>
      <c r="D15" s="1305"/>
      <c r="E15" s="1305">
        <f>SUM(E12:E14)</f>
        <v>0</v>
      </c>
      <c r="F15" s="1306"/>
      <c r="G15" s="1303"/>
      <c r="H15" s="1310"/>
      <c r="I15" s="1311">
        <f>SUM(I12:I14)</f>
        <v>0</v>
      </c>
    </row>
    <row r="16" spans="1:9" ht="24">
      <c r="A16" s="3273" t="s">
        <v>1099</v>
      </c>
      <c r="B16" s="3274" t="s">
        <v>1100</v>
      </c>
      <c r="C16" s="3274"/>
      <c r="D16" s="1301" t="s">
        <v>1076</v>
      </c>
      <c r="E16" s="1312" t="s">
        <v>1101</v>
      </c>
      <c r="F16" s="1302" t="s">
        <v>1102</v>
      </c>
      <c r="G16" s="1303" t="s">
        <v>1080</v>
      </c>
      <c r="H16" s="1309" t="s">
        <v>1095</v>
      </c>
      <c r="I16" s="1300" t="s">
        <v>1081</v>
      </c>
    </row>
    <row r="17" spans="1:9" ht="14.25">
      <c r="A17" s="3273"/>
      <c r="B17" s="3274" t="s">
        <v>1103</v>
      </c>
      <c r="C17" s="3274"/>
      <c r="D17" s="1301"/>
      <c r="E17" s="1301"/>
      <c r="F17" s="1302"/>
      <c r="G17" s="1303"/>
      <c r="H17" s="1313"/>
      <c r="I17" s="1314">
        <f>ROUND(D17*E17*F17*G17/10000,0)</f>
        <v>0</v>
      </c>
    </row>
    <row r="18" spans="1:9" ht="14.25">
      <c r="A18" s="3273"/>
      <c r="B18" s="3274" t="s">
        <v>1104</v>
      </c>
      <c r="C18" s="3274"/>
      <c r="D18" s="1301"/>
      <c r="E18" s="1301"/>
      <c r="F18" s="1302"/>
      <c r="G18" s="1303"/>
      <c r="H18" s="1313"/>
      <c r="I18" s="1314">
        <f>ROUND(D18*E18*F18*G18/10000,0)</f>
        <v>0</v>
      </c>
    </row>
    <row r="19" spans="1:9" ht="14.25">
      <c r="A19" s="3273"/>
      <c r="B19" s="3274" t="s">
        <v>1105</v>
      </c>
      <c r="C19" s="3274"/>
      <c r="D19" s="1301"/>
      <c r="E19" s="1301"/>
      <c r="F19" s="1302"/>
      <c r="G19" s="1303"/>
      <c r="H19" s="1313"/>
      <c r="I19" s="1314">
        <f>ROUND(D19*E19*F19*G19/10000,0)</f>
        <v>0</v>
      </c>
    </row>
    <row r="20" spans="1:9">
      <c r="A20" s="3273"/>
      <c r="B20" s="3275" t="s">
        <v>1089</v>
      </c>
      <c r="C20" s="3275"/>
      <c r="D20" s="1305">
        <f>SUM(D17:D19)</f>
        <v>0</v>
      </c>
      <c r="E20" s="1305"/>
      <c r="F20" s="1306"/>
      <c r="G20" s="1303"/>
      <c r="H20" s="1310"/>
      <c r="I20" s="1311">
        <f>SUM(I17:I19)</f>
        <v>0</v>
      </c>
    </row>
    <row r="21" spans="1:9">
      <c r="A21" s="3273" t="s">
        <v>1106</v>
      </c>
      <c r="B21" s="3277"/>
      <c r="C21" s="3277"/>
      <c r="D21" s="3277"/>
      <c r="E21" s="3277"/>
      <c r="F21" s="3277"/>
      <c r="G21" s="3277"/>
      <c r="H21" s="1763">
        <v>0.1</v>
      </c>
      <c r="I21" s="1308">
        <f>ROUND(I10*H21,0)</f>
        <v>0</v>
      </c>
    </row>
    <row r="22" spans="1:9" ht="14.25">
      <c r="A22" s="3278" t="s">
        <v>1107</v>
      </c>
      <c r="B22" s="3279"/>
      <c r="C22" s="3280"/>
      <c r="D22" s="1315" t="s">
        <v>1108</v>
      </c>
      <c r="E22" s="1315" t="s">
        <v>1109</v>
      </c>
      <c r="F22" s="1316" t="s">
        <v>1110</v>
      </c>
      <c r="G22" s="1316" t="s">
        <v>1111</v>
      </c>
      <c r="H22" s="1309" t="s">
        <v>1112</v>
      </c>
      <c r="I22" s="1300" t="s">
        <v>1113</v>
      </c>
    </row>
    <row r="23" spans="1:9" ht="14.25" thickBot="1">
      <c r="A23" s="3281"/>
      <c r="B23" s="3282"/>
      <c r="C23" s="3283"/>
      <c r="D23" s="1317"/>
      <c r="E23" s="1317"/>
      <c r="F23" s="1317"/>
      <c r="G23" s="1318"/>
      <c r="H23" s="1319"/>
      <c r="I23" s="1320">
        <f>ROUND(E23*D23*F23*(1-G23)/10000,0)</f>
        <v>0</v>
      </c>
    </row>
    <row r="26" spans="1:9">
      <c r="A26" s="1321" t="s">
        <v>1114</v>
      </c>
      <c r="B26" s="1321"/>
      <c r="C26" s="1321"/>
      <c r="D26" s="1321"/>
      <c r="E26" s="3284">
        <f>C27-C30-C31-C32</f>
        <v>0</v>
      </c>
      <c r="F26" s="3284"/>
      <c r="G26" s="3284"/>
      <c r="H26" s="1735" t="s">
        <v>1336</v>
      </c>
    </row>
    <row r="27" spans="1:9">
      <c r="A27" s="1322">
        <v>1</v>
      </c>
      <c r="B27" s="1323" t="s">
        <v>1115</v>
      </c>
      <c r="C27" s="1323">
        <f>C28+C29</f>
        <v>0</v>
      </c>
      <c r="D27" s="1323"/>
      <c r="E27" s="3285"/>
      <c r="F27" s="3285"/>
      <c r="G27" s="3285"/>
    </row>
    <row r="28" spans="1:9">
      <c r="A28" s="1324" t="s">
        <v>1116</v>
      </c>
      <c r="B28" s="1323" t="s">
        <v>1117</v>
      </c>
      <c r="C28" s="1323"/>
      <c r="D28" s="1323"/>
      <c r="E28" s="3285"/>
      <c r="F28" s="3285"/>
      <c r="G28" s="328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76"/>
      <c r="F32" s="3276"/>
      <c r="G32" s="3276"/>
    </row>
    <row r="33" spans="1:7" hidden="1">
      <c r="A33" s="3286" t="s">
        <v>1126</v>
      </c>
      <c r="B33" s="3287"/>
      <c r="C33" s="3287"/>
      <c r="D33" s="3288"/>
      <c r="E33" s="3284"/>
      <c r="F33" s="3284"/>
      <c r="G33" s="3284"/>
    </row>
    <row r="34" spans="1:7" hidden="1">
      <c r="A34" s="1326">
        <v>1</v>
      </c>
      <c r="B34" s="1323" t="s">
        <v>1127</v>
      </c>
      <c r="C34" s="1323"/>
      <c r="D34" s="1323"/>
      <c r="E34" s="3285"/>
      <c r="F34" s="3285"/>
      <c r="G34" s="3285"/>
    </row>
    <row r="35" spans="1:7" hidden="1">
      <c r="A35" s="1326">
        <v>2</v>
      </c>
      <c r="B35" s="1323" t="s">
        <v>1128</v>
      </c>
      <c r="C35" s="1323"/>
      <c r="D35" s="1323"/>
      <c r="E35" s="3285"/>
      <c r="F35" s="3285"/>
      <c r="G35" s="3285"/>
    </row>
    <row r="36" spans="1:7" hidden="1">
      <c r="A36" s="1326">
        <v>3</v>
      </c>
      <c r="B36" s="1323" t="s">
        <v>1129</v>
      </c>
      <c r="C36" s="1323"/>
      <c r="D36" s="1323"/>
      <c r="E36" s="3285"/>
      <c r="F36" s="3285"/>
      <c r="G36" s="3285"/>
    </row>
    <row r="37" spans="1:7" hidden="1">
      <c r="A37" s="1326">
        <v>4</v>
      </c>
      <c r="B37" s="1323" t="s">
        <v>1130</v>
      </c>
      <c r="C37" s="1323"/>
      <c r="D37" s="1323"/>
      <c r="E37" s="3285"/>
      <c r="F37" s="3285"/>
      <c r="G37" s="3285"/>
    </row>
    <row r="38" spans="1:7" hidden="1">
      <c r="A38" s="3286" t="s">
        <v>1131</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79" t="s">
        <v>2530</v>
      </c>
      <c r="C1" s="1632" t="s">
        <v>2531</v>
      </c>
      <c r="D1" s="1619"/>
      <c r="E1" s="2580"/>
      <c r="F1" s="2581" t="s">
        <v>2532</v>
      </c>
      <c r="G1" s="1629" t="s">
        <v>2533</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3"/>
      <c r="D2" s="1363" t="e">
        <f ca="1">SUMIF(INDIRECT("'"&amp;F2&amp;"'"&amp;"!A:A"),"承租人权益价值",INDIRECT("'"&amp;F2&amp;"'"&amp;"!c:c"))</f>
        <v>#REF!</v>
      </c>
      <c r="E2" s="2584" t="s">
        <v>2534</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2535</v>
      </c>
      <c r="D3" s="399">
        <f>IF(D1="",'数据-汇总表'!E3,SUMIF('数据-汇总表'!$C19:$C33,D1,'数据-汇总表'!$E19:$E33))</f>
        <v>51884.22</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1" t="s">
        <v>2536</v>
      </c>
      <c r="B4" s="402"/>
      <c r="C4" s="3220" t="s">
        <v>2537</v>
      </c>
      <c r="D4" s="3221"/>
      <c r="E4" s="3222" t="s">
        <v>2538</v>
      </c>
      <c r="F4" s="3223"/>
      <c r="G4" s="3220" t="s">
        <v>2539</v>
      </c>
      <c r="H4" s="3221"/>
      <c r="I4" s="3220" t="s">
        <v>2540</v>
      </c>
      <c r="J4" s="3221"/>
      <c r="K4" s="2593" t="s">
        <v>2541</v>
      </c>
      <c r="L4" s="1128"/>
      <c r="M4" s="1129"/>
      <c r="N4" s="1129"/>
      <c r="O4" s="1129"/>
      <c r="P4" s="3259" t="s">
        <v>2542</v>
      </c>
      <c r="Q4" s="3260"/>
      <c r="R4" s="3255" t="s">
        <v>2538</v>
      </c>
      <c r="S4" s="3256"/>
      <c r="T4" s="3255" t="s">
        <v>2539</v>
      </c>
      <c r="U4" s="3256"/>
      <c r="V4" s="3233" t="s">
        <v>2540</v>
      </c>
      <c r="W4" s="3233"/>
      <c r="X4" s="1811"/>
      <c r="Y4" s="3255" t="s">
        <v>2542</v>
      </c>
      <c r="Z4" s="3256"/>
      <c r="AA4" s="3254" t="s">
        <v>2538</v>
      </c>
      <c r="AB4" s="3254" t="s">
        <v>2539</v>
      </c>
      <c r="AC4" s="3254" t="s">
        <v>2540</v>
      </c>
    </row>
    <row r="5" spans="1:29" ht="15">
      <c r="A5" s="404"/>
      <c r="B5" s="405"/>
      <c r="C5" s="3258" t="s">
        <v>2543</v>
      </c>
      <c r="D5" s="3211"/>
      <c r="E5" s="3289" t="s">
        <v>2544</v>
      </c>
      <c r="F5" s="3257"/>
      <c r="G5" s="3258" t="s">
        <v>2545</v>
      </c>
      <c r="H5" s="3211"/>
      <c r="I5" s="3258" t="s">
        <v>2546</v>
      </c>
      <c r="J5" s="3211"/>
      <c r="K5" s="2594"/>
      <c r="L5" s="1128"/>
      <c r="M5" s="1129"/>
      <c r="N5" s="1129"/>
      <c r="O5" s="1129"/>
      <c r="P5" s="3261"/>
      <c r="Q5" s="3227"/>
      <c r="R5" s="3206"/>
      <c r="S5" s="3207"/>
      <c r="T5" s="3206"/>
      <c r="U5" s="3207"/>
      <c r="V5" s="3233"/>
      <c r="W5" s="3233"/>
      <c r="X5" s="1811"/>
      <c r="Y5" s="3206"/>
      <c r="Z5" s="3207"/>
      <c r="AA5" s="3200"/>
      <c r="AB5" s="3200"/>
      <c r="AC5" s="3200"/>
    </row>
    <row r="6" spans="1:29" ht="15.75" thickBot="1">
      <c r="A6" s="406"/>
      <c r="B6" s="407"/>
      <c r="C6" s="3212" t="s">
        <v>2547</v>
      </c>
      <c r="D6" s="3213"/>
      <c r="E6" s="3214" t="s">
        <v>2547</v>
      </c>
      <c r="F6" s="3215"/>
      <c r="G6" s="3212" t="s">
        <v>2547</v>
      </c>
      <c r="H6" s="3213"/>
      <c r="I6" s="3212" t="s">
        <v>2547</v>
      </c>
      <c r="J6" s="3213"/>
      <c r="K6" s="2594" t="s">
        <v>2548</v>
      </c>
      <c r="L6" s="1128"/>
      <c r="M6" s="1129"/>
      <c r="N6" s="1129"/>
      <c r="O6" s="1129"/>
      <c r="P6" s="3262"/>
      <c r="Q6" s="3229"/>
      <c r="R6" s="3206"/>
      <c r="S6" s="3207"/>
      <c r="T6" s="3230"/>
      <c r="U6" s="3231"/>
      <c r="V6" s="3233"/>
      <c r="W6" s="3233"/>
      <c r="X6" s="1811"/>
      <c r="Y6" s="3230"/>
      <c r="Z6" s="3231"/>
      <c r="AA6" s="3201"/>
      <c r="AB6" s="3201"/>
      <c r="AC6" s="3201"/>
    </row>
    <row r="7" spans="1:29" s="117" customFormat="1" ht="15.75" thickBot="1">
      <c r="A7" s="408" t="s">
        <v>2549</v>
      </c>
      <c r="B7" s="409"/>
      <c r="C7" s="410">
        <f>'数据-取费表'!B2</f>
        <v>43602</v>
      </c>
      <c r="D7" s="411">
        <v>100</v>
      </c>
      <c r="E7" s="412"/>
      <c r="F7" s="413">
        <f>SUMIF(58:58,YEAR(E7)&amp;"-"&amp;MONTH(E7),59:59)</f>
        <v>0</v>
      </c>
      <c r="G7" s="412"/>
      <c r="H7" s="411">
        <f>SUMIF(58:58,YEAR(G7)&amp;"-"&amp;MONTH(G7),59:59)</f>
        <v>0</v>
      </c>
      <c r="I7" s="412"/>
      <c r="J7" s="411">
        <f>SUMIF(58:58,YEAR(I7)&amp;"-"&amp;MONTH(I7),59:59)</f>
        <v>0</v>
      </c>
      <c r="K7" s="2595"/>
      <c r="L7" s="1130"/>
      <c r="M7" s="1131"/>
      <c r="N7" s="1131"/>
      <c r="O7" s="1131"/>
      <c r="P7" s="3202" t="s">
        <v>2550</v>
      </c>
      <c r="Q7" s="3235"/>
      <c r="R7" s="768" t="s">
        <v>23</v>
      </c>
      <c r="S7" s="769">
        <f t="shared" ref="S7:S15" si="0">F7</f>
        <v>0</v>
      </c>
      <c r="T7" s="768" t="s">
        <v>23</v>
      </c>
      <c r="U7" s="769">
        <f t="shared" ref="U7:U15" si="1">H7</f>
        <v>0</v>
      </c>
      <c r="V7" s="768" t="s">
        <v>23</v>
      </c>
      <c r="W7" s="769">
        <f t="shared" ref="W7:W15" si="2">J7</f>
        <v>0</v>
      </c>
      <c r="X7" s="770"/>
      <c r="Y7" s="3202" t="s">
        <v>2550</v>
      </c>
      <c r="Z7" s="3203"/>
      <c r="AA7" s="771" t="e">
        <f>D7/F7</f>
        <v>#DIV/0!</v>
      </c>
      <c r="AB7" s="771" t="e">
        <f>D7/H7</f>
        <v>#DIV/0!</v>
      </c>
      <c r="AC7" s="771" t="e">
        <f>D7/J7</f>
        <v>#DIV/0!</v>
      </c>
    </row>
    <row r="8" spans="1:29" s="117" customFormat="1" ht="15.75" thickBot="1">
      <c r="A8" s="408" t="s">
        <v>2551</v>
      </c>
      <c r="B8" s="409"/>
      <c r="C8" s="414" t="s">
        <v>2552</v>
      </c>
      <c r="D8" s="411">
        <v>100</v>
      </c>
      <c r="E8" s="2596"/>
      <c r="F8" s="413">
        <f>SUMIF(61:61,E8,62:62)-SUMIF(61:61,C8,62:62)+100</f>
        <v>0</v>
      </c>
      <c r="G8" s="414"/>
      <c r="H8" s="411">
        <f>SUMIF(61:61,G8,62:62)-SUMIF(61:61,C8,62:62)+100</f>
        <v>0</v>
      </c>
      <c r="I8" s="2596"/>
      <c r="J8" s="411">
        <f>SUMIF(61:61,I8,62:62)-SUMIF(61:61,C8,62:62)+100</f>
        <v>0</v>
      </c>
      <c r="K8" s="2595"/>
      <c r="L8" s="1130"/>
      <c r="M8" s="1131"/>
      <c r="N8" s="1131"/>
      <c r="O8" s="1131"/>
      <c r="P8" s="3202" t="s">
        <v>2553</v>
      </c>
      <c r="Q8" s="3203"/>
      <c r="R8" s="768" t="s">
        <v>23</v>
      </c>
      <c r="S8" s="769">
        <f t="shared" si="0"/>
        <v>0</v>
      </c>
      <c r="T8" s="768" t="s">
        <v>23</v>
      </c>
      <c r="U8" s="769">
        <f t="shared" si="1"/>
        <v>0</v>
      </c>
      <c r="V8" s="768" t="s">
        <v>23</v>
      </c>
      <c r="W8" s="769">
        <f t="shared" si="2"/>
        <v>0</v>
      </c>
      <c r="X8" s="770"/>
      <c r="Y8" s="3202" t="s">
        <v>2553</v>
      </c>
      <c r="Z8" s="3203"/>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5"/>
      <c r="L9" s="1130"/>
      <c r="M9" s="1131"/>
      <c r="N9" s="1131"/>
      <c r="O9" s="1131"/>
      <c r="P9" s="3216" t="s">
        <v>2556</v>
      </c>
      <c r="Q9" s="1793" t="str">
        <f t="shared" ref="Q9:Q15" si="6">B9</f>
        <v>用途</v>
      </c>
      <c r="R9" s="768" t="s">
        <v>17</v>
      </c>
      <c r="S9" s="769">
        <f t="shared" si="0"/>
        <v>100</v>
      </c>
      <c r="T9" s="768" t="s">
        <v>17</v>
      </c>
      <c r="U9" s="769">
        <f t="shared" si="1"/>
        <v>100</v>
      </c>
      <c r="V9" s="768" t="s">
        <v>17</v>
      </c>
      <c r="W9" s="769">
        <f t="shared" si="2"/>
        <v>100</v>
      </c>
      <c r="X9" s="770"/>
      <c r="Y9" s="3071"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16"/>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16"/>
      <c r="Q11" s="1793" t="str">
        <f t="shared" si="6"/>
        <v>容积率</v>
      </c>
      <c r="R11" s="768" t="s">
        <v>21</v>
      </c>
      <c r="S11" s="769" t="e">
        <f t="shared" si="0"/>
        <v>#N/A</v>
      </c>
      <c r="T11" s="768" t="s">
        <v>21</v>
      </c>
      <c r="U11" s="769" t="e">
        <f t="shared" si="1"/>
        <v>#N/A</v>
      </c>
      <c r="V11" s="768" t="s">
        <v>21</v>
      </c>
      <c r="W11" s="769" t="e">
        <f t="shared" si="2"/>
        <v>#N/A</v>
      </c>
      <c r="X11" s="770"/>
      <c r="Y11" s="3071"/>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0"/>
      <c r="M12" s="1131"/>
      <c r="N12" s="1131"/>
      <c r="O12" s="1131"/>
      <c r="P12" s="3216"/>
      <c r="Q12" s="1793">
        <f t="shared" si="6"/>
        <v>111</v>
      </c>
      <c r="R12" s="768" t="s">
        <v>21</v>
      </c>
      <c r="S12" s="769">
        <f t="shared" si="0"/>
        <v>100</v>
      </c>
      <c r="T12" s="768" t="s">
        <v>21</v>
      </c>
      <c r="U12" s="769">
        <f t="shared" si="1"/>
        <v>100</v>
      </c>
      <c r="V12" s="768" t="s">
        <v>21</v>
      </c>
      <c r="W12" s="769">
        <f t="shared" si="2"/>
        <v>100</v>
      </c>
      <c r="X12" s="770"/>
      <c r="Y12" s="3071"/>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8"/>
      <c r="M13" s="1129"/>
      <c r="N13" s="1129"/>
      <c r="O13" s="1129"/>
      <c r="P13" s="3216"/>
      <c r="Q13" s="1793">
        <f t="shared" si="6"/>
        <v>111</v>
      </c>
      <c r="R13" s="768" t="s">
        <v>21</v>
      </c>
      <c r="S13" s="769">
        <f t="shared" si="0"/>
        <v>100</v>
      </c>
      <c r="T13" s="768" t="s">
        <v>21</v>
      </c>
      <c r="U13" s="769">
        <f t="shared" si="1"/>
        <v>100</v>
      </c>
      <c r="V13" s="768" t="s">
        <v>21</v>
      </c>
      <c r="W13" s="769">
        <f t="shared" si="2"/>
        <v>100</v>
      </c>
      <c r="X13" s="770"/>
      <c r="Y13" s="3071"/>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8"/>
      <c r="M14" s="1129"/>
      <c r="N14" s="1129"/>
      <c r="O14" s="1129"/>
      <c r="P14" s="3216"/>
      <c r="Q14" s="1793">
        <f t="shared" si="6"/>
        <v>111</v>
      </c>
      <c r="R14" s="768" t="s">
        <v>21</v>
      </c>
      <c r="S14" s="769">
        <f t="shared" si="0"/>
        <v>100</v>
      </c>
      <c r="T14" s="768" t="s">
        <v>21</v>
      </c>
      <c r="U14" s="769">
        <f t="shared" si="1"/>
        <v>100</v>
      </c>
      <c r="V14" s="768" t="s">
        <v>21</v>
      </c>
      <c r="W14" s="769">
        <f t="shared" si="2"/>
        <v>100</v>
      </c>
      <c r="X14" s="770"/>
      <c r="Y14" s="3071"/>
      <c r="Z14" s="55">
        <f t="shared" si="7"/>
        <v>111</v>
      </c>
      <c r="AA14" s="771">
        <f t="shared" si="3"/>
        <v>1</v>
      </c>
      <c r="AB14" s="771">
        <f t="shared" si="4"/>
        <v>1</v>
      </c>
      <c r="AC14" s="771">
        <f t="shared" si="5"/>
        <v>1</v>
      </c>
    </row>
    <row r="15" spans="1:29" ht="99.75">
      <c r="A15" s="440" t="s">
        <v>2560</v>
      </c>
      <c r="B15" s="69" t="s">
        <v>2085</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36" t="s">
        <v>2561</v>
      </c>
      <c r="Q15" s="1808" t="str">
        <f t="shared" si="6"/>
        <v>居住社区成熟度</v>
      </c>
      <c r="R15" s="772" t="s">
        <v>21</v>
      </c>
      <c r="S15" s="773">
        <f t="shared" si="0"/>
        <v>100</v>
      </c>
      <c r="T15" s="772" t="s">
        <v>21</v>
      </c>
      <c r="U15" s="773">
        <f t="shared" si="1"/>
        <v>100</v>
      </c>
      <c r="V15" s="772" t="s">
        <v>21</v>
      </c>
      <c r="W15" s="773">
        <f t="shared" si="2"/>
        <v>100</v>
      </c>
      <c r="X15" s="1811"/>
      <c r="Y15" s="3238" t="s">
        <v>2561</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8"/>
      <c r="M16" s="1129"/>
      <c r="N16" s="1129"/>
      <c r="O16" s="1129"/>
      <c r="P16" s="3237"/>
      <c r="Q16" s="1808"/>
      <c r="R16" s="772"/>
      <c r="S16" s="773"/>
      <c r="T16" s="772"/>
      <c r="U16" s="773"/>
      <c r="V16" s="772"/>
      <c r="W16" s="773"/>
      <c r="X16" s="1811"/>
      <c r="Y16" s="3239"/>
      <c r="Z16" s="1812"/>
      <c r="AA16" s="1809">
        <v>1</v>
      </c>
      <c r="AB16" s="1809">
        <v>1</v>
      </c>
      <c r="AC16" s="1809">
        <v>1</v>
      </c>
    </row>
    <row r="17" spans="1:29" ht="85.5">
      <c r="A17" s="428"/>
      <c r="B17" s="451" t="s">
        <v>2097</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37"/>
      <c r="Q17" s="1808" t="str">
        <f>B17</f>
        <v>交通便捷度</v>
      </c>
      <c r="R17" s="772" t="s">
        <v>21</v>
      </c>
      <c r="S17" s="773">
        <f>F17</f>
        <v>100</v>
      </c>
      <c r="T17" s="772" t="s">
        <v>21</v>
      </c>
      <c r="U17" s="773">
        <f>H17</f>
        <v>100</v>
      </c>
      <c r="V17" s="772" t="s">
        <v>21</v>
      </c>
      <c r="W17" s="773">
        <f>J17</f>
        <v>100</v>
      </c>
      <c r="X17" s="1811"/>
      <c r="Y17" s="3239"/>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8"/>
      <c r="M18" s="1129"/>
      <c r="N18" s="1129"/>
      <c r="O18" s="1129"/>
      <c r="P18" s="3237"/>
      <c r="Q18" s="1808"/>
      <c r="R18" s="772"/>
      <c r="S18" s="773"/>
      <c r="T18" s="772"/>
      <c r="U18" s="773"/>
      <c r="V18" s="772"/>
      <c r="W18" s="773"/>
      <c r="X18" s="1811"/>
      <c r="Y18" s="3239"/>
      <c r="Z18" s="1812"/>
      <c r="AA18" s="1809">
        <v>1</v>
      </c>
      <c r="AB18" s="1809">
        <v>1</v>
      </c>
      <c r="AC18" s="1809">
        <v>1</v>
      </c>
    </row>
    <row r="19" spans="1:29" ht="42.75">
      <c r="A19" s="428"/>
      <c r="B19" s="451" t="s">
        <v>2095</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37"/>
      <c r="Q19" s="1808" t="str">
        <f>B19</f>
        <v>公共配套设施</v>
      </c>
      <c r="R19" s="772" t="s">
        <v>21</v>
      </c>
      <c r="S19" s="773">
        <f>F19</f>
        <v>100</v>
      </c>
      <c r="T19" s="772" t="s">
        <v>21</v>
      </c>
      <c r="U19" s="773">
        <f>H19</f>
        <v>100</v>
      </c>
      <c r="V19" s="772" t="s">
        <v>21</v>
      </c>
      <c r="W19" s="773">
        <f>J19</f>
        <v>100</v>
      </c>
      <c r="X19" s="1811"/>
      <c r="Y19" s="3239"/>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8"/>
      <c r="M20" s="1129"/>
      <c r="N20" s="1129"/>
      <c r="O20" s="1129"/>
      <c r="P20" s="3237"/>
      <c r="Q20" s="1808"/>
      <c r="R20" s="772"/>
      <c r="S20" s="773"/>
      <c r="T20" s="772"/>
      <c r="U20" s="773"/>
      <c r="V20" s="772"/>
      <c r="W20" s="773"/>
      <c r="X20" s="1811"/>
      <c r="Y20" s="3239"/>
      <c r="Z20" s="1812"/>
      <c r="AA20" s="1809">
        <v>1</v>
      </c>
      <c r="AB20" s="1809">
        <v>1</v>
      </c>
      <c r="AC20" s="1809">
        <v>1</v>
      </c>
    </row>
    <row r="21" spans="1:29" ht="28.5">
      <c r="A21" s="428"/>
      <c r="B21" s="1382" t="s">
        <v>2098</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37"/>
      <c r="Q21" s="1808" t="str">
        <f>B21</f>
        <v>基础设施水平</v>
      </c>
      <c r="R21" s="772" t="s">
        <v>17</v>
      </c>
      <c r="S21" s="773">
        <f>F21</f>
        <v>100</v>
      </c>
      <c r="T21" s="772" t="s">
        <v>17</v>
      </c>
      <c r="U21" s="773">
        <f>H21</f>
        <v>100</v>
      </c>
      <c r="V21" s="772" t="s">
        <v>17</v>
      </c>
      <c r="W21" s="773">
        <f>J21</f>
        <v>100</v>
      </c>
      <c r="X21" s="1811"/>
      <c r="Y21" s="3239"/>
      <c r="Z21" s="1812" t="str">
        <f>Q21</f>
        <v>基础设施水平</v>
      </c>
      <c r="AA21" s="1809">
        <f t="shared" ref="AA21" si="8">D21/F21</f>
        <v>1</v>
      </c>
      <c r="AB21" s="1809">
        <f t="shared" ref="AB21" si="9">D21/H21</f>
        <v>1</v>
      </c>
      <c r="AC21" s="1809">
        <f t="shared" ref="AC21" si="10">D21/J21</f>
        <v>1</v>
      </c>
    </row>
    <row r="22" spans="1:29" ht="15">
      <c r="A22" s="428"/>
      <c r="B22" s="1382"/>
      <c r="C22" s="2605"/>
      <c r="D22" s="448"/>
      <c r="E22" s="447"/>
      <c r="F22" s="448"/>
      <c r="G22" s="2608"/>
      <c r="H22" s="448"/>
      <c r="I22" s="447"/>
      <c r="J22" s="448"/>
      <c r="K22" s="2609"/>
      <c r="L22" s="1138"/>
      <c r="M22" s="1129"/>
      <c r="N22" s="1129"/>
      <c r="O22" s="1129"/>
      <c r="P22" s="3237"/>
      <c r="Q22" s="1808"/>
      <c r="R22" s="772"/>
      <c r="S22" s="773"/>
      <c r="T22" s="772"/>
      <c r="U22" s="773"/>
      <c r="V22" s="772"/>
      <c r="W22" s="773"/>
      <c r="X22" s="1811"/>
      <c r="Y22" s="3239"/>
      <c r="Z22" s="1812"/>
      <c r="AA22" s="1809">
        <v>1</v>
      </c>
      <c r="AB22" s="1809">
        <v>1</v>
      </c>
      <c r="AC22" s="1809">
        <v>1</v>
      </c>
    </row>
    <row r="23" spans="1:29" ht="57">
      <c r="A23" s="428"/>
      <c r="B23" s="451" t="s">
        <v>2102</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37"/>
      <c r="Q23" s="1808" t="str">
        <f>B23</f>
        <v>自然及人文环境</v>
      </c>
      <c r="R23" s="772" t="s">
        <v>21</v>
      </c>
      <c r="S23" s="773">
        <f>F23</f>
        <v>100</v>
      </c>
      <c r="T23" s="772" t="s">
        <v>21</v>
      </c>
      <c r="U23" s="773">
        <f>H23</f>
        <v>100</v>
      </c>
      <c r="V23" s="772" t="s">
        <v>21</v>
      </c>
      <c r="W23" s="773">
        <f>J23</f>
        <v>100</v>
      </c>
      <c r="X23" s="1811"/>
      <c r="Y23" s="3239"/>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8"/>
      <c r="M24" s="1129"/>
      <c r="N24" s="1129"/>
      <c r="O24" s="1129"/>
      <c r="P24" s="3237"/>
      <c r="Q24" s="1808"/>
      <c r="R24" s="772"/>
      <c r="S24" s="773"/>
      <c r="T24" s="772"/>
      <c r="U24" s="773"/>
      <c r="V24" s="772"/>
      <c r="W24" s="773"/>
      <c r="X24" s="1811"/>
      <c r="Y24" s="3239"/>
      <c r="Z24" s="1812"/>
      <c r="AA24" s="1809">
        <v>1</v>
      </c>
      <c r="AB24" s="1809">
        <v>1</v>
      </c>
      <c r="AC24" s="1809">
        <v>1</v>
      </c>
    </row>
    <row r="25" spans="1:29" ht="15">
      <c r="A25" s="428"/>
      <c r="B25" s="422" t="s">
        <v>2562</v>
      </c>
      <c r="C25" s="460"/>
      <c r="D25" s="435">
        <v>100</v>
      </c>
      <c r="E25" s="2610"/>
      <c r="F25" s="435">
        <f>SUMIF(86:86,E25,87:87)-SUMIF(86:86,C25,87:87)+100</f>
        <v>100</v>
      </c>
      <c r="G25" s="2611"/>
      <c r="H25" s="435">
        <f>SUMIF(86:86,G25,87:87)-SUMIF(86:86,C25,87:87)+100</f>
        <v>100</v>
      </c>
      <c r="I25" s="2611"/>
      <c r="J25" s="435">
        <f>SUMIF(86:86,I25,87:87)-SUMIF(86:86,C25,87:87)+100</f>
        <v>100</v>
      </c>
      <c r="K25" s="426"/>
      <c r="L25" s="1138"/>
      <c r="M25" s="1129"/>
      <c r="N25" s="1129"/>
      <c r="O25" s="1129"/>
      <c r="P25" s="323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9"/>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0"/>
      <c r="F26" s="435">
        <f>SUMIF(88:88,E26,89:89)-SUMIF(88:88,C26,89:89)+100</f>
        <v>100</v>
      </c>
      <c r="G26" s="2611"/>
      <c r="H26" s="435">
        <f>SUMIF(88:88,G26,89:89)-SUMIF(88:88,C26,89:89)+100</f>
        <v>100</v>
      </c>
      <c r="I26" s="2611"/>
      <c r="J26" s="435">
        <f>SUMIF(88:88,I26,89:89)-SUMIF(88:88,C26,89:89)+100</f>
        <v>100</v>
      </c>
      <c r="K26" s="426"/>
      <c r="L26" s="1138"/>
      <c r="M26" s="1129"/>
      <c r="N26" s="1129"/>
      <c r="O26" s="1129"/>
      <c r="P26" s="3237"/>
      <c r="Q26" s="1808" t="str">
        <f t="shared" si="11"/>
        <v>朝向</v>
      </c>
      <c r="R26" s="772" t="s">
        <v>21</v>
      </c>
      <c r="S26" s="773">
        <f t="shared" si="12"/>
        <v>100</v>
      </c>
      <c r="T26" s="772" t="s">
        <v>21</v>
      </c>
      <c r="U26" s="773">
        <f t="shared" si="13"/>
        <v>100</v>
      </c>
      <c r="V26" s="772" t="s">
        <v>21</v>
      </c>
      <c r="W26" s="773">
        <f t="shared" si="14"/>
        <v>100</v>
      </c>
      <c r="X26" s="1811"/>
      <c r="Y26" s="3239"/>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8"/>
      <c r="L27" s="1130"/>
      <c r="M27" s="1131"/>
      <c r="N27" s="1131"/>
      <c r="O27" s="1131"/>
      <c r="P27" s="3237"/>
      <c r="Q27" s="1793">
        <f t="shared" si="11"/>
        <v>111</v>
      </c>
      <c r="R27" s="768" t="s">
        <v>21</v>
      </c>
      <c r="S27" s="769">
        <f t="shared" si="12"/>
        <v>100</v>
      </c>
      <c r="T27" s="768" t="s">
        <v>21</v>
      </c>
      <c r="U27" s="769">
        <f t="shared" si="13"/>
        <v>100</v>
      </c>
      <c r="V27" s="768" t="s">
        <v>21</v>
      </c>
      <c r="W27" s="769">
        <f t="shared" si="14"/>
        <v>100</v>
      </c>
      <c r="X27" s="770"/>
      <c r="Y27" s="3239"/>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2"/>
      <c r="H28" s="435">
        <f>SUMIF(92:92,G28,93:93)-SUMIF(92:92,C28,93:93)+100</f>
        <v>100</v>
      </c>
      <c r="I28" s="434"/>
      <c r="J28" s="435">
        <f>SUMIF(92:92,I28,93:93)-SUMIF(92:92,C28,93:93)+100</f>
        <v>100</v>
      </c>
      <c r="K28" s="2598"/>
      <c r="L28" s="1138"/>
      <c r="M28" s="1129"/>
      <c r="N28" s="1129"/>
      <c r="O28" s="1129"/>
      <c r="P28" s="3237"/>
      <c r="Q28" s="1808">
        <f t="shared" si="11"/>
        <v>111</v>
      </c>
      <c r="R28" s="772" t="s">
        <v>21</v>
      </c>
      <c r="S28" s="773">
        <f t="shared" si="12"/>
        <v>100</v>
      </c>
      <c r="T28" s="772" t="s">
        <v>21</v>
      </c>
      <c r="U28" s="773">
        <f t="shared" si="13"/>
        <v>100</v>
      </c>
      <c r="V28" s="772" t="s">
        <v>21</v>
      </c>
      <c r="W28" s="773">
        <f t="shared" si="14"/>
        <v>100</v>
      </c>
      <c r="X28" s="1811"/>
      <c r="Y28" s="3239"/>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2"/>
      <c r="H29" s="435">
        <f>SUMIF(94:94,G29,95:95)-SUMIF(94:94,C29,95:95)+100</f>
        <v>100</v>
      </c>
      <c r="I29" s="434"/>
      <c r="J29" s="435">
        <f>SUMIF(94:94,I29,95:95)-SUMIF(94:94,C29,95:95)+100</f>
        <v>100</v>
      </c>
      <c r="K29" s="2598"/>
      <c r="L29" s="1138"/>
      <c r="M29" s="1129"/>
      <c r="N29" s="1129"/>
      <c r="O29" s="1129"/>
      <c r="P29" s="3237"/>
      <c r="Q29" s="1808">
        <f t="shared" si="11"/>
        <v>111</v>
      </c>
      <c r="R29" s="772" t="s">
        <v>21</v>
      </c>
      <c r="S29" s="773">
        <f t="shared" si="12"/>
        <v>100</v>
      </c>
      <c r="T29" s="772" t="s">
        <v>21</v>
      </c>
      <c r="U29" s="773">
        <f t="shared" si="13"/>
        <v>100</v>
      </c>
      <c r="V29" s="772" t="s">
        <v>21</v>
      </c>
      <c r="W29" s="773">
        <f t="shared" si="14"/>
        <v>100</v>
      </c>
      <c r="X29" s="1811"/>
      <c r="Y29" s="3239"/>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2"/>
      <c r="H30" s="435">
        <f>SUMIF(96:96,G30,97:97)-SUMIF(96:96,C30,97:97)+100</f>
        <v>100</v>
      </c>
      <c r="I30" s="434"/>
      <c r="J30" s="435">
        <f>SUMIF(96:96,I30,97:97)-SUMIF(96:96,C30,97:97)+100</f>
        <v>100</v>
      </c>
      <c r="K30" s="2598"/>
      <c r="L30" s="1138"/>
      <c r="M30" s="1129"/>
      <c r="N30" s="1129"/>
      <c r="O30" s="1129"/>
      <c r="P30" s="3237"/>
      <c r="Q30" s="1808">
        <f t="shared" si="11"/>
        <v>111</v>
      </c>
      <c r="R30" s="772" t="s">
        <v>21</v>
      </c>
      <c r="S30" s="773">
        <f t="shared" si="12"/>
        <v>100</v>
      </c>
      <c r="T30" s="772" t="s">
        <v>21</v>
      </c>
      <c r="U30" s="773">
        <f t="shared" si="13"/>
        <v>100</v>
      </c>
      <c r="V30" s="772" t="s">
        <v>21</v>
      </c>
      <c r="W30" s="773">
        <f t="shared" si="14"/>
        <v>100</v>
      </c>
      <c r="X30" s="1811"/>
      <c r="Y30" s="3239"/>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3"/>
      <c r="H31" s="438">
        <f>SUMIF(98:98,G31,99:99)-SUMIF(98:98,C31,99:99)+100</f>
        <v>100</v>
      </c>
      <c r="I31" s="437"/>
      <c r="J31" s="438">
        <f>SUMIF(98:98,I31,99:99)-SUMIF(98:98,C31,99:99)+100</f>
        <v>100</v>
      </c>
      <c r="K31" s="2598"/>
      <c r="L31" s="1138"/>
      <c r="M31" s="1129"/>
      <c r="N31" s="1129"/>
      <c r="O31" s="1129"/>
      <c r="P31" s="3237"/>
      <c r="Q31" s="1808">
        <f t="shared" si="11"/>
        <v>111</v>
      </c>
      <c r="R31" s="772" t="s">
        <v>21</v>
      </c>
      <c r="S31" s="773">
        <f t="shared" si="12"/>
        <v>100</v>
      </c>
      <c r="T31" s="772" t="s">
        <v>21</v>
      </c>
      <c r="U31" s="773">
        <f t="shared" si="13"/>
        <v>100</v>
      </c>
      <c r="V31" s="772" t="s">
        <v>21</v>
      </c>
      <c r="W31" s="773">
        <f t="shared" si="14"/>
        <v>100</v>
      </c>
      <c r="X31" s="1811"/>
      <c r="Y31" s="3239"/>
      <c r="Z31" s="1812">
        <f t="shared" si="18"/>
        <v>111</v>
      </c>
      <c r="AA31" s="1809">
        <f t="shared" si="15"/>
        <v>1</v>
      </c>
      <c r="AB31" s="1809">
        <f t="shared" si="16"/>
        <v>1</v>
      </c>
      <c r="AC31" s="1809">
        <f t="shared" si="17"/>
        <v>1</v>
      </c>
    </row>
    <row r="32" spans="1:29" ht="15">
      <c r="A32" s="440" t="s">
        <v>2564</v>
      </c>
      <c r="B32" s="71" t="s">
        <v>2565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8"/>
      <c r="M32" s="1129"/>
      <c r="N32" s="1129"/>
      <c r="O32" s="1129"/>
      <c r="P32" s="3240" t="s">
        <v>2566</v>
      </c>
      <c r="Q32" s="1808" t="str">
        <f t="shared" si="11"/>
        <v>建筑类型</v>
      </c>
      <c r="R32" s="772" t="s">
        <v>21</v>
      </c>
      <c r="S32" s="773">
        <f t="shared" si="12"/>
        <v>100</v>
      </c>
      <c r="T32" s="772" t="s">
        <v>21</v>
      </c>
      <c r="U32" s="773">
        <f t="shared" si="13"/>
        <v>100</v>
      </c>
      <c r="V32" s="772" t="s">
        <v>21</v>
      </c>
      <c r="W32" s="773">
        <f t="shared" si="14"/>
        <v>100</v>
      </c>
      <c r="X32" s="1811"/>
      <c r="Y32" s="3243"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6"/>
      <c r="M33" s="1139"/>
      <c r="N33" s="1139"/>
      <c r="O33" s="1139"/>
      <c r="P33" s="3241"/>
      <c r="Q33" s="774" t="str">
        <f t="shared" si="11"/>
        <v>项目建筑规模</v>
      </c>
      <c r="R33" s="775" t="s">
        <v>21</v>
      </c>
      <c r="S33" s="776" t="e">
        <f t="shared" si="12"/>
        <v>#N/A</v>
      </c>
      <c r="T33" s="775" t="s">
        <v>21</v>
      </c>
      <c r="U33" s="776" t="e">
        <f t="shared" si="13"/>
        <v>#N/A</v>
      </c>
      <c r="V33" s="775" t="s">
        <v>21</v>
      </c>
      <c r="W33" s="776" t="e">
        <f t="shared" si="14"/>
        <v>#N/A</v>
      </c>
      <c r="X33" s="777"/>
      <c r="Y33" s="3243"/>
      <c r="Z33" s="778" t="str">
        <f t="shared" si="18"/>
        <v>项目建筑规模</v>
      </c>
      <c r="AA33" s="1809" t="e">
        <f t="shared" si="15"/>
        <v>#N/A</v>
      </c>
      <c r="AB33" s="1809" t="e">
        <f t="shared" si="16"/>
        <v>#N/A</v>
      </c>
      <c r="AC33" s="1809" t="e">
        <f t="shared" si="17"/>
        <v>#N/A</v>
      </c>
    </row>
    <row r="34" spans="1:29" ht="15">
      <c r="A34" s="472"/>
      <c r="B34" s="422" t="s">
        <v>2568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8"/>
      <c r="M34" s="1129"/>
      <c r="N34" s="1129"/>
      <c r="O34" s="1129"/>
      <c r="P34" s="3241"/>
      <c r="Q34" s="1808" t="str">
        <f t="shared" si="11"/>
        <v>建筑结构</v>
      </c>
      <c r="R34" s="772" t="s">
        <v>21</v>
      </c>
      <c r="S34" s="773">
        <f t="shared" si="12"/>
        <v>100</v>
      </c>
      <c r="T34" s="772" t="s">
        <v>21</v>
      </c>
      <c r="U34" s="773">
        <f t="shared" si="13"/>
        <v>100</v>
      </c>
      <c r="V34" s="772" t="s">
        <v>21</v>
      </c>
      <c r="W34" s="773">
        <f t="shared" si="14"/>
        <v>100</v>
      </c>
      <c r="X34" s="1811"/>
      <c r="Y34" s="3243"/>
      <c r="Z34" s="1812" t="str">
        <f t="shared" si="18"/>
        <v>建筑结构</v>
      </c>
      <c r="AA34" s="1809">
        <f t="shared" si="15"/>
        <v>1</v>
      </c>
      <c r="AB34" s="1809">
        <f t="shared" si="16"/>
        <v>1</v>
      </c>
      <c r="AC34" s="1809">
        <f t="shared" si="17"/>
        <v>1</v>
      </c>
    </row>
    <row r="35" spans="1:29" ht="15">
      <c r="A35" s="472"/>
      <c r="B35" s="422" t="s">
        <v>2569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8"/>
      <c r="M35" s="1129"/>
      <c r="N35" s="1129"/>
      <c r="O35" s="1129"/>
      <c r="P35" s="3241"/>
      <c r="Q35" s="1808" t="str">
        <f t="shared" si="11"/>
        <v>建筑品质</v>
      </c>
      <c r="R35" s="772" t="s">
        <v>21</v>
      </c>
      <c r="S35" s="773">
        <f t="shared" si="12"/>
        <v>100</v>
      </c>
      <c r="T35" s="772" t="s">
        <v>21</v>
      </c>
      <c r="U35" s="773">
        <f t="shared" si="13"/>
        <v>100</v>
      </c>
      <c r="V35" s="772" t="s">
        <v>21</v>
      </c>
      <c r="W35" s="773">
        <f t="shared" si="14"/>
        <v>100</v>
      </c>
      <c r="X35" s="1811"/>
      <c r="Y35" s="3243"/>
      <c r="Z35" s="1812" t="str">
        <f t="shared" si="18"/>
        <v>建筑品质</v>
      </c>
      <c r="AA35" s="1809">
        <f t="shared" si="15"/>
        <v>1</v>
      </c>
      <c r="AB35" s="1809">
        <f t="shared" si="16"/>
        <v>1</v>
      </c>
      <c r="AC35" s="1809">
        <f t="shared" si="17"/>
        <v>1</v>
      </c>
    </row>
    <row r="36" spans="1:29" ht="15">
      <c r="A36" s="472"/>
      <c r="B36" s="422" t="s">
        <v>2570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8"/>
      <c r="M36" s="1129"/>
      <c r="N36" s="1129"/>
      <c r="O36" s="1129"/>
      <c r="P36" s="3241"/>
      <c r="Q36" s="1808" t="str">
        <f t="shared" si="11"/>
        <v>公共部分装修</v>
      </c>
      <c r="R36" s="772" t="s">
        <v>21</v>
      </c>
      <c r="S36" s="773">
        <f t="shared" si="12"/>
        <v>100</v>
      </c>
      <c r="T36" s="772" t="s">
        <v>21</v>
      </c>
      <c r="U36" s="773">
        <f t="shared" si="13"/>
        <v>100</v>
      </c>
      <c r="V36" s="772" t="s">
        <v>21</v>
      </c>
      <c r="W36" s="773">
        <f t="shared" si="14"/>
        <v>100</v>
      </c>
      <c r="X36" s="1811"/>
      <c r="Y36" s="3243"/>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41"/>
      <c r="Q37" s="1793" t="str">
        <f t="shared" si="11"/>
        <v>成新度</v>
      </c>
      <c r="R37" s="768" t="s">
        <v>21</v>
      </c>
      <c r="S37" s="769" t="e">
        <f t="shared" si="12"/>
        <v>#N/A</v>
      </c>
      <c r="T37" s="768" t="s">
        <v>21</v>
      </c>
      <c r="U37" s="769" t="e">
        <f t="shared" si="13"/>
        <v>#N/A</v>
      </c>
      <c r="V37" s="768" t="s">
        <v>21</v>
      </c>
      <c r="W37" s="769" t="e">
        <f t="shared" si="14"/>
        <v>#N/A</v>
      </c>
      <c r="X37" s="770"/>
      <c r="Y37" s="3243"/>
      <c r="Z37" s="55" t="str">
        <f t="shared" si="18"/>
        <v>成新度</v>
      </c>
      <c r="AA37" s="771" t="e">
        <f t="shared" si="15"/>
        <v>#N/A</v>
      </c>
      <c r="AB37" s="771" t="e">
        <f t="shared" si="16"/>
        <v>#N/A</v>
      </c>
      <c r="AC37" s="771" t="e">
        <f t="shared" si="17"/>
        <v>#N/A</v>
      </c>
    </row>
    <row r="38" spans="1:29" ht="15">
      <c r="A38" s="472"/>
      <c r="B38" s="422" t="s">
        <v>2572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8"/>
      <c r="M38" s="1129"/>
      <c r="N38" s="1129"/>
      <c r="O38" s="1129"/>
      <c r="P38" s="3241" t="s">
        <v>2566</v>
      </c>
      <c r="Q38" s="1808" t="str">
        <f t="shared" si="11"/>
        <v>物业管理</v>
      </c>
      <c r="R38" s="772" t="s">
        <v>21</v>
      </c>
      <c r="S38" s="773">
        <f t="shared" si="12"/>
        <v>100</v>
      </c>
      <c r="T38" s="772" t="s">
        <v>21</v>
      </c>
      <c r="U38" s="773">
        <f t="shared" si="13"/>
        <v>100</v>
      </c>
      <c r="V38" s="772" t="s">
        <v>21</v>
      </c>
      <c r="W38" s="773">
        <f t="shared" si="14"/>
        <v>100</v>
      </c>
      <c r="X38" s="1811"/>
      <c r="Y38" s="3243" t="s">
        <v>2566</v>
      </c>
      <c r="Z38" s="1812" t="str">
        <f t="shared" si="18"/>
        <v>物业管理</v>
      </c>
      <c r="AA38" s="1809">
        <f t="shared" si="15"/>
        <v>1</v>
      </c>
      <c r="AB38" s="1809">
        <f t="shared" si="16"/>
        <v>1</v>
      </c>
      <c r="AC38" s="1809">
        <f t="shared" si="17"/>
        <v>1</v>
      </c>
    </row>
    <row r="39" spans="1:29" ht="15">
      <c r="A39" s="472"/>
      <c r="B39" s="422" t="s">
        <v>2573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8"/>
      <c r="M39" s="1129"/>
      <c r="N39" s="1129"/>
      <c r="O39" s="1129"/>
      <c r="P39" s="3241"/>
      <c r="Q39" s="1808" t="str">
        <f t="shared" si="11"/>
        <v>市政基础设施</v>
      </c>
      <c r="R39" s="772" t="s">
        <v>21</v>
      </c>
      <c r="S39" s="773">
        <f t="shared" si="12"/>
        <v>100</v>
      </c>
      <c r="T39" s="772" t="s">
        <v>21</v>
      </c>
      <c r="U39" s="773">
        <f t="shared" si="13"/>
        <v>100</v>
      </c>
      <c r="V39" s="772" t="s">
        <v>21</v>
      </c>
      <c r="W39" s="773">
        <f t="shared" si="14"/>
        <v>100</v>
      </c>
      <c r="X39" s="1811"/>
      <c r="Y39" s="3243"/>
      <c r="Z39" s="1812" t="str">
        <f t="shared" si="18"/>
        <v>市政基础设施</v>
      </c>
      <c r="AA39" s="1809">
        <f t="shared" si="15"/>
        <v>1</v>
      </c>
      <c r="AB39" s="1809">
        <f t="shared" si="16"/>
        <v>1</v>
      </c>
      <c r="AC39" s="1809">
        <f t="shared" si="17"/>
        <v>1</v>
      </c>
    </row>
    <row r="40" spans="1:29" ht="15">
      <c r="A40" s="472"/>
      <c r="B40" s="422" t="s">
        <v>2574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8"/>
      <c r="M40" s="1129"/>
      <c r="N40" s="1129"/>
      <c r="O40" s="1129"/>
      <c r="P40" s="3241"/>
      <c r="Q40" s="1808" t="str">
        <f t="shared" si="11"/>
        <v>房型</v>
      </c>
      <c r="R40" s="772" t="s">
        <v>21</v>
      </c>
      <c r="S40" s="773">
        <f t="shared" si="12"/>
        <v>100</v>
      </c>
      <c r="T40" s="772" t="s">
        <v>21</v>
      </c>
      <c r="U40" s="773">
        <f t="shared" si="13"/>
        <v>100</v>
      </c>
      <c r="V40" s="772" t="s">
        <v>21</v>
      </c>
      <c r="W40" s="773">
        <f t="shared" si="14"/>
        <v>100</v>
      </c>
      <c r="X40" s="1811"/>
      <c r="Y40" s="3243"/>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6"/>
      <c r="M41" s="1139"/>
      <c r="N41" s="1139"/>
      <c r="O41" s="1139"/>
      <c r="P41" s="3241"/>
      <c r="Q41" s="774" t="str">
        <f t="shared" si="11"/>
        <v>单套/主力户型建筑面积</v>
      </c>
      <c r="R41" s="775" t="s">
        <v>21</v>
      </c>
      <c r="S41" s="776">
        <f t="shared" si="12"/>
        <v>100</v>
      </c>
      <c r="T41" s="775" t="s">
        <v>21</v>
      </c>
      <c r="U41" s="776">
        <f t="shared" si="13"/>
        <v>100</v>
      </c>
      <c r="V41" s="775" t="s">
        <v>21</v>
      </c>
      <c r="W41" s="776">
        <f t="shared" si="14"/>
        <v>100</v>
      </c>
      <c r="X41" s="777"/>
      <c r="Y41" s="3243"/>
      <c r="Z41" s="778" t="str">
        <f t="shared" si="18"/>
        <v>单套/主力户型建筑面积</v>
      </c>
      <c r="AA41" s="1809">
        <f t="shared" si="15"/>
        <v>1</v>
      </c>
      <c r="AB41" s="1809">
        <f t="shared" si="16"/>
        <v>1</v>
      </c>
      <c r="AC41" s="1809">
        <f t="shared" si="17"/>
        <v>1</v>
      </c>
    </row>
    <row r="42" spans="1:29" ht="15">
      <c r="A42" s="472"/>
      <c r="B42" s="422" t="s">
        <v>2576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8"/>
      <c r="M42" s="1129"/>
      <c r="N42" s="1129"/>
      <c r="O42" s="1129"/>
      <c r="P42" s="3241"/>
      <c r="Q42" s="1808" t="str">
        <f t="shared" si="11"/>
        <v>内部装修</v>
      </c>
      <c r="R42" s="772" t="s">
        <v>21</v>
      </c>
      <c r="S42" s="773">
        <f t="shared" si="12"/>
        <v>100</v>
      </c>
      <c r="T42" s="772" t="s">
        <v>21</v>
      </c>
      <c r="U42" s="773">
        <f t="shared" si="13"/>
        <v>100</v>
      </c>
      <c r="V42" s="772" t="s">
        <v>21</v>
      </c>
      <c r="W42" s="773">
        <f t="shared" si="14"/>
        <v>100</v>
      </c>
      <c r="X42" s="1811"/>
      <c r="Y42" s="3243"/>
      <c r="Z42" s="1812" t="str">
        <f t="shared" si="18"/>
        <v>内部装修</v>
      </c>
      <c r="AA42" s="1809">
        <f t="shared" si="15"/>
        <v>1</v>
      </c>
      <c r="AB42" s="1809">
        <f t="shared" si="16"/>
        <v>1</v>
      </c>
      <c r="AC42" s="1809">
        <f t="shared" si="17"/>
        <v>1</v>
      </c>
    </row>
    <row r="43" spans="1:29" ht="15">
      <c r="A43" s="472"/>
      <c r="B43" s="422" t="s">
        <v>2577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8"/>
      <c r="M43" s="1129"/>
      <c r="N43" s="1129"/>
      <c r="O43" s="1129"/>
      <c r="P43" s="3241"/>
      <c r="Q43" s="1808" t="str">
        <f t="shared" si="11"/>
        <v>内部装修维护情况</v>
      </c>
      <c r="R43" s="772" t="s">
        <v>21</v>
      </c>
      <c r="S43" s="773">
        <f t="shared" si="12"/>
        <v>100</v>
      </c>
      <c r="T43" s="772" t="s">
        <v>21</v>
      </c>
      <c r="U43" s="773">
        <f t="shared" si="13"/>
        <v>100</v>
      </c>
      <c r="V43" s="772" t="s">
        <v>21</v>
      </c>
      <c r="W43" s="773">
        <f t="shared" si="14"/>
        <v>100</v>
      </c>
      <c r="X43" s="1811"/>
      <c r="Y43" s="3243"/>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0"/>
      <c r="M44" s="1131"/>
      <c r="N44" s="1131"/>
      <c r="O44" s="1131"/>
      <c r="P44" s="3241"/>
      <c r="Q44" s="1793">
        <f t="shared" si="11"/>
        <v>111</v>
      </c>
      <c r="R44" s="768" t="s">
        <v>21</v>
      </c>
      <c r="S44" s="769">
        <f t="shared" si="12"/>
        <v>100</v>
      </c>
      <c r="T44" s="768" t="s">
        <v>21</v>
      </c>
      <c r="U44" s="769">
        <f t="shared" si="13"/>
        <v>100</v>
      </c>
      <c r="V44" s="768" t="s">
        <v>21</v>
      </c>
      <c r="W44" s="769">
        <f t="shared" si="14"/>
        <v>100</v>
      </c>
      <c r="X44" s="770"/>
      <c r="Y44" s="3243"/>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8"/>
      <c r="M45" s="1129"/>
      <c r="N45" s="1129"/>
      <c r="O45" s="1129"/>
      <c r="P45" s="3241"/>
      <c r="Q45" s="1808">
        <f t="shared" si="11"/>
        <v>111</v>
      </c>
      <c r="R45" s="772" t="s">
        <v>21</v>
      </c>
      <c r="S45" s="773">
        <f t="shared" si="12"/>
        <v>100</v>
      </c>
      <c r="T45" s="772" t="s">
        <v>21</v>
      </c>
      <c r="U45" s="773">
        <f t="shared" si="13"/>
        <v>100</v>
      </c>
      <c r="V45" s="772" t="s">
        <v>21</v>
      </c>
      <c r="W45" s="773">
        <f t="shared" si="14"/>
        <v>100</v>
      </c>
      <c r="X45" s="1811"/>
      <c r="Y45" s="3243"/>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8"/>
      <c r="M46" s="1129"/>
      <c r="N46" s="1129"/>
      <c r="O46" s="1129"/>
      <c r="P46" s="3242"/>
      <c r="Q46" s="1808">
        <f t="shared" si="11"/>
        <v>111</v>
      </c>
      <c r="R46" s="772" t="s">
        <v>20</v>
      </c>
      <c r="S46" s="773">
        <f t="shared" si="12"/>
        <v>100</v>
      </c>
      <c r="T46" s="772" t="s">
        <v>20</v>
      </c>
      <c r="U46" s="773">
        <f t="shared" si="13"/>
        <v>100</v>
      </c>
      <c r="V46" s="772" t="s">
        <v>20</v>
      </c>
      <c r="W46" s="773">
        <f t="shared" si="14"/>
        <v>100</v>
      </c>
      <c r="X46" s="1811"/>
      <c r="Y46" s="3244"/>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18"/>
      <c r="L47" s="1141"/>
      <c r="M47" s="1142"/>
      <c r="N47" s="1129"/>
      <c r="O47" s="1142"/>
      <c r="P47" s="3245" t="str">
        <f>A47</f>
        <v>成交单价（元/平方米）</v>
      </c>
      <c r="Q47" s="3245"/>
      <c r="R47" s="3246">
        <f>E47</f>
        <v>0</v>
      </c>
      <c r="S47" s="3246"/>
      <c r="T47" s="3246">
        <f>G47</f>
        <v>0</v>
      </c>
      <c r="U47" s="3246"/>
      <c r="V47" s="3246">
        <f>I47</f>
        <v>0</v>
      </c>
      <c r="W47" s="3246"/>
      <c r="X47" s="757"/>
      <c r="Y47" s="779"/>
      <c r="Z47" s="757"/>
      <c r="AA47" s="757"/>
      <c r="AB47" s="757"/>
      <c r="AC47" s="757"/>
    </row>
    <row r="48" spans="1:29" ht="15.75" thickBot="1">
      <c r="A48" s="486" t="s">
        <v>2579</v>
      </c>
      <c r="B48" s="487"/>
      <c r="C48" s="1411" t="e">
        <f>R49</f>
        <v>#DIV/0!</v>
      </c>
      <c r="D48" s="1412"/>
      <c r="E48" s="1413" t="e">
        <f>R48</f>
        <v>#DIV/0!</v>
      </c>
      <c r="F48" s="1413"/>
      <c r="G48" s="1411" t="e">
        <f>T48</f>
        <v>#DIV/0!</v>
      </c>
      <c r="H48" s="1412"/>
      <c r="I48" s="1413" t="e">
        <f>V48</f>
        <v>#DIV/0!</v>
      </c>
      <c r="J48" s="1412"/>
      <c r="K48" s="2619"/>
      <c r="L48" s="1141"/>
      <c r="M48" s="1142"/>
      <c r="N48" s="1142"/>
      <c r="O48" s="1142"/>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7"/>
      <c r="Y48" s="757"/>
      <c r="Z48" s="757"/>
      <c r="AA48" s="757"/>
      <c r="AB48" s="757"/>
      <c r="AC48" s="757"/>
    </row>
    <row r="49" spans="1:29" ht="15.75" thickBot="1">
      <c r="A49" s="492" t="s">
        <v>2580</v>
      </c>
      <c r="B49" s="493"/>
      <c r="C49" s="1414" t="e">
        <f>R49</f>
        <v>#DIV/0!</v>
      </c>
      <c r="D49" s="1415"/>
      <c r="E49" s="1415"/>
      <c r="F49" s="1415"/>
      <c r="G49" s="1415"/>
      <c r="H49" s="1415"/>
      <c r="I49" s="1415"/>
      <c r="J49" s="1415"/>
      <c r="K49" s="2620"/>
      <c r="L49" s="1141"/>
      <c r="M49" s="1142"/>
      <c r="N49" s="1142"/>
      <c r="O49" s="1142"/>
      <c r="P49" s="3263" t="str">
        <f>A49</f>
        <v>估价对象XX用房的比较价值（楼面单价，元/平方米）</v>
      </c>
      <c r="Q49" s="3264"/>
      <c r="R49" s="3265" t="e">
        <f>IF(F1="售价",ROUND(AVERAGE(R48:V48),0),ROUND(AVERAGE(R48:V48),1))</f>
        <v>#DIV/0!</v>
      </c>
      <c r="S49" s="3265"/>
      <c r="T49" s="3265"/>
      <c r="U49" s="3265"/>
      <c r="V49" s="3265"/>
      <c r="W49" s="3265"/>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2"/>
    </row>
    <row r="55" spans="1:29" s="502"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3"/>
      <c r="Q57" s="504"/>
    </row>
    <row r="58" spans="1:29" s="508" customFormat="1" ht="15">
      <c r="A58" s="505" t="s">
        <v>2585</v>
      </c>
      <c r="B58" s="506"/>
      <c r="C58" s="1574" t="str">
        <f>YEAR(C7)&amp;"-"&amp;MONTH(C7)</f>
        <v>2019-5</v>
      </c>
      <c r="D58" s="1573">
        <f>EDATE(C58,-1)</f>
        <v>43556</v>
      </c>
      <c r="E58" s="1573">
        <f>EDATE(D58,-1)</f>
        <v>43525</v>
      </c>
      <c r="F58" s="1573">
        <f t="shared" ref="F58:O58" si="19">EDATE(E58,-1)</f>
        <v>43497</v>
      </c>
      <c r="G58" s="1573">
        <f t="shared" si="19"/>
        <v>43466</v>
      </c>
      <c r="H58" s="1573">
        <f t="shared" si="19"/>
        <v>43435</v>
      </c>
      <c r="I58" s="1573">
        <f t="shared" si="19"/>
        <v>43405</v>
      </c>
      <c r="J58" s="1573">
        <f t="shared" si="19"/>
        <v>43374</v>
      </c>
      <c r="K58" s="1573">
        <f t="shared" si="19"/>
        <v>43344</v>
      </c>
      <c r="L58" s="1573">
        <f t="shared" si="19"/>
        <v>43313</v>
      </c>
      <c r="M58" s="1573">
        <f t="shared" si="19"/>
        <v>43282</v>
      </c>
      <c r="N58" s="1573">
        <f t="shared" si="19"/>
        <v>43252</v>
      </c>
      <c r="O58" s="1573">
        <f t="shared" si="19"/>
        <v>43221</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2586</v>
      </c>
      <c r="B60" s="516"/>
      <c r="C60" s="517"/>
      <c r="D60" s="518"/>
      <c r="E60" s="518"/>
      <c r="F60" s="518"/>
      <c r="G60" s="518"/>
      <c r="H60" s="518"/>
      <c r="I60" s="518"/>
      <c r="J60" s="518"/>
      <c r="K60" s="518"/>
      <c r="L60" s="518"/>
      <c r="M60" s="519"/>
      <c r="N60" s="518"/>
      <c r="O60" s="519"/>
      <c r="P60" s="2625"/>
      <c r="Q60" s="504"/>
    </row>
    <row r="61" spans="1:29" s="117" customFormat="1" ht="15">
      <c r="A61" s="521" t="s">
        <v>2587</v>
      </c>
      <c r="B61" s="510"/>
      <c r="C61" s="522" t="s">
        <v>2588</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2589</v>
      </c>
      <c r="B63" s="528" t="s">
        <v>2555</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60"/>
      <c r="E73" s="560"/>
      <c r="F73" s="560"/>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2098</v>
      </c>
      <c r="C82" s="539" t="s">
        <v>2605</v>
      </c>
      <c r="D82" s="539" t="s">
        <v>2606</v>
      </c>
      <c r="E82" s="539" t="s">
        <v>2607</v>
      </c>
      <c r="F82" s="539" t="s">
        <v>2608</v>
      </c>
      <c r="G82" s="539" t="s">
        <v>2609</v>
      </c>
      <c r="H82" s="539"/>
      <c r="I82" s="539"/>
      <c r="J82" s="539"/>
      <c r="K82" s="539"/>
      <c r="L82" s="539"/>
      <c r="M82" s="1380"/>
      <c r="N82" s="1151"/>
      <c r="O82" s="1151"/>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2611</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7"/>
      <c r="Q87" s="504"/>
    </row>
    <row r="88" spans="1:17" s="117" customFormat="1" ht="15.75" thickTop="1">
      <c r="A88" s="579"/>
      <c r="B88" s="538" t="s">
        <v>2612</v>
      </c>
      <c r="C88" s="554"/>
      <c r="D88" s="554"/>
      <c r="E88" s="554"/>
      <c r="F88" s="2632"/>
      <c r="G88" s="554"/>
      <c r="H88" s="554"/>
      <c r="I88" s="554"/>
      <c r="J88" s="554"/>
      <c r="K88" s="554"/>
      <c r="L88" s="554"/>
      <c r="M88" s="581"/>
      <c r="N88" s="1149"/>
      <c r="O88" s="1149"/>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7"/>
      <c r="Q89" s="504"/>
    </row>
    <row r="90" spans="1:17" s="471" customFormat="1" ht="15.75" thickTop="1">
      <c r="A90" s="553"/>
      <c r="B90" s="538">
        <f>B27</f>
        <v>111</v>
      </c>
      <c r="C90" s="554"/>
      <c r="D90" s="554"/>
      <c r="E90" s="554"/>
      <c r="F90" s="554"/>
      <c r="G90" s="554"/>
      <c r="H90" s="555"/>
      <c r="I90" s="555"/>
      <c r="J90" s="555"/>
      <c r="K90" s="555"/>
      <c r="L90" s="556"/>
      <c r="M90" s="557"/>
      <c r="N90" s="1152"/>
      <c r="O90" s="1152"/>
      <c r="P90" s="2628"/>
      <c r="Q90" s="559"/>
    </row>
    <row r="91" spans="1:17" s="471" customFormat="1" ht="15.75" thickBot="1">
      <c r="A91" s="553"/>
      <c r="B91" s="543"/>
      <c r="C91" s="560"/>
      <c r="D91" s="560"/>
      <c r="E91" s="560"/>
      <c r="F91" s="560"/>
      <c r="G91" s="560"/>
      <c r="H91" s="562"/>
      <c r="I91" s="562"/>
      <c r="J91" s="562"/>
      <c r="K91" s="562"/>
      <c r="L91" s="562"/>
      <c r="M91" s="563"/>
      <c r="N91" s="1152"/>
      <c r="O91" s="1152"/>
      <c r="P91" s="2628"/>
      <c r="Q91" s="559"/>
    </row>
    <row r="92" spans="1:17" ht="15.75" thickTop="1">
      <c r="A92" s="534"/>
      <c r="B92" s="538">
        <f>B28</f>
        <v>111</v>
      </c>
      <c r="C92" s="554"/>
      <c r="D92" s="554"/>
      <c r="E92" s="554"/>
      <c r="F92" s="554"/>
      <c r="G92" s="583"/>
      <c r="H92" s="583"/>
      <c r="I92" s="583"/>
      <c r="J92" s="583"/>
      <c r="K92" s="584"/>
      <c r="L92" s="585"/>
      <c r="M92" s="586"/>
      <c r="N92" s="1150"/>
      <c r="O92" s="1150"/>
      <c r="P92" s="2627"/>
      <c r="Q92" s="504"/>
    </row>
    <row r="93" spans="1:17" ht="15.75" thickBot="1">
      <c r="A93" s="534"/>
      <c r="B93" s="543"/>
      <c r="C93" s="560"/>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60"/>
      <c r="E95" s="560"/>
      <c r="F95" s="560"/>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70"/>
      <c r="D97" s="570"/>
      <c r="E97" s="570"/>
      <c r="F97" s="570"/>
      <c r="G97" s="536"/>
      <c r="H97" s="536"/>
      <c r="I97" s="536"/>
      <c r="J97" s="536"/>
      <c r="K97" s="536"/>
      <c r="L97" s="536"/>
      <c r="M97" s="537"/>
      <c r="N97" s="1151"/>
      <c r="O97" s="1151"/>
      <c r="P97" s="2627"/>
      <c r="Q97" s="504"/>
    </row>
    <row r="98" spans="1:17" ht="15.75" thickTop="1">
      <c r="A98" s="534"/>
      <c r="B98" s="546">
        <f>B31</f>
        <v>111</v>
      </c>
      <c r="C98" s="587"/>
      <c r="D98" s="587"/>
      <c r="E98" s="587"/>
      <c r="F98" s="587"/>
      <c r="G98" s="587"/>
      <c r="H98" s="587"/>
      <c r="I98" s="587"/>
      <c r="J98" s="587"/>
      <c r="K98" s="588"/>
      <c r="L98" s="589"/>
      <c r="M98" s="590"/>
      <c r="N98" s="1150"/>
      <c r="O98" s="1150"/>
      <c r="P98" s="2627"/>
      <c r="Q98" s="504"/>
    </row>
    <row r="99" spans="1:17" ht="15.75" thickBot="1">
      <c r="A99" s="2633"/>
      <c r="B99" s="569"/>
      <c r="C99" s="591"/>
      <c r="D99" s="591"/>
      <c r="E99" s="591"/>
      <c r="F99" s="591"/>
      <c r="G99" s="591"/>
      <c r="H99" s="591"/>
      <c r="I99" s="591"/>
      <c r="J99" s="591"/>
      <c r="K99" s="591"/>
      <c r="L99" s="591"/>
      <c r="M99" s="592"/>
      <c r="N99" s="1151"/>
      <c r="O99" s="1151"/>
      <c r="P99" s="2627"/>
      <c r="Q99" s="504"/>
    </row>
    <row r="100" spans="1:17">
      <c r="A100" s="527" t="s">
        <v>2564</v>
      </c>
      <c r="B100" s="528" t="s">
        <v>2613</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8"/>
      <c r="Q104" s="559"/>
    </row>
    <row r="105" spans="1:17" ht="15" thickTop="1">
      <c r="A105" s="599"/>
      <c r="B105" s="538" t="s">
        <v>2615</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7"/>
      <c r="Q106" s="504"/>
    </row>
    <row r="107" spans="1:17" ht="15" thickTop="1">
      <c r="A107" s="599"/>
      <c r="B107" s="538" t="s">
        <v>2616</v>
      </c>
      <c r="C107" s="583"/>
      <c r="D107" s="583"/>
      <c r="E107" s="583"/>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7"/>
      <c r="Q108" s="504"/>
    </row>
    <row r="109" spans="1:17" ht="15" thickTop="1">
      <c r="A109" s="599"/>
      <c r="B109" s="538" t="s">
        <v>2617</v>
      </c>
      <c r="C109" s="554"/>
      <c r="D109" s="554"/>
      <c r="E109" s="554"/>
      <c r="F109" s="583"/>
      <c r="G109" s="583"/>
      <c r="H109" s="583"/>
      <c r="I109" s="583"/>
      <c r="J109" s="583"/>
      <c r="K109" s="584"/>
      <c r="L109" s="585"/>
      <c r="M109" s="586"/>
      <c r="N109" s="1150"/>
      <c r="O109" s="1150"/>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8"/>
      <c r="Q113" s="559"/>
    </row>
    <row r="114" spans="1:17" ht="15" thickTop="1">
      <c r="A114" s="599"/>
      <c r="B114" s="538" t="s">
        <v>2618</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7"/>
      <c r="Q115" s="504"/>
    </row>
    <row r="116" spans="1:17" ht="15" thickTop="1">
      <c r="A116" s="599"/>
      <c r="B116" s="538" t="s">
        <v>2619</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2620</v>
      </c>
      <c r="C118" s="583"/>
      <c r="D118" s="583"/>
      <c r="E118" s="583"/>
      <c r="F118" s="583"/>
      <c r="G118" s="583"/>
      <c r="H118" s="583"/>
      <c r="I118" s="583"/>
      <c r="J118" s="583"/>
      <c r="K118" s="584"/>
      <c r="L118" s="585"/>
      <c r="M118" s="586"/>
      <c r="N118" s="1150"/>
      <c r="O118" s="1150"/>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7"/>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28"/>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8"/>
      <c r="Q121" s="559"/>
    </row>
    <row r="122" spans="1:17" ht="15" thickTop="1">
      <c r="A122" s="599"/>
      <c r="B122" s="538" t="s">
        <v>2621</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60"/>
      <c r="E129" s="560"/>
      <c r="F129" s="560"/>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row r="136" spans="1:17" ht="15" thickBot="1">
      <c r="B136" s="2634" t="s">
        <v>2623</v>
      </c>
    </row>
    <row r="137" spans="1:17" ht="15">
      <c r="B137" s="2635" t="s">
        <v>2624</v>
      </c>
      <c r="C137" s="2636"/>
      <c r="D137" s="2636"/>
      <c r="E137" s="2636"/>
      <c r="F137" s="2636"/>
      <c r="G137" s="2637"/>
      <c r="H137" s="2638"/>
      <c r="I137" s="2639" t="s">
        <v>2625</v>
      </c>
      <c r="J137" s="2636"/>
      <c r="K137" s="2640"/>
    </row>
    <row r="138" spans="1:17" ht="15">
      <c r="B138" s="2641"/>
      <c r="C138" s="146" t="s">
        <v>2626</v>
      </c>
      <c r="D138" s="146" t="s">
        <v>2627</v>
      </c>
      <c r="E138" s="2642" t="s">
        <v>2628</v>
      </c>
      <c r="F138" s="2643" t="s">
        <v>2629</v>
      </c>
      <c r="G138" s="146" t="s">
        <v>2627</v>
      </c>
      <c r="H138" s="147" t="s">
        <v>2628</v>
      </c>
      <c r="I138" s="2644"/>
      <c r="J138" s="146" t="s">
        <v>2630</v>
      </c>
      <c r="K138" s="147" t="s">
        <v>2631</v>
      </c>
    </row>
    <row r="139" spans="1:17" ht="15">
      <c r="B139" s="1082">
        <v>6</v>
      </c>
      <c r="C139" s="1083">
        <v>96</v>
      </c>
      <c r="D139" s="2645" t="s">
        <v>2632</v>
      </c>
      <c r="E139" s="1084">
        <v>100</v>
      </c>
      <c r="F139" s="1085">
        <v>102.5</v>
      </c>
      <c r="G139" s="2645" t="s">
        <v>2632</v>
      </c>
      <c r="H139" s="1086">
        <v>105</v>
      </c>
      <c r="I139" s="2646" t="s">
        <v>2633</v>
      </c>
      <c r="J139" s="1083">
        <v>20</v>
      </c>
      <c r="K139" s="1087">
        <f>C145/(J139-2)</f>
        <v>4.0555555555555553E-3</v>
      </c>
    </row>
    <row r="140" spans="1:17" ht="15">
      <c r="B140" s="1088">
        <v>5</v>
      </c>
      <c r="C140" s="1089">
        <v>100</v>
      </c>
      <c r="D140" s="1089"/>
      <c r="E140" s="1090"/>
      <c r="F140" s="1091">
        <v>102</v>
      </c>
      <c r="G140" s="1089"/>
      <c r="H140" s="1092"/>
      <c r="I140" s="2647" t="s">
        <v>2634</v>
      </c>
      <c r="J140" s="315">
        <f>ROUNDUP((J139-1)/2,0)</f>
        <v>10</v>
      </c>
      <c r="K140" s="1093">
        <v>100</v>
      </c>
    </row>
    <row r="141" spans="1:17" ht="15">
      <c r="B141" s="1088">
        <v>4</v>
      </c>
      <c r="C141" s="1089">
        <v>102</v>
      </c>
      <c r="D141" s="1089"/>
      <c r="E141" s="1090"/>
      <c r="F141" s="1091">
        <v>101.5</v>
      </c>
      <c r="G141" s="1089"/>
      <c r="H141" s="1092"/>
      <c r="I141" s="2647" t="s">
        <v>2635</v>
      </c>
      <c r="J141" s="315">
        <v>1</v>
      </c>
      <c r="K141" s="1094">
        <f>ROUND(100+(J141-J140)*K139*100,1)</f>
        <v>96.4</v>
      </c>
    </row>
    <row r="142" spans="1:17" ht="15">
      <c r="B142" s="1088">
        <v>3</v>
      </c>
      <c r="C142" s="1089">
        <v>103</v>
      </c>
      <c r="D142" s="1089"/>
      <c r="E142" s="1090"/>
      <c r="F142" s="1091">
        <v>101</v>
      </c>
      <c r="G142" s="1089"/>
      <c r="H142" s="1092"/>
      <c r="I142" s="2647" t="s">
        <v>2636</v>
      </c>
      <c r="J142" s="315">
        <f>J139</f>
        <v>20</v>
      </c>
      <c r="K142" s="1095">
        <v>95</v>
      </c>
    </row>
    <row r="143" spans="1:17" ht="15">
      <c r="B143" s="1088">
        <v>2</v>
      </c>
      <c r="C143" s="1089">
        <v>100</v>
      </c>
      <c r="D143" s="1089"/>
      <c r="E143" s="1090"/>
      <c r="F143" s="1091">
        <v>100.5</v>
      </c>
      <c r="G143" s="1089"/>
      <c r="H143" s="1092"/>
      <c r="I143" s="2647" t="s">
        <v>2637</v>
      </c>
      <c r="J143" s="1089">
        <v>15</v>
      </c>
      <c r="K143" s="1094">
        <f>ROUND(100+(J143-J140)*K139*100,1)</f>
        <v>102</v>
      </c>
    </row>
    <row r="144" spans="1:17" ht="15">
      <c r="B144" s="1088">
        <v>1</v>
      </c>
      <c r="C144" s="1089">
        <v>98</v>
      </c>
      <c r="D144" s="2648" t="s">
        <v>2638</v>
      </c>
      <c r="E144" s="1090">
        <v>102</v>
      </c>
      <c r="F144" s="1096">
        <v>100</v>
      </c>
      <c r="G144" s="2648" t="s">
        <v>2638</v>
      </c>
      <c r="H144" s="1092">
        <v>105</v>
      </c>
      <c r="I144" s="2647" t="s">
        <v>2637</v>
      </c>
      <c r="J144" s="1089">
        <v>18</v>
      </c>
      <c r="K144" s="1094">
        <f>ROUND(100+(J144-J140)*K139*100,1)</f>
        <v>103.2</v>
      </c>
    </row>
    <row r="145" spans="2:11" ht="15.75" thickBot="1">
      <c r="B145" s="2649" t="s">
        <v>2639</v>
      </c>
      <c r="C145" s="1097">
        <f>ROUND(MAX(C139:C144)/MIN(C139:C144)-1,3)</f>
        <v>7.2999999999999995E-2</v>
      </c>
      <c r="D145" s="1098"/>
      <c r="E145" s="1098"/>
      <c r="F145" s="2650" t="s">
        <v>2640</v>
      </c>
      <c r="G145" s="2651"/>
      <c r="H145" s="2652"/>
      <c r="I145" s="2653" t="s">
        <v>2637</v>
      </c>
      <c r="J145" s="1099">
        <v>8</v>
      </c>
      <c r="K145" s="1100">
        <f>ROUND(100+(J145-J140)*K139*100,1)</f>
        <v>99.2</v>
      </c>
    </row>
    <row r="147" spans="2:11">
      <c r="B147" s="2634" t="s">
        <v>2641</v>
      </c>
    </row>
    <row r="148" spans="2:11">
      <c r="B148" s="263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66" t="s">
        <v>2703</v>
      </c>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3"/>
      <c r="D2" s="1122" t="e">
        <f ca="1">SUMIF(INDIRECT("'"&amp;F2&amp;"'"&amp;"!A:A"),"承租人权益价值",INDIRECT("'"&amp;F2&amp;"'"&amp;"!c:c"))</f>
        <v>#REF!</v>
      </c>
      <c r="E2" s="2584" t="s">
        <v>2329</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51884.22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59" t="s">
        <v>2652</v>
      </c>
      <c r="Q4" s="3260"/>
      <c r="R4" s="3255" t="s">
        <v>2648</v>
      </c>
      <c r="S4" s="3256"/>
      <c r="T4" s="3255" t="s">
        <v>2649</v>
      </c>
      <c r="U4" s="3256"/>
      <c r="V4" s="3233" t="s">
        <v>2650</v>
      </c>
      <c r="W4" s="3233"/>
      <c r="X4" s="1811"/>
      <c r="Y4" s="3255" t="s">
        <v>2652</v>
      </c>
      <c r="Z4" s="3256"/>
      <c r="AA4" s="3254" t="s">
        <v>2648</v>
      </c>
      <c r="AB4" s="3200" t="s">
        <v>2649</v>
      </c>
      <c r="AC4" s="3254" t="s">
        <v>2650</v>
      </c>
    </row>
    <row r="5" spans="1:29" ht="15">
      <c r="A5" s="404"/>
      <c r="B5" s="405"/>
      <c r="C5" s="3258" t="s">
        <v>2543</v>
      </c>
      <c r="D5" s="3211"/>
      <c r="E5" s="3289" t="s">
        <v>2544</v>
      </c>
      <c r="F5" s="3257"/>
      <c r="G5" s="3258" t="s">
        <v>2545</v>
      </c>
      <c r="H5" s="3211"/>
      <c r="I5" s="3258" t="s">
        <v>2546</v>
      </c>
      <c r="J5" s="3211"/>
      <c r="K5" s="610"/>
      <c r="L5" s="1128"/>
      <c r="M5" s="1129"/>
      <c r="N5" s="1129"/>
      <c r="O5" s="1129"/>
      <c r="P5" s="3261"/>
      <c r="Q5" s="3227"/>
      <c r="R5" s="3206"/>
      <c r="S5" s="3207"/>
      <c r="T5" s="3206"/>
      <c r="U5" s="3207"/>
      <c r="V5" s="3233"/>
      <c r="W5" s="3233"/>
      <c r="X5" s="1811"/>
      <c r="Y5" s="3206"/>
      <c r="Z5" s="3207"/>
      <c r="AA5" s="3200"/>
      <c r="AB5" s="3200"/>
      <c r="AC5" s="3200"/>
    </row>
    <row r="6" spans="1:29" ht="15.75" thickBot="1">
      <c r="A6" s="406"/>
      <c r="B6" s="407"/>
      <c r="C6" s="3212" t="s">
        <v>2547</v>
      </c>
      <c r="D6" s="3213"/>
      <c r="E6" s="3214" t="s">
        <v>2547</v>
      </c>
      <c r="F6" s="3215"/>
      <c r="G6" s="3212" t="s">
        <v>2547</v>
      </c>
      <c r="H6" s="3213"/>
      <c r="I6" s="3212" t="s">
        <v>2547</v>
      </c>
      <c r="J6" s="3213"/>
      <c r="K6" s="610" t="s">
        <v>2548</v>
      </c>
      <c r="L6" s="1128"/>
      <c r="M6" s="1129"/>
      <c r="N6" s="1129"/>
      <c r="O6" s="1129"/>
      <c r="P6" s="3262"/>
      <c r="Q6" s="3229"/>
      <c r="R6" s="3206"/>
      <c r="S6" s="3207"/>
      <c r="T6" s="3230"/>
      <c r="U6" s="3231"/>
      <c r="V6" s="3233"/>
      <c r="W6" s="3233"/>
      <c r="X6" s="1811"/>
      <c r="Y6" s="3230"/>
      <c r="Z6" s="3231"/>
      <c r="AA6" s="3201"/>
      <c r="AB6" s="3201"/>
      <c r="AC6" s="3201"/>
    </row>
    <row r="7" spans="1:29" s="117" customFormat="1" ht="15.75" thickBot="1">
      <c r="A7" s="408" t="s">
        <v>2549</v>
      </c>
      <c r="B7" s="409"/>
      <c r="C7" s="410">
        <f>'数据-取费表'!B2</f>
        <v>43602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02" t="s">
        <v>2550</v>
      </c>
      <c r="Q7" s="3235"/>
      <c r="R7" s="768" t="s">
        <v>17</v>
      </c>
      <c r="S7" s="769">
        <f t="shared" ref="S7:S15" si="0">F7</f>
        <v>0</v>
      </c>
      <c r="T7" s="768" t="s">
        <v>17</v>
      </c>
      <c r="U7" s="769">
        <f t="shared" ref="U7:U15" si="1">H7</f>
        <v>0</v>
      </c>
      <c r="V7" s="768" t="s">
        <v>17</v>
      </c>
      <c r="W7" s="769">
        <f t="shared" ref="W7:W15" si="2">J7</f>
        <v>0</v>
      </c>
      <c r="X7" s="770"/>
      <c r="Y7" s="3202" t="s">
        <v>2550</v>
      </c>
      <c r="Z7" s="3203"/>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02" t="s">
        <v>2553</v>
      </c>
      <c r="Q8" s="3203"/>
      <c r="R8" s="768" t="s">
        <v>17</v>
      </c>
      <c r="S8" s="769">
        <f t="shared" si="0"/>
        <v>0</v>
      </c>
      <c r="T8" s="768" t="s">
        <v>17</v>
      </c>
      <c r="U8" s="769">
        <f t="shared" si="1"/>
        <v>0</v>
      </c>
      <c r="V8" s="768" t="s">
        <v>17</v>
      </c>
      <c r="W8" s="769">
        <f t="shared" si="2"/>
        <v>0</v>
      </c>
      <c r="X8" s="770"/>
      <c r="Y8" s="3202" t="s">
        <v>2553</v>
      </c>
      <c r="Z8" s="3203"/>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45" t="s">
        <v>2556</v>
      </c>
      <c r="Q9" s="1793" t="str">
        <f t="shared" ref="Q9:Q15" si="6">B9</f>
        <v>用途</v>
      </c>
      <c r="R9" s="768" t="s">
        <v>17</v>
      </c>
      <c r="S9" s="769">
        <f t="shared" si="0"/>
        <v>100</v>
      </c>
      <c r="T9" s="768" t="s">
        <v>17</v>
      </c>
      <c r="U9" s="769">
        <f t="shared" si="1"/>
        <v>100</v>
      </c>
      <c r="V9" s="768" t="s">
        <v>17</v>
      </c>
      <c r="W9" s="769">
        <f t="shared" si="2"/>
        <v>100</v>
      </c>
      <c r="X9" s="770"/>
      <c r="Y9" s="3071"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45"/>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45"/>
      <c r="Q11" s="1793"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245"/>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245"/>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245"/>
      <c r="Q14" s="1793">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57">
      <c r="A15" s="440" t="s">
        <v>2560</v>
      </c>
      <c r="B15" s="69" t="s">
        <v>2704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38" t="s">
        <v>2561</v>
      </c>
      <c r="Q15" s="1808" t="str">
        <f t="shared" si="6"/>
        <v>产业集聚程度</v>
      </c>
      <c r="R15" s="772" t="s">
        <v>17</v>
      </c>
      <c r="S15" s="773">
        <f t="shared" si="0"/>
        <v>100</v>
      </c>
      <c r="T15" s="772" t="s">
        <v>17</v>
      </c>
      <c r="U15" s="773">
        <f t="shared" si="1"/>
        <v>100</v>
      </c>
      <c r="V15" s="772" t="s">
        <v>17</v>
      </c>
      <c r="W15" s="773">
        <f t="shared" si="2"/>
        <v>100</v>
      </c>
      <c r="X15" s="1811"/>
      <c r="Y15" s="3238"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39"/>
      <c r="Q16" s="1808"/>
      <c r="R16" s="772"/>
      <c r="S16" s="773"/>
      <c r="T16" s="772"/>
      <c r="U16" s="773"/>
      <c r="V16" s="772"/>
      <c r="W16" s="773"/>
      <c r="X16" s="1811"/>
      <c r="Y16" s="3239"/>
      <c r="Z16" s="1812"/>
      <c r="AA16" s="1809">
        <v>1</v>
      </c>
      <c r="AB16" s="1809">
        <v>1</v>
      </c>
      <c r="AC16" s="1809">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39"/>
      <c r="Q17" s="1808" t="str">
        <f>B17</f>
        <v>交通便捷度</v>
      </c>
      <c r="R17" s="772" t="s">
        <v>17</v>
      </c>
      <c r="S17" s="773">
        <f>F17</f>
        <v>100</v>
      </c>
      <c r="T17" s="772" t="s">
        <v>17</v>
      </c>
      <c r="U17" s="773">
        <f>H17</f>
        <v>100</v>
      </c>
      <c r="V17" s="772" t="s">
        <v>17</v>
      </c>
      <c r="W17" s="773">
        <f>J17</f>
        <v>100</v>
      </c>
      <c r="X17" s="1811"/>
      <c r="Y17" s="3239"/>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8"/>
      <c r="M18" s="1129"/>
      <c r="N18" s="1129"/>
      <c r="O18" s="1137"/>
      <c r="P18" s="3239"/>
      <c r="Q18" s="1808"/>
      <c r="R18" s="772"/>
      <c r="S18" s="773"/>
      <c r="T18" s="772"/>
      <c r="U18" s="773"/>
      <c r="V18" s="772"/>
      <c r="W18" s="773"/>
      <c r="X18" s="1811"/>
      <c r="Y18" s="3239"/>
      <c r="Z18" s="1812"/>
      <c r="AA18" s="1809">
        <v>1</v>
      </c>
      <c r="AB18" s="1809">
        <v>1</v>
      </c>
      <c r="AC18" s="1809">
        <v>1</v>
      </c>
    </row>
    <row r="19" spans="1:29" ht="42.75">
      <c r="A19" s="428"/>
      <c r="B19" s="451" t="s">
        <v>2689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39"/>
      <c r="Q19" s="1808" t="str">
        <f>B19</f>
        <v>公共配套设施</v>
      </c>
      <c r="R19" s="772" t="s">
        <v>17</v>
      </c>
      <c r="S19" s="773">
        <f>F19</f>
        <v>100</v>
      </c>
      <c r="T19" s="772" t="s">
        <v>17</v>
      </c>
      <c r="U19" s="773">
        <f>H19</f>
        <v>100</v>
      </c>
      <c r="V19" s="772" t="s">
        <v>17</v>
      </c>
      <c r="W19" s="773">
        <f>J19</f>
        <v>100</v>
      </c>
      <c r="X19" s="1811"/>
      <c r="Y19" s="3239"/>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8"/>
      <c r="M20" s="1129"/>
      <c r="N20" s="1129"/>
      <c r="O20" s="1137"/>
      <c r="P20" s="3239"/>
      <c r="Q20" s="1808"/>
      <c r="R20" s="772"/>
      <c r="S20" s="773"/>
      <c r="T20" s="772"/>
      <c r="U20" s="773"/>
      <c r="V20" s="772"/>
      <c r="W20" s="773"/>
      <c r="X20" s="1811"/>
      <c r="Y20" s="3239"/>
      <c r="Z20" s="1812"/>
      <c r="AA20" s="1809">
        <v>1</v>
      </c>
      <c r="AB20" s="1809">
        <v>1</v>
      </c>
      <c r="AC20" s="1809">
        <v>1</v>
      </c>
    </row>
    <row r="21" spans="1:29" ht="28.5">
      <c r="A21" s="428"/>
      <c r="B21" s="1382" t="s">
        <v>2690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39"/>
      <c r="Q21" s="1808" t="str">
        <f>B21</f>
        <v>基础设施水平</v>
      </c>
      <c r="R21" s="772" t="s">
        <v>17</v>
      </c>
      <c r="S21" s="773">
        <f>F21</f>
        <v>100</v>
      </c>
      <c r="T21" s="772" t="s">
        <v>17</v>
      </c>
      <c r="U21" s="773">
        <f>H21</f>
        <v>100</v>
      </c>
      <c r="V21" s="772" t="s">
        <v>17</v>
      </c>
      <c r="W21" s="773">
        <f>J21</f>
        <v>100</v>
      </c>
      <c r="X21" s="1811"/>
      <c r="Y21" s="3239"/>
      <c r="Z21" s="1812" t="str">
        <f>Q21</f>
        <v>基础设施水平</v>
      </c>
      <c r="AA21" s="1809">
        <f t="shared" ref="AA21" si="8">D21/F21</f>
        <v>1</v>
      </c>
      <c r="AB21" s="1809">
        <f t="shared" ref="AB21" si="9">D21/H21</f>
        <v>1</v>
      </c>
      <c r="AC21" s="1809">
        <f t="shared" ref="AC21" si="10">D21/J21</f>
        <v>1</v>
      </c>
    </row>
    <row r="22" spans="1:29" ht="15">
      <c r="A22" s="428"/>
      <c r="B22" s="1382"/>
      <c r="C22" s="2605"/>
      <c r="D22" s="448"/>
      <c r="E22" s="447"/>
      <c r="F22" s="449"/>
      <c r="G22" s="447"/>
      <c r="H22" s="448"/>
      <c r="I22" s="447"/>
      <c r="J22" s="448"/>
      <c r="K22" s="1381"/>
      <c r="L22" s="1138"/>
      <c r="M22" s="1129"/>
      <c r="N22" s="1129"/>
      <c r="O22" s="1137"/>
      <c r="P22" s="3239"/>
      <c r="Q22" s="1808"/>
      <c r="R22" s="772"/>
      <c r="S22" s="773"/>
      <c r="T22" s="772"/>
      <c r="U22" s="773"/>
      <c r="V22" s="772"/>
      <c r="W22" s="773"/>
      <c r="X22" s="1811"/>
      <c r="Y22" s="3239"/>
      <c r="Z22" s="1812"/>
      <c r="AA22" s="1809">
        <v>1</v>
      </c>
      <c r="AB22" s="1809">
        <v>1</v>
      </c>
      <c r="AC22" s="1809">
        <v>1</v>
      </c>
    </row>
    <row r="23" spans="1:29" ht="71.25">
      <c r="A23" s="428"/>
      <c r="B23" s="451" t="s">
        <v>2691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39"/>
      <c r="Q23" s="1808" t="str">
        <f>B23</f>
        <v>环境质量</v>
      </c>
      <c r="R23" s="772" t="s">
        <v>17</v>
      </c>
      <c r="S23" s="773">
        <f>F23</f>
        <v>100</v>
      </c>
      <c r="T23" s="772" t="s">
        <v>17</v>
      </c>
      <c r="U23" s="773">
        <f>H23</f>
        <v>100</v>
      </c>
      <c r="V23" s="772" t="s">
        <v>17</v>
      </c>
      <c r="W23" s="773">
        <f>J23</f>
        <v>100</v>
      </c>
      <c r="X23" s="1811"/>
      <c r="Y23" s="3239"/>
      <c r="Z23" s="1812" t="str">
        <f>Q23</f>
        <v>环境质量</v>
      </c>
      <c r="AA23" s="1809">
        <f t="shared" si="3"/>
        <v>1</v>
      </c>
      <c r="AB23" s="1809">
        <f t="shared" si="4"/>
        <v>1</v>
      </c>
      <c r="AC23" s="1809">
        <f t="shared" si="5"/>
        <v>1</v>
      </c>
    </row>
    <row r="24" spans="1:29" ht="15">
      <c r="A24" s="428"/>
      <c r="B24" s="1382"/>
      <c r="C24" s="447"/>
      <c r="D24" s="448"/>
      <c r="E24" s="2602"/>
      <c r="F24" s="449"/>
      <c r="G24" s="2601"/>
      <c r="H24" s="448"/>
      <c r="I24" s="2602"/>
      <c r="J24" s="448"/>
      <c r="K24" s="615"/>
      <c r="L24" s="1138"/>
      <c r="M24" s="1129"/>
      <c r="N24" s="1129"/>
      <c r="O24" s="1137"/>
      <c r="P24" s="3239"/>
      <c r="Q24" s="1808"/>
      <c r="R24" s="772"/>
      <c r="S24" s="773"/>
      <c r="T24" s="772"/>
      <c r="U24" s="773"/>
      <c r="V24" s="772"/>
      <c r="W24" s="773"/>
      <c r="X24" s="1811"/>
      <c r="Y24" s="3239"/>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39"/>
      <c r="Q25" s="1808">
        <f>B25</f>
        <v>111</v>
      </c>
      <c r="R25" s="772" t="s">
        <v>17</v>
      </c>
      <c r="S25" s="773">
        <f>F25</f>
        <v>100</v>
      </c>
      <c r="T25" s="772" t="s">
        <v>17</v>
      </c>
      <c r="U25" s="773">
        <f>H25</f>
        <v>100</v>
      </c>
      <c r="V25" s="772" t="s">
        <v>17</v>
      </c>
      <c r="W25" s="773">
        <f>J25</f>
        <v>100</v>
      </c>
      <c r="X25" s="1811"/>
      <c r="Y25" s="3239"/>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39"/>
      <c r="Q26" s="1808">
        <f t="shared" ref="Q26:Q40" si="11">B26</f>
        <v>111</v>
      </c>
      <c r="R26" s="772" t="s">
        <v>17</v>
      </c>
      <c r="S26" s="773">
        <f>F26</f>
        <v>100</v>
      </c>
      <c r="T26" s="772" t="s">
        <v>17</v>
      </c>
      <c r="U26" s="773">
        <f>H26</f>
        <v>100</v>
      </c>
      <c r="V26" s="772" t="s">
        <v>17</v>
      </c>
      <c r="W26" s="773">
        <f>J26</f>
        <v>100</v>
      </c>
      <c r="X26" s="1811"/>
      <c r="Y26" s="3239"/>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39"/>
      <c r="Q27" s="1793">
        <f t="shared" si="11"/>
        <v>111</v>
      </c>
      <c r="R27" s="768" t="s">
        <v>17</v>
      </c>
      <c r="S27" s="769">
        <f>F27</f>
        <v>100</v>
      </c>
      <c r="T27" s="768" t="s">
        <v>17</v>
      </c>
      <c r="U27" s="769">
        <f>H27</f>
        <v>100</v>
      </c>
      <c r="V27" s="768" t="s">
        <v>17</v>
      </c>
      <c r="W27" s="769">
        <f>J27</f>
        <v>100</v>
      </c>
      <c r="X27" s="770"/>
      <c r="Y27" s="3239"/>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39"/>
      <c r="Q28" s="1808">
        <f t="shared" si="11"/>
        <v>111</v>
      </c>
      <c r="R28" s="772" t="s">
        <v>17</v>
      </c>
      <c r="S28" s="773">
        <f t="shared" ref="S28:S40" si="12">F28</f>
        <v>100</v>
      </c>
      <c r="T28" s="772" t="s">
        <v>17</v>
      </c>
      <c r="U28" s="773">
        <f t="shared" ref="U28:U40" si="13">H28</f>
        <v>100</v>
      </c>
      <c r="V28" s="772" t="s">
        <v>17</v>
      </c>
      <c r="W28" s="773">
        <f t="shared" ref="W28:W40" si="14">J28</f>
        <v>100</v>
      </c>
      <c r="X28" s="1811"/>
      <c r="Y28" s="3239"/>
      <c r="Z28" s="1812">
        <f t="shared" ref="Z28:Z40" si="15">Q28</f>
        <v>111</v>
      </c>
      <c r="AA28" s="1809">
        <f t="shared" si="3"/>
        <v>1</v>
      </c>
      <c r="AB28" s="1809">
        <f t="shared" si="4"/>
        <v>1</v>
      </c>
      <c r="AC28" s="1809">
        <f t="shared" si="5"/>
        <v>1</v>
      </c>
    </row>
    <row r="29" spans="1:29" ht="28.5">
      <c r="A29" s="466" t="s">
        <v>2564</v>
      </c>
      <c r="B29" s="71" t="s">
        <v>2694</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66" t="s">
        <v>2566</v>
      </c>
      <c r="Q29" s="1808" t="str">
        <f t="shared" si="11"/>
        <v>建筑类型</v>
      </c>
      <c r="R29" s="772" t="s">
        <v>17</v>
      </c>
      <c r="S29" s="773">
        <f t="shared" si="12"/>
        <v>100</v>
      </c>
      <c r="T29" s="772" t="s">
        <v>17</v>
      </c>
      <c r="U29" s="773">
        <f t="shared" si="13"/>
        <v>100</v>
      </c>
      <c r="V29" s="772" t="s">
        <v>17</v>
      </c>
      <c r="W29" s="773">
        <f t="shared" si="14"/>
        <v>100</v>
      </c>
      <c r="X29" s="1811"/>
      <c r="Y29" s="3243"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43"/>
      <c r="Q30" s="774" t="str">
        <f t="shared" si="11"/>
        <v>项目建筑规模</v>
      </c>
      <c r="R30" s="775" t="s">
        <v>17</v>
      </c>
      <c r="S30" s="776" t="e">
        <f t="shared" si="12"/>
        <v>#N/A</v>
      </c>
      <c r="T30" s="775" t="s">
        <v>17</v>
      </c>
      <c r="U30" s="776" t="e">
        <f t="shared" si="13"/>
        <v>#N/A</v>
      </c>
      <c r="V30" s="775" t="s">
        <v>17</v>
      </c>
      <c r="W30" s="776" t="e">
        <f t="shared" si="14"/>
        <v>#N/A</v>
      </c>
      <c r="X30" s="777"/>
      <c r="Y30" s="3243"/>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43"/>
      <c r="Q31" s="1808" t="str">
        <f t="shared" si="11"/>
        <v>建筑结构</v>
      </c>
      <c r="R31" s="772" t="s">
        <v>17</v>
      </c>
      <c r="S31" s="773">
        <f t="shared" si="12"/>
        <v>100</v>
      </c>
      <c r="T31" s="772" t="s">
        <v>17</v>
      </c>
      <c r="U31" s="773">
        <f t="shared" si="13"/>
        <v>100</v>
      </c>
      <c r="V31" s="772" t="s">
        <v>17</v>
      </c>
      <c r="W31" s="773">
        <f t="shared" si="14"/>
        <v>100</v>
      </c>
      <c r="X31" s="1811"/>
      <c r="Y31" s="3243"/>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43"/>
      <c r="Q32" s="1808" t="str">
        <f t="shared" si="11"/>
        <v>公共部分装修</v>
      </c>
      <c r="R32" s="772" t="s">
        <v>17</v>
      </c>
      <c r="S32" s="773">
        <f t="shared" si="12"/>
        <v>100</v>
      </c>
      <c r="T32" s="772" t="s">
        <v>17</v>
      </c>
      <c r="U32" s="773">
        <f t="shared" si="13"/>
        <v>100</v>
      </c>
      <c r="V32" s="772" t="s">
        <v>17</v>
      </c>
      <c r="W32" s="773">
        <f t="shared" si="14"/>
        <v>100</v>
      </c>
      <c r="X32" s="1811"/>
      <c r="Y32" s="3243"/>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43"/>
      <c r="Q33" s="1808" t="str">
        <f t="shared" si="11"/>
        <v>成新度</v>
      </c>
      <c r="R33" s="772" t="s">
        <v>17</v>
      </c>
      <c r="S33" s="773" t="e">
        <f t="shared" si="12"/>
        <v>#N/A</v>
      </c>
      <c r="T33" s="772" t="s">
        <v>17</v>
      </c>
      <c r="U33" s="773" t="e">
        <f t="shared" si="13"/>
        <v>#N/A</v>
      </c>
      <c r="V33" s="772" t="s">
        <v>17</v>
      </c>
      <c r="W33" s="773" t="e">
        <f t="shared" si="14"/>
        <v>#N/A</v>
      </c>
      <c r="X33" s="1811"/>
      <c r="Y33" s="3243"/>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43"/>
      <c r="Q34" s="1793" t="str">
        <f t="shared" si="11"/>
        <v>物业管理</v>
      </c>
      <c r="R34" s="768" t="s">
        <v>17</v>
      </c>
      <c r="S34" s="769">
        <f t="shared" si="12"/>
        <v>100</v>
      </c>
      <c r="T34" s="768" t="s">
        <v>17</v>
      </c>
      <c r="U34" s="769">
        <f t="shared" si="13"/>
        <v>100</v>
      </c>
      <c r="V34" s="768" t="s">
        <v>17</v>
      </c>
      <c r="W34" s="769">
        <f t="shared" si="14"/>
        <v>100</v>
      </c>
      <c r="X34" s="770"/>
      <c r="Y34" s="3243"/>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43" t="s">
        <v>2566</v>
      </c>
      <c r="Q35" s="1808" t="str">
        <f t="shared" si="11"/>
        <v>市政基础设施</v>
      </c>
      <c r="R35" s="772" t="s">
        <v>17</v>
      </c>
      <c r="S35" s="773">
        <f t="shared" si="12"/>
        <v>100</v>
      </c>
      <c r="T35" s="772" t="s">
        <v>17</v>
      </c>
      <c r="U35" s="773">
        <f t="shared" si="13"/>
        <v>100</v>
      </c>
      <c r="V35" s="772" t="s">
        <v>17</v>
      </c>
      <c r="W35" s="773">
        <f t="shared" si="14"/>
        <v>100</v>
      </c>
      <c r="X35" s="1811"/>
      <c r="Y35" s="3243"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43"/>
      <c r="Q36" s="1808" t="str">
        <f t="shared" si="11"/>
        <v>内部装修</v>
      </c>
      <c r="R36" s="772" t="s">
        <v>17</v>
      </c>
      <c r="S36" s="773">
        <f t="shared" si="12"/>
        <v>100</v>
      </c>
      <c r="T36" s="772" t="s">
        <v>17</v>
      </c>
      <c r="U36" s="773">
        <f t="shared" si="13"/>
        <v>100</v>
      </c>
      <c r="V36" s="772" t="s">
        <v>17</v>
      </c>
      <c r="W36" s="773">
        <f t="shared" si="14"/>
        <v>100</v>
      </c>
      <c r="X36" s="1811"/>
      <c r="Y36" s="3243"/>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43"/>
      <c r="Q37" s="1808" t="str">
        <f t="shared" si="11"/>
        <v>内部装修状况</v>
      </c>
      <c r="R37" s="772" t="s">
        <v>17</v>
      </c>
      <c r="S37" s="773">
        <f t="shared" si="12"/>
        <v>100</v>
      </c>
      <c r="T37" s="772" t="s">
        <v>17</v>
      </c>
      <c r="U37" s="773">
        <f t="shared" si="13"/>
        <v>100</v>
      </c>
      <c r="V37" s="772" t="s">
        <v>17</v>
      </c>
      <c r="W37" s="773">
        <f t="shared" si="14"/>
        <v>100</v>
      </c>
      <c r="X37" s="1811"/>
      <c r="Y37" s="3243"/>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43"/>
      <c r="Q38" s="774">
        <f t="shared" si="11"/>
        <v>111</v>
      </c>
      <c r="R38" s="775" t="s">
        <v>17</v>
      </c>
      <c r="S38" s="776">
        <f t="shared" si="12"/>
        <v>100</v>
      </c>
      <c r="T38" s="775" t="s">
        <v>17</v>
      </c>
      <c r="U38" s="776">
        <f t="shared" si="13"/>
        <v>100</v>
      </c>
      <c r="V38" s="775" t="s">
        <v>17</v>
      </c>
      <c r="W38" s="776">
        <f t="shared" si="14"/>
        <v>100</v>
      </c>
      <c r="X38" s="777"/>
      <c r="Y38" s="3243"/>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43"/>
      <c r="Q39" s="1808">
        <f t="shared" si="11"/>
        <v>111</v>
      </c>
      <c r="R39" s="772" t="s">
        <v>17</v>
      </c>
      <c r="S39" s="773">
        <f t="shared" si="12"/>
        <v>100</v>
      </c>
      <c r="T39" s="772" t="s">
        <v>17</v>
      </c>
      <c r="U39" s="773">
        <f t="shared" si="13"/>
        <v>100</v>
      </c>
      <c r="V39" s="772" t="s">
        <v>17</v>
      </c>
      <c r="W39" s="773">
        <f t="shared" si="14"/>
        <v>100</v>
      </c>
      <c r="X39" s="1811"/>
      <c r="Y39" s="3243"/>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44"/>
      <c r="Q40" s="1808">
        <f t="shared" si="11"/>
        <v>111</v>
      </c>
      <c r="R40" s="772" t="s">
        <v>17</v>
      </c>
      <c r="S40" s="773">
        <f t="shared" si="12"/>
        <v>100</v>
      </c>
      <c r="T40" s="772" t="s">
        <v>17</v>
      </c>
      <c r="U40" s="773">
        <f t="shared" si="13"/>
        <v>100</v>
      </c>
      <c r="V40" s="772" t="s">
        <v>17</v>
      </c>
      <c r="W40" s="773">
        <f t="shared" si="14"/>
        <v>100</v>
      </c>
      <c r="X40" s="1811"/>
      <c r="Y40" s="3244"/>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1"/>
      <c r="L41" s="1141"/>
      <c r="M41" s="1142"/>
      <c r="N41" s="1129"/>
      <c r="O41" s="1142"/>
      <c r="P41" s="3245" t="str">
        <f>A41</f>
        <v>成交单价（元/平方米）</v>
      </c>
      <c r="Q41" s="3245"/>
      <c r="R41" s="3246">
        <f>E41</f>
        <v>0</v>
      </c>
      <c r="S41" s="3246"/>
      <c r="T41" s="3246">
        <f>G41</f>
        <v>0</v>
      </c>
      <c r="U41" s="3246"/>
      <c r="V41" s="3246">
        <f>I41</f>
        <v>0</v>
      </c>
      <c r="W41" s="3246"/>
      <c r="X41" s="757"/>
      <c r="Y41" s="779"/>
      <c r="Z41" s="757"/>
      <c r="AA41" s="757"/>
      <c r="AB41" s="757"/>
      <c r="AC41" s="757"/>
    </row>
    <row r="42" spans="1:29" ht="15.75" thickBot="1">
      <c r="A42" s="486" t="s">
        <v>2670</v>
      </c>
      <c r="B42" s="487"/>
      <c r="C42" s="1411" t="e">
        <f>R43</f>
        <v>#DIV/0!</v>
      </c>
      <c r="D42" s="1412"/>
      <c r="E42" s="1413" t="e">
        <f>R42</f>
        <v>#DIV/0!</v>
      </c>
      <c r="F42" s="1413"/>
      <c r="G42" s="1411" t="e">
        <f>T42</f>
        <v>#DIV/0!</v>
      </c>
      <c r="H42" s="1412"/>
      <c r="I42" s="1413" t="e">
        <f>V42</f>
        <v>#DIV/0!</v>
      </c>
      <c r="J42" s="1412"/>
      <c r="K42" s="782"/>
      <c r="L42" s="1141"/>
      <c r="M42" s="1142"/>
      <c r="N42" s="1129"/>
      <c r="O42" s="1142"/>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7"/>
      <c r="Y42" s="757"/>
      <c r="Z42" s="757"/>
      <c r="AA42" s="757"/>
      <c r="AB42" s="757"/>
      <c r="AC42" s="757"/>
    </row>
    <row r="43" spans="1:29" ht="15.75" thickBot="1">
      <c r="A43" s="492" t="s">
        <v>2671</v>
      </c>
      <c r="B43" s="493"/>
      <c r="C43" s="1415" t="e">
        <f>R43</f>
        <v>#DIV/0!</v>
      </c>
      <c r="D43" s="1415"/>
      <c r="E43" s="1415"/>
      <c r="F43" s="1415"/>
      <c r="G43" s="1415"/>
      <c r="H43" s="1415"/>
      <c r="I43" s="1415"/>
      <c r="J43" s="1415"/>
      <c r="K43" s="783"/>
      <c r="L43" s="1141"/>
      <c r="M43" s="1142"/>
      <c r="N43" s="1142"/>
      <c r="O43" s="1142"/>
      <c r="P43" s="3263" t="str">
        <f>A43</f>
        <v>估价对象XX用房的比较价值（楼面单价，元/平方米）</v>
      </c>
      <c r="Q43" s="3264"/>
      <c r="R43" s="3265" t="e">
        <f>IF(F1="售价",ROUND(AVERAGE(R42:V42),0),ROUND(AVERAGE(R42:V42),1))</f>
        <v>#DIV/0!</v>
      </c>
      <c r="S43" s="3265"/>
      <c r="T43" s="3265"/>
      <c r="U43" s="3265"/>
      <c r="V43" s="3265"/>
      <c r="W43" s="3265"/>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3"/>
      <c r="Q51" s="504"/>
    </row>
    <row r="52" spans="1:17" s="508" customFormat="1" ht="15">
      <c r="A52" s="505" t="s">
        <v>2549</v>
      </c>
      <c r="B52" s="506"/>
      <c r="C52" s="1572" t="str">
        <f>YEAR(C7)&amp;"-"&amp;MONTH(C7)</f>
        <v>2019-5</v>
      </c>
      <c r="D52" s="1573">
        <f>EDATE(C52,-1)</f>
        <v>43556</v>
      </c>
      <c r="E52" s="1573">
        <f t="shared" ref="E52:O52" si="16">EDATE(D52,-1)</f>
        <v>43525</v>
      </c>
      <c r="F52" s="1573">
        <f t="shared" si="16"/>
        <v>43497</v>
      </c>
      <c r="G52" s="1573">
        <f t="shared" si="16"/>
        <v>43466</v>
      </c>
      <c r="H52" s="1573">
        <f t="shared" si="16"/>
        <v>43435</v>
      </c>
      <c r="I52" s="1573">
        <f t="shared" si="16"/>
        <v>43405</v>
      </c>
      <c r="J52" s="1573">
        <f t="shared" si="16"/>
        <v>43374</v>
      </c>
      <c r="K52" s="1573">
        <f t="shared" si="16"/>
        <v>43344</v>
      </c>
      <c r="L52" s="1573">
        <f t="shared" si="16"/>
        <v>43313</v>
      </c>
      <c r="M52" s="1573">
        <f t="shared" si="16"/>
        <v>43282</v>
      </c>
      <c r="N52" s="1573">
        <f t="shared" si="16"/>
        <v>43252</v>
      </c>
      <c r="O52" s="1573">
        <f t="shared" si="16"/>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3"/>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3"/>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3"/>
      <c r="D2" s="1122" t="e">
        <f ca="1">SUMIF(INDIRECT("'"&amp;F2&amp;"'"&amp;"!A:A"),"承租人权益价值",INDIRECT("'"&amp;F2&amp;"'"&amp;"!c:c"))</f>
        <v>#REF!</v>
      </c>
      <c r="E2" s="2584" t="s">
        <v>2329</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59" t="s">
        <v>2652</v>
      </c>
      <c r="Q4" s="3260"/>
      <c r="R4" s="3255" t="s">
        <v>2648</v>
      </c>
      <c r="S4" s="3256"/>
      <c r="T4" s="3255" t="s">
        <v>2649</v>
      </c>
      <c r="U4" s="3256"/>
      <c r="V4" s="3233" t="s">
        <v>2650</v>
      </c>
      <c r="W4" s="3233"/>
      <c r="X4" s="1811"/>
      <c r="Y4" s="3255" t="s">
        <v>2652</v>
      </c>
      <c r="Z4" s="3256"/>
      <c r="AA4" s="3254" t="s">
        <v>2648</v>
      </c>
      <c r="AB4" s="3200" t="s">
        <v>2649</v>
      </c>
      <c r="AC4" s="3254" t="s">
        <v>2650</v>
      </c>
    </row>
    <row r="5" spans="1:29" ht="15">
      <c r="A5" s="404"/>
      <c r="B5" s="405"/>
      <c r="C5" s="3258" t="s">
        <v>2543</v>
      </c>
      <c r="D5" s="3211"/>
      <c r="E5" s="3289" t="s">
        <v>2544</v>
      </c>
      <c r="F5" s="3257"/>
      <c r="G5" s="3258" t="s">
        <v>2545</v>
      </c>
      <c r="H5" s="3211"/>
      <c r="I5" s="3258" t="s">
        <v>2546</v>
      </c>
      <c r="J5" s="3211"/>
      <c r="K5" s="610"/>
      <c r="L5" s="1128"/>
      <c r="M5" s="1129"/>
      <c r="N5" s="1129"/>
      <c r="O5" s="1129"/>
      <c r="P5" s="3261"/>
      <c r="Q5" s="3227"/>
      <c r="R5" s="3206"/>
      <c r="S5" s="3207"/>
      <c r="T5" s="3206"/>
      <c r="U5" s="3207"/>
      <c r="V5" s="3233"/>
      <c r="W5" s="3233"/>
      <c r="X5" s="1811"/>
      <c r="Y5" s="3206"/>
      <c r="Z5" s="3207"/>
      <c r="AA5" s="3200"/>
      <c r="AB5" s="3200"/>
      <c r="AC5" s="3200"/>
    </row>
    <row r="6" spans="1:29" ht="15.75" thickBot="1">
      <c r="A6" s="406"/>
      <c r="B6" s="407"/>
      <c r="C6" s="3212" t="s">
        <v>2547</v>
      </c>
      <c r="D6" s="3213"/>
      <c r="E6" s="3214" t="s">
        <v>2547</v>
      </c>
      <c r="F6" s="3215"/>
      <c r="G6" s="3212" t="s">
        <v>2547</v>
      </c>
      <c r="H6" s="3213"/>
      <c r="I6" s="3212" t="s">
        <v>2547</v>
      </c>
      <c r="J6" s="3213"/>
      <c r="K6" s="610" t="s">
        <v>2548</v>
      </c>
      <c r="L6" s="1128"/>
      <c r="M6" s="1129"/>
      <c r="N6" s="1129"/>
      <c r="O6" s="1129"/>
      <c r="P6" s="3262"/>
      <c r="Q6" s="3229"/>
      <c r="R6" s="3206"/>
      <c r="S6" s="3207"/>
      <c r="T6" s="3230"/>
      <c r="U6" s="3231"/>
      <c r="V6" s="3233"/>
      <c r="W6" s="3233"/>
      <c r="X6" s="1811"/>
      <c r="Y6" s="3230"/>
      <c r="Z6" s="3231"/>
      <c r="AA6" s="3201"/>
      <c r="AB6" s="3201"/>
      <c r="AC6" s="3201"/>
    </row>
    <row r="7" spans="1:29" s="117" customFormat="1" ht="15.75" thickBot="1">
      <c r="A7" s="408" t="s">
        <v>2549</v>
      </c>
      <c r="B7" s="409"/>
      <c r="C7" s="410">
        <f>'数据-取费表'!B2</f>
        <v>43602</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202" t="s">
        <v>2550</v>
      </c>
      <c r="Q7" s="3235"/>
      <c r="R7" s="768" t="s">
        <v>17</v>
      </c>
      <c r="S7" s="769">
        <f t="shared" ref="S7:S14" si="0">F7</f>
        <v>0</v>
      </c>
      <c r="T7" s="768" t="s">
        <v>17</v>
      </c>
      <c r="U7" s="769">
        <f t="shared" ref="U7:U14" si="1">H7</f>
        <v>0</v>
      </c>
      <c r="V7" s="768" t="s">
        <v>17</v>
      </c>
      <c r="W7" s="769">
        <f t="shared" ref="W7:W14" si="2">J7</f>
        <v>0</v>
      </c>
      <c r="X7" s="770"/>
      <c r="Y7" s="3202" t="s">
        <v>2550</v>
      </c>
      <c r="Z7" s="3203"/>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02" t="s">
        <v>2553</v>
      </c>
      <c r="Q8" s="3203"/>
      <c r="R8" s="768" t="s">
        <v>17</v>
      </c>
      <c r="S8" s="769">
        <f t="shared" si="0"/>
        <v>0</v>
      </c>
      <c r="T8" s="768" t="s">
        <v>17</v>
      </c>
      <c r="U8" s="769">
        <f t="shared" si="1"/>
        <v>0</v>
      </c>
      <c r="V8" s="768" t="s">
        <v>17</v>
      </c>
      <c r="W8" s="769">
        <f t="shared" si="2"/>
        <v>0</v>
      </c>
      <c r="X8" s="770"/>
      <c r="Y8" s="3202" t="s">
        <v>2553</v>
      </c>
      <c r="Z8" s="3203"/>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45" t="s">
        <v>2556</v>
      </c>
      <c r="Q9" s="1793" t="str">
        <f t="shared" ref="Q9:Q14" si="6">B9</f>
        <v>用途</v>
      </c>
      <c r="R9" s="768" t="s">
        <v>17</v>
      </c>
      <c r="S9" s="769">
        <f t="shared" si="0"/>
        <v>100</v>
      </c>
      <c r="T9" s="768" t="s">
        <v>17</v>
      </c>
      <c r="U9" s="769">
        <f t="shared" si="1"/>
        <v>100</v>
      </c>
      <c r="V9" s="768" t="s">
        <v>17</v>
      </c>
      <c r="W9" s="769">
        <f t="shared" si="2"/>
        <v>100</v>
      </c>
      <c r="X9" s="770"/>
      <c r="Y9" s="3071"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45"/>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45"/>
      <c r="Q11" s="1793">
        <f t="shared" si="6"/>
        <v>111</v>
      </c>
      <c r="R11" s="768" t="s">
        <v>17</v>
      </c>
      <c r="S11" s="769">
        <f t="shared" si="0"/>
        <v>100</v>
      </c>
      <c r="T11" s="768" t="s">
        <v>17</v>
      </c>
      <c r="U11" s="769">
        <f t="shared" si="1"/>
        <v>100</v>
      </c>
      <c r="V11" s="768" t="s">
        <v>17</v>
      </c>
      <c r="W11" s="769">
        <f t="shared" si="2"/>
        <v>100</v>
      </c>
      <c r="X11" s="770"/>
      <c r="Y11" s="3071"/>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45"/>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245"/>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85.5">
      <c r="A14" s="440" t="s">
        <v>2560</v>
      </c>
      <c r="B14" s="69" t="s">
        <v>2710</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38" t="s">
        <v>2561</v>
      </c>
      <c r="Q14" s="1808" t="str">
        <f t="shared" si="6"/>
        <v>交通便捷度</v>
      </c>
      <c r="R14" s="772" t="s">
        <v>17</v>
      </c>
      <c r="S14" s="773">
        <f t="shared" si="0"/>
        <v>100</v>
      </c>
      <c r="T14" s="772" t="s">
        <v>17</v>
      </c>
      <c r="U14" s="773">
        <f t="shared" si="1"/>
        <v>100</v>
      </c>
      <c r="V14" s="772" t="s">
        <v>17</v>
      </c>
      <c r="W14" s="773">
        <f t="shared" si="2"/>
        <v>100</v>
      </c>
      <c r="X14" s="1811"/>
      <c r="Y14" s="3238"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39"/>
      <c r="Q15" s="1808"/>
      <c r="R15" s="772"/>
      <c r="S15" s="773"/>
      <c r="T15" s="772"/>
      <c r="U15" s="773"/>
      <c r="V15" s="772"/>
      <c r="W15" s="773"/>
      <c r="X15" s="1811"/>
      <c r="Y15" s="3239"/>
      <c r="Z15" s="1812"/>
      <c r="AA15" s="1809">
        <v>1</v>
      </c>
      <c r="AB15" s="1809">
        <v>1</v>
      </c>
      <c r="AC15" s="1809">
        <v>1</v>
      </c>
    </row>
    <row r="16" spans="1:29" ht="42.75">
      <c r="A16" s="428"/>
      <c r="B16" s="451" t="s">
        <v>2689</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39"/>
      <c r="Q16" s="1808" t="str">
        <f>B16</f>
        <v>公共配套设施</v>
      </c>
      <c r="R16" s="772" t="s">
        <v>17</v>
      </c>
      <c r="S16" s="773">
        <f>F16</f>
        <v>100</v>
      </c>
      <c r="T16" s="772" t="s">
        <v>17</v>
      </c>
      <c r="U16" s="773">
        <f>H16</f>
        <v>100</v>
      </c>
      <c r="V16" s="772" t="s">
        <v>17</v>
      </c>
      <c r="W16" s="773">
        <f>J16</f>
        <v>100</v>
      </c>
      <c r="X16" s="1811"/>
      <c r="Y16" s="3239"/>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8"/>
      <c r="M17" s="1129"/>
      <c r="N17" s="1129"/>
      <c r="O17" s="1137"/>
      <c r="P17" s="3239"/>
      <c r="Q17" s="1808"/>
      <c r="R17" s="772"/>
      <c r="S17" s="773"/>
      <c r="T17" s="772"/>
      <c r="U17" s="773"/>
      <c r="V17" s="772"/>
      <c r="W17" s="773"/>
      <c r="X17" s="1811"/>
      <c r="Y17" s="3239"/>
      <c r="Z17" s="1812"/>
      <c r="AA17" s="1809">
        <v>1</v>
      </c>
      <c r="AB17" s="1809">
        <v>1</v>
      </c>
      <c r="AC17" s="1809">
        <v>1</v>
      </c>
    </row>
    <row r="18" spans="1:29" ht="28.5">
      <c r="A18" s="428"/>
      <c r="B18" s="1382" t="s">
        <v>2690</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39"/>
      <c r="Q18" s="1808" t="str">
        <f>B18</f>
        <v>基础设施水平</v>
      </c>
      <c r="R18" s="772" t="s">
        <v>17</v>
      </c>
      <c r="S18" s="773">
        <f>F18</f>
        <v>100</v>
      </c>
      <c r="T18" s="772" t="s">
        <v>17</v>
      </c>
      <c r="U18" s="773">
        <f>H18</f>
        <v>100</v>
      </c>
      <c r="V18" s="772" t="s">
        <v>17</v>
      </c>
      <c r="W18" s="773">
        <f>J18</f>
        <v>100</v>
      </c>
      <c r="X18" s="1811"/>
      <c r="Y18" s="3239"/>
      <c r="Z18" s="1812" t="str">
        <f>Q18</f>
        <v>基础设施水平</v>
      </c>
      <c r="AA18" s="1809">
        <f t="shared" ref="AA18" si="8">D18/F18</f>
        <v>1</v>
      </c>
      <c r="AB18" s="1809">
        <f t="shared" ref="AB18" si="9">D18/H18</f>
        <v>1</v>
      </c>
      <c r="AC18" s="1809">
        <f t="shared" ref="AC18" si="10">D18/J18</f>
        <v>1</v>
      </c>
    </row>
    <row r="19" spans="1:29" ht="15">
      <c r="A19" s="428"/>
      <c r="B19" s="1382"/>
      <c r="C19" s="2605"/>
      <c r="D19" s="450"/>
      <c r="E19" s="2605"/>
      <c r="F19" s="453"/>
      <c r="G19" s="2605"/>
      <c r="H19" s="448"/>
      <c r="I19" s="447"/>
      <c r="J19" s="448"/>
      <c r="K19" s="1381"/>
      <c r="L19" s="1138"/>
      <c r="M19" s="1129"/>
      <c r="N19" s="1129"/>
      <c r="O19" s="1137"/>
      <c r="P19" s="3239"/>
      <c r="Q19" s="1808"/>
      <c r="R19" s="772"/>
      <c r="S19" s="773"/>
      <c r="T19" s="772"/>
      <c r="U19" s="773"/>
      <c r="V19" s="772"/>
      <c r="W19" s="773"/>
      <c r="X19" s="1811"/>
      <c r="Y19" s="3239"/>
      <c r="Z19" s="1812"/>
      <c r="AA19" s="1809">
        <v>1</v>
      </c>
      <c r="AB19" s="1809">
        <v>1</v>
      </c>
      <c r="AC19" s="1809">
        <v>1</v>
      </c>
    </row>
    <row r="20" spans="1:29" ht="57">
      <c r="A20" s="428"/>
      <c r="B20" s="451" t="s">
        <v>2711</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39"/>
      <c r="Q20" s="1808" t="str">
        <f>B20</f>
        <v>自然及人文环境</v>
      </c>
      <c r="R20" s="772" t="s">
        <v>17</v>
      </c>
      <c r="S20" s="773">
        <f>F20</f>
        <v>100</v>
      </c>
      <c r="T20" s="772" t="s">
        <v>17</v>
      </c>
      <c r="U20" s="773">
        <f>H20</f>
        <v>100</v>
      </c>
      <c r="V20" s="772" t="s">
        <v>17</v>
      </c>
      <c r="W20" s="773">
        <f>J20</f>
        <v>100</v>
      </c>
      <c r="X20" s="1811"/>
      <c r="Y20" s="323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39"/>
      <c r="Q21" s="1808"/>
      <c r="R21" s="772"/>
      <c r="S21" s="773"/>
      <c r="T21" s="772"/>
      <c r="U21" s="773"/>
      <c r="V21" s="772"/>
      <c r="W21" s="773"/>
      <c r="X21" s="1811"/>
      <c r="Y21" s="3239"/>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39"/>
      <c r="Q22" s="1808" t="str">
        <f>B22</f>
        <v>楼层</v>
      </c>
      <c r="R22" s="772" t="s">
        <v>17</v>
      </c>
      <c r="S22" s="773">
        <f>F22</f>
        <v>100</v>
      </c>
      <c r="T22" s="772" t="s">
        <v>17</v>
      </c>
      <c r="U22" s="773">
        <f>H22</f>
        <v>100</v>
      </c>
      <c r="V22" s="772" t="s">
        <v>17</v>
      </c>
      <c r="W22" s="773">
        <f>J22</f>
        <v>100</v>
      </c>
      <c r="X22" s="1811"/>
      <c r="Y22" s="3239"/>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39"/>
      <c r="Q23" s="1808">
        <f>B23</f>
        <v>111</v>
      </c>
      <c r="R23" s="772" t="s">
        <v>17</v>
      </c>
      <c r="S23" s="773">
        <f>F23</f>
        <v>100</v>
      </c>
      <c r="T23" s="772" t="s">
        <v>17</v>
      </c>
      <c r="U23" s="773">
        <f>H23</f>
        <v>100</v>
      </c>
      <c r="V23" s="772" t="s">
        <v>17</v>
      </c>
      <c r="W23" s="773">
        <f>J23</f>
        <v>100</v>
      </c>
      <c r="X23" s="1811"/>
      <c r="Y23" s="3239"/>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39"/>
      <c r="Q24" s="1808">
        <f t="shared" ref="Q24:Q34" si="11">B24</f>
        <v>111</v>
      </c>
      <c r="R24" s="772" t="s">
        <v>17</v>
      </c>
      <c r="S24" s="773">
        <f>F24</f>
        <v>100</v>
      </c>
      <c r="T24" s="772" t="s">
        <v>17</v>
      </c>
      <c r="U24" s="773">
        <f>H24</f>
        <v>100</v>
      </c>
      <c r="V24" s="772" t="s">
        <v>17</v>
      </c>
      <c r="W24" s="773">
        <f>J24</f>
        <v>100</v>
      </c>
      <c r="X24" s="1811"/>
      <c r="Y24" s="3239"/>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239"/>
      <c r="Q25" s="1793">
        <f t="shared" si="11"/>
        <v>111</v>
      </c>
      <c r="R25" s="768" t="s">
        <v>17</v>
      </c>
      <c r="S25" s="769">
        <f>F25</f>
        <v>100</v>
      </c>
      <c r="T25" s="768" t="s">
        <v>17</v>
      </c>
      <c r="U25" s="769">
        <f>H25</f>
        <v>100</v>
      </c>
      <c r="V25" s="768" t="s">
        <v>17</v>
      </c>
      <c r="W25" s="769">
        <f>J25</f>
        <v>100</v>
      </c>
      <c r="X25" s="770"/>
      <c r="Y25" s="3239"/>
      <c r="Z25" s="55">
        <f>Q25</f>
        <v>111</v>
      </c>
      <c r="AA25" s="1809">
        <f>D25/F25</f>
        <v>1</v>
      </c>
      <c r="AB25" s="1809">
        <f>D25/H25</f>
        <v>1</v>
      </c>
      <c r="AC25" s="1809">
        <f>D25/J25</f>
        <v>1</v>
      </c>
    </row>
    <row r="26" spans="1:29" ht="28.5">
      <c r="A26" s="466" t="s">
        <v>2564</v>
      </c>
      <c r="B26" s="71" t="s">
        <v>2715</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66"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3"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43"/>
      <c r="Q27" s="774" t="str">
        <f t="shared" si="11"/>
        <v>成新率</v>
      </c>
      <c r="R27" s="775" t="s">
        <v>17</v>
      </c>
      <c r="S27" s="776" t="e">
        <f t="shared" si="12"/>
        <v>#N/A</v>
      </c>
      <c r="T27" s="775" t="s">
        <v>17</v>
      </c>
      <c r="U27" s="776" t="e">
        <f t="shared" si="13"/>
        <v>#N/A</v>
      </c>
      <c r="V27" s="775" t="s">
        <v>17</v>
      </c>
      <c r="W27" s="776" t="e">
        <f t="shared" si="14"/>
        <v>#N/A</v>
      </c>
      <c r="X27" s="777"/>
      <c r="Y27" s="3243"/>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43"/>
      <c r="Q28" s="1808" t="str">
        <f t="shared" si="11"/>
        <v>物业等级</v>
      </c>
      <c r="R28" s="772" t="s">
        <v>17</v>
      </c>
      <c r="S28" s="773">
        <f t="shared" si="12"/>
        <v>100</v>
      </c>
      <c r="T28" s="772" t="s">
        <v>17</v>
      </c>
      <c r="U28" s="773">
        <f t="shared" si="13"/>
        <v>100</v>
      </c>
      <c r="V28" s="772" t="s">
        <v>17</v>
      </c>
      <c r="W28" s="773">
        <f t="shared" si="14"/>
        <v>100</v>
      </c>
      <c r="X28" s="1811"/>
      <c r="Y28" s="3243"/>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43"/>
      <c r="Q29" s="1808" t="str">
        <f t="shared" si="11"/>
        <v>有无电梯</v>
      </c>
      <c r="R29" s="772" t="s">
        <v>17</v>
      </c>
      <c r="S29" s="773">
        <f t="shared" si="12"/>
        <v>100</v>
      </c>
      <c r="T29" s="772" t="s">
        <v>17</v>
      </c>
      <c r="U29" s="773">
        <f t="shared" si="13"/>
        <v>100</v>
      </c>
      <c r="V29" s="772" t="s">
        <v>17</v>
      </c>
      <c r="W29" s="773">
        <f t="shared" si="14"/>
        <v>100</v>
      </c>
      <c r="X29" s="1811"/>
      <c r="Y29" s="3243"/>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43"/>
      <c r="Q30" s="1808" t="str">
        <f t="shared" si="11"/>
        <v>建筑面积</v>
      </c>
      <c r="R30" s="772" t="s">
        <v>17</v>
      </c>
      <c r="S30" s="773" t="e">
        <f t="shared" si="12"/>
        <v>#N/A</v>
      </c>
      <c r="T30" s="772" t="s">
        <v>17</v>
      </c>
      <c r="U30" s="773" t="e">
        <f t="shared" si="13"/>
        <v>#N/A</v>
      </c>
      <c r="V30" s="772" t="s">
        <v>17</v>
      </c>
      <c r="W30" s="773" t="e">
        <f t="shared" si="14"/>
        <v>#N/A</v>
      </c>
      <c r="X30" s="1811"/>
      <c r="Y30" s="3243"/>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43"/>
      <c r="Q31" s="1793" t="str">
        <f t="shared" si="11"/>
        <v>是否封闭</v>
      </c>
      <c r="R31" s="768" t="s">
        <v>17</v>
      </c>
      <c r="S31" s="769">
        <f t="shared" si="12"/>
        <v>100</v>
      </c>
      <c r="T31" s="768" t="s">
        <v>17</v>
      </c>
      <c r="U31" s="769">
        <f t="shared" si="13"/>
        <v>100</v>
      </c>
      <c r="V31" s="768" t="s">
        <v>17</v>
      </c>
      <c r="W31" s="769">
        <f t="shared" si="14"/>
        <v>100</v>
      </c>
      <c r="X31" s="770"/>
      <c r="Y31" s="3243"/>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43" t="s">
        <v>2566</v>
      </c>
      <c r="Q32" s="1808">
        <f t="shared" si="11"/>
        <v>111</v>
      </c>
      <c r="R32" s="772" t="s">
        <v>17</v>
      </c>
      <c r="S32" s="773">
        <f t="shared" si="12"/>
        <v>100</v>
      </c>
      <c r="T32" s="772" t="s">
        <v>17</v>
      </c>
      <c r="U32" s="773">
        <f t="shared" si="13"/>
        <v>100</v>
      </c>
      <c r="V32" s="772" t="s">
        <v>17</v>
      </c>
      <c r="W32" s="773">
        <f t="shared" si="14"/>
        <v>100</v>
      </c>
      <c r="X32" s="1811"/>
      <c r="Y32" s="3243" t="s">
        <v>2566</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43"/>
      <c r="Q33" s="1808">
        <f t="shared" si="11"/>
        <v>111</v>
      </c>
      <c r="R33" s="772" t="s">
        <v>17</v>
      </c>
      <c r="S33" s="773">
        <f t="shared" si="12"/>
        <v>100</v>
      </c>
      <c r="T33" s="772" t="s">
        <v>17</v>
      </c>
      <c r="U33" s="773">
        <f t="shared" si="13"/>
        <v>100</v>
      </c>
      <c r="V33" s="772" t="s">
        <v>17</v>
      </c>
      <c r="W33" s="773">
        <f t="shared" si="14"/>
        <v>100</v>
      </c>
      <c r="X33" s="1811"/>
      <c r="Y33" s="3243"/>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243"/>
      <c r="Q34" s="1808">
        <f t="shared" si="11"/>
        <v>111</v>
      </c>
      <c r="R34" s="772" t="s">
        <v>17</v>
      </c>
      <c r="S34" s="773">
        <f t="shared" si="12"/>
        <v>100</v>
      </c>
      <c r="T34" s="772" t="s">
        <v>17</v>
      </c>
      <c r="U34" s="773">
        <f t="shared" si="13"/>
        <v>100</v>
      </c>
      <c r="V34" s="772" t="s">
        <v>17</v>
      </c>
      <c r="W34" s="773">
        <f t="shared" si="14"/>
        <v>100</v>
      </c>
      <c r="X34" s="1811"/>
      <c r="Y34" s="3243"/>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1"/>
      <c r="L35" s="1141"/>
      <c r="M35" s="1142"/>
      <c r="N35" s="1129"/>
      <c r="O35" s="1142"/>
      <c r="P35" s="3245" t="str">
        <f>A35</f>
        <v>成交单价（元/平方米）</v>
      </c>
      <c r="Q35" s="3245"/>
      <c r="R35" s="3246">
        <f>E35</f>
        <v>0</v>
      </c>
      <c r="S35" s="3246"/>
      <c r="T35" s="3246">
        <f>G35</f>
        <v>0</v>
      </c>
      <c r="U35" s="3246"/>
      <c r="V35" s="3246">
        <f>I35</f>
        <v>0</v>
      </c>
      <c r="W35" s="3246"/>
      <c r="X35" s="757"/>
      <c r="Y35" s="779"/>
      <c r="Z35" s="757"/>
      <c r="AA35" s="757"/>
      <c r="AB35" s="757"/>
      <c r="AC35" s="757"/>
    </row>
    <row r="36" spans="1:29" ht="15.75" thickBot="1">
      <c r="A36" s="486" t="s">
        <v>2670</v>
      </c>
      <c r="B36" s="487"/>
      <c r="C36" s="1411" t="e">
        <f>R37</f>
        <v>#DIV/0!</v>
      </c>
      <c r="D36" s="1412"/>
      <c r="E36" s="1413" t="e">
        <f>R36</f>
        <v>#DIV/0!</v>
      </c>
      <c r="F36" s="1413"/>
      <c r="G36" s="1411" t="e">
        <f>T36</f>
        <v>#DIV/0!</v>
      </c>
      <c r="H36" s="1412"/>
      <c r="I36" s="1413" t="e">
        <f>V36</f>
        <v>#DIV/0!</v>
      </c>
      <c r="J36" s="1412"/>
      <c r="K36" s="782"/>
      <c r="L36" s="1141"/>
      <c r="M36" s="1142"/>
      <c r="N36" s="1129"/>
      <c r="O36" s="1142"/>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7"/>
      <c r="Y36" s="757"/>
      <c r="Z36" s="757"/>
      <c r="AA36" s="757"/>
      <c r="AB36" s="757"/>
      <c r="AC36" s="757"/>
    </row>
    <row r="37" spans="1:29" ht="15.75" thickBot="1">
      <c r="A37" s="492" t="s">
        <v>2671</v>
      </c>
      <c r="B37" s="493"/>
      <c r="C37" s="1415" t="e">
        <f>R37</f>
        <v>#DIV/0!</v>
      </c>
      <c r="D37" s="1415"/>
      <c r="E37" s="1415"/>
      <c r="F37" s="1415"/>
      <c r="G37" s="1415"/>
      <c r="H37" s="1415"/>
      <c r="I37" s="1415"/>
      <c r="J37" s="1415"/>
      <c r="K37" s="783"/>
      <c r="L37" s="1141"/>
      <c r="M37" s="1142"/>
      <c r="N37" s="1142"/>
      <c r="O37" s="1142"/>
      <c r="P37" s="3263" t="str">
        <f>A37</f>
        <v>估价对象XX用房的比较价值（楼面单价，元/平方米）</v>
      </c>
      <c r="Q37" s="3264"/>
      <c r="R37" s="3265" t="e">
        <f>IF(F1="售价",ROUND(AVERAGE(R36:V36),0),ROUND(AVERAGE(R36:V36),1))</f>
        <v>#DIV/0!</v>
      </c>
      <c r="S37" s="3265"/>
      <c r="T37" s="3265"/>
      <c r="U37" s="3265"/>
      <c r="V37" s="3265"/>
      <c r="W37" s="3265"/>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2" t="str">
        <f>YEAR(C7)&amp;"-"&amp;MONTH(C7)</f>
        <v>2019-5</v>
      </c>
      <c r="D46" s="1573">
        <f>EDATE(C46,-1)</f>
        <v>43556</v>
      </c>
      <c r="E46" s="1573">
        <f t="shared" ref="E46:O46" si="16">EDATE(D46,-1)</f>
        <v>43525</v>
      </c>
      <c r="F46" s="1573">
        <f t="shared" si="16"/>
        <v>43497</v>
      </c>
      <c r="G46" s="1573">
        <f t="shared" si="16"/>
        <v>43466</v>
      </c>
      <c r="H46" s="1573">
        <f t="shared" si="16"/>
        <v>43435</v>
      </c>
      <c r="I46" s="1573">
        <f t="shared" si="16"/>
        <v>43405</v>
      </c>
      <c r="J46" s="1573">
        <f t="shared" si="16"/>
        <v>43374</v>
      </c>
      <c r="K46" s="1573">
        <f t="shared" si="16"/>
        <v>43344</v>
      </c>
      <c r="L46" s="1573">
        <f t="shared" si="16"/>
        <v>43313</v>
      </c>
      <c r="M46" s="1573">
        <f t="shared" si="16"/>
        <v>43282</v>
      </c>
      <c r="N46" s="1573">
        <f t="shared" si="16"/>
        <v>43252</v>
      </c>
      <c r="O46" s="1573">
        <f t="shared" si="16"/>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2646</v>
      </c>
      <c r="B4" s="402"/>
      <c r="C4" s="3220" t="s">
        <v>2647</v>
      </c>
      <c r="D4" s="3221"/>
      <c r="E4" s="3222" t="s">
        <v>2648</v>
      </c>
      <c r="F4" s="3223"/>
      <c r="G4" s="3220" t="s">
        <v>2649</v>
      </c>
      <c r="H4" s="3221"/>
      <c r="I4" s="3220" t="s">
        <v>2650</v>
      </c>
      <c r="J4" s="3221"/>
      <c r="K4" s="610" t="s">
        <v>2651</v>
      </c>
      <c r="L4" s="1128"/>
      <c r="M4" s="1129"/>
      <c r="N4" s="1129"/>
      <c r="O4" s="1129"/>
      <c r="P4" s="3259" t="s">
        <v>2652</v>
      </c>
      <c r="Q4" s="3260"/>
      <c r="R4" s="3255" t="s">
        <v>2648</v>
      </c>
      <c r="S4" s="3256"/>
      <c r="T4" s="3255" t="s">
        <v>2649</v>
      </c>
      <c r="U4" s="3256"/>
      <c r="V4" s="3233" t="s">
        <v>2650</v>
      </c>
      <c r="W4" s="3233"/>
      <c r="X4" s="1811"/>
      <c r="Y4" s="3255" t="s">
        <v>2652</v>
      </c>
      <c r="Z4" s="3256"/>
      <c r="AA4" s="3254" t="s">
        <v>2648</v>
      </c>
      <c r="AB4" s="3200" t="s">
        <v>2649</v>
      </c>
      <c r="AC4" s="3254" t="s">
        <v>2650</v>
      </c>
    </row>
    <row r="5" spans="1:30" ht="15">
      <c r="A5" s="404"/>
      <c r="B5" s="405"/>
      <c r="C5" s="3258" t="s">
        <v>2543</v>
      </c>
      <c r="D5" s="3211"/>
      <c r="E5" s="3289" t="s">
        <v>2544</v>
      </c>
      <c r="F5" s="3257"/>
      <c r="G5" s="3258" t="s">
        <v>2545</v>
      </c>
      <c r="H5" s="3211"/>
      <c r="I5" s="3258" t="s">
        <v>2546</v>
      </c>
      <c r="J5" s="3211"/>
      <c r="K5" s="610"/>
      <c r="L5" s="1128"/>
      <c r="M5" s="1129"/>
      <c r="N5" s="1129"/>
      <c r="O5" s="1129"/>
      <c r="P5" s="3261"/>
      <c r="Q5" s="3227"/>
      <c r="R5" s="3206"/>
      <c r="S5" s="3207"/>
      <c r="T5" s="3206"/>
      <c r="U5" s="3207"/>
      <c r="V5" s="3233"/>
      <c r="W5" s="3233"/>
      <c r="X5" s="1811"/>
      <c r="Y5" s="3206"/>
      <c r="Z5" s="3207"/>
      <c r="AA5" s="3200"/>
      <c r="AB5" s="3200"/>
      <c r="AC5" s="3200"/>
    </row>
    <row r="6" spans="1:30" ht="15.75" thickBot="1">
      <c r="A6" s="406"/>
      <c r="B6" s="407"/>
      <c r="C6" s="3212" t="s">
        <v>2547</v>
      </c>
      <c r="D6" s="3213"/>
      <c r="E6" s="3214" t="s">
        <v>2547</v>
      </c>
      <c r="F6" s="3215"/>
      <c r="G6" s="3212" t="s">
        <v>2547</v>
      </c>
      <c r="H6" s="3213"/>
      <c r="I6" s="3212" t="s">
        <v>2547</v>
      </c>
      <c r="J6" s="3213"/>
      <c r="K6" s="610" t="s">
        <v>2548</v>
      </c>
      <c r="L6" s="1128"/>
      <c r="M6" s="1129"/>
      <c r="N6" s="1129"/>
      <c r="O6" s="1129"/>
      <c r="P6" s="3262"/>
      <c r="Q6" s="3229"/>
      <c r="R6" s="3206"/>
      <c r="S6" s="3207"/>
      <c r="T6" s="3230"/>
      <c r="U6" s="3231"/>
      <c r="V6" s="3233"/>
      <c r="W6" s="3233"/>
      <c r="X6" s="1811"/>
      <c r="Y6" s="3230"/>
      <c r="Z6" s="3231"/>
      <c r="AA6" s="3201"/>
      <c r="AB6" s="3201"/>
      <c r="AC6" s="3201"/>
    </row>
    <row r="7" spans="1:30" s="117" customFormat="1" ht="15.75" thickBot="1">
      <c r="A7" s="408" t="s">
        <v>2549</v>
      </c>
      <c r="B7" s="409"/>
      <c r="C7" s="410">
        <f>'数据-取费表'!B2</f>
        <v>43602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202" t="s">
        <v>2550</v>
      </c>
      <c r="Q7" s="3235"/>
      <c r="R7" s="768" t="s">
        <v>17</v>
      </c>
      <c r="S7" s="769">
        <f t="shared" ref="S7:S15" si="0">F7</f>
        <v>0</v>
      </c>
      <c r="T7" s="768" t="s">
        <v>17</v>
      </c>
      <c r="U7" s="769">
        <f t="shared" ref="U7:U15" si="1">H7</f>
        <v>0</v>
      </c>
      <c r="V7" s="768" t="s">
        <v>17</v>
      </c>
      <c r="W7" s="769">
        <f t="shared" ref="W7:W15" si="2">J7</f>
        <v>0</v>
      </c>
      <c r="X7" s="770"/>
      <c r="Y7" s="3202" t="s">
        <v>2550</v>
      </c>
      <c r="Z7" s="3203"/>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02" t="s">
        <v>2553</v>
      </c>
      <c r="Q8" s="3203"/>
      <c r="R8" s="768" t="s">
        <v>17</v>
      </c>
      <c r="S8" s="769">
        <f t="shared" si="0"/>
        <v>0</v>
      </c>
      <c r="T8" s="768" t="s">
        <v>17</v>
      </c>
      <c r="U8" s="769">
        <f t="shared" si="1"/>
        <v>0</v>
      </c>
      <c r="V8" s="768" t="s">
        <v>17</v>
      </c>
      <c r="W8" s="769">
        <f t="shared" si="2"/>
        <v>0</v>
      </c>
      <c r="X8" s="770"/>
      <c r="Y8" s="3202" t="s">
        <v>2553</v>
      </c>
      <c r="Z8" s="3203"/>
      <c r="AA8" s="771" t="e">
        <f t="shared" ref="AA8:AA45" si="3">D8/F8</f>
        <v>#DIV/0!</v>
      </c>
      <c r="AB8" s="771" t="e">
        <f t="shared" ref="AB8:AB45" si="4">D8/H8</f>
        <v>#DIV/0!</v>
      </c>
      <c r="AC8" s="771" t="e">
        <f t="shared" ref="AC8:AC45" si="5">D8/J8</f>
        <v>#DIV/0!</v>
      </c>
    </row>
    <row r="9" spans="1:30" s="117" customFormat="1">
      <c r="A9" s="415" t="s">
        <v>2554</v>
      </c>
      <c r="B9" s="71" t="s">
        <v>2555</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245" t="s">
        <v>2556</v>
      </c>
      <c r="Q9" s="1793" t="str">
        <f t="shared" ref="Q9:Q15" si="6">B9</f>
        <v>用途</v>
      </c>
      <c r="R9" s="768" t="s">
        <v>17</v>
      </c>
      <c r="S9" s="769">
        <f t="shared" si="0"/>
        <v>100</v>
      </c>
      <c r="T9" s="768" t="s">
        <v>17</v>
      </c>
      <c r="U9" s="769">
        <f t="shared" si="1"/>
        <v>100</v>
      </c>
      <c r="V9" s="768" t="s">
        <v>17</v>
      </c>
      <c r="W9" s="769">
        <f t="shared" si="2"/>
        <v>100</v>
      </c>
      <c r="X9" s="770"/>
      <c r="Y9" s="3071"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110</v>
      </c>
      <c r="G10" s="463"/>
      <c r="H10" s="136">
        <f>ROUND(100/'数据-取费表'!G16,0)</f>
        <v>110</v>
      </c>
      <c r="I10" s="463"/>
      <c r="J10" s="136">
        <f>ROUND(100/'数据-取费表'!G16,0)</f>
        <v>110</v>
      </c>
      <c r="K10" s="672"/>
      <c r="L10" s="1133"/>
      <c r="M10" s="1134"/>
      <c r="N10" s="1134"/>
      <c r="O10" s="1135"/>
      <c r="P10" s="3245"/>
      <c r="Q10" s="1793" t="str">
        <f t="shared" si="6"/>
        <v>土地使用年限（年）</v>
      </c>
      <c r="R10" s="768" t="s">
        <v>17</v>
      </c>
      <c r="S10" s="769">
        <f t="shared" si="0"/>
        <v>110</v>
      </c>
      <c r="T10" s="768" t="s">
        <v>17</v>
      </c>
      <c r="U10" s="769">
        <f t="shared" si="1"/>
        <v>110</v>
      </c>
      <c r="V10" s="768" t="s">
        <v>17</v>
      </c>
      <c r="W10" s="769">
        <f t="shared" si="2"/>
        <v>110</v>
      </c>
      <c r="X10" s="770"/>
      <c r="Y10" s="3071"/>
      <c r="Z10" s="55" t="str">
        <f t="shared" si="7"/>
        <v>土地使用年限（年）</v>
      </c>
      <c r="AA10" s="771">
        <f t="shared" si="3"/>
        <v>0.90909090909090906</v>
      </c>
      <c r="AB10" s="771">
        <f t="shared" si="4"/>
        <v>0.90909090909090906</v>
      </c>
      <c r="AC10" s="771">
        <f t="shared" si="5"/>
        <v>0.90909090909090906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45"/>
      <c r="Q11" s="1793"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30" s="117" customFormat="1" ht="15">
      <c r="A12" s="431"/>
      <c r="B12" s="2597"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45"/>
      <c r="Q12" s="1793" t="str">
        <f t="shared" si="6"/>
        <v>配建</v>
      </c>
      <c r="R12" s="768" t="s">
        <v>17</v>
      </c>
      <c r="S12" s="769">
        <f t="shared" si="0"/>
        <v>100</v>
      </c>
      <c r="T12" s="768" t="s">
        <v>17</v>
      </c>
      <c r="U12" s="769">
        <f t="shared" si="1"/>
        <v>100</v>
      </c>
      <c r="V12" s="768" t="s">
        <v>17</v>
      </c>
      <c r="W12" s="769">
        <f t="shared" si="2"/>
        <v>100</v>
      </c>
      <c r="X12" s="770"/>
      <c r="Y12" s="3071"/>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45"/>
      <c r="Q13" s="1793">
        <f t="shared" si="6"/>
        <v>111</v>
      </c>
      <c r="R13" s="768" t="s">
        <v>17</v>
      </c>
      <c r="S13" s="769">
        <f t="shared" si="0"/>
        <v>100</v>
      </c>
      <c r="T13" s="768" t="s">
        <v>17</v>
      </c>
      <c r="U13" s="769">
        <f t="shared" si="1"/>
        <v>100</v>
      </c>
      <c r="V13" s="768" t="s">
        <v>17</v>
      </c>
      <c r="W13" s="769">
        <f t="shared" si="2"/>
        <v>100</v>
      </c>
      <c r="X13" s="770"/>
      <c r="Y13" s="3071"/>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45"/>
      <c r="Q14" s="1793">
        <f t="shared" si="6"/>
        <v>111</v>
      </c>
      <c r="R14" s="768" t="s">
        <v>17</v>
      </c>
      <c r="S14" s="769">
        <f t="shared" si="0"/>
        <v>100</v>
      </c>
      <c r="T14" s="768" t="s">
        <v>17</v>
      </c>
      <c r="U14" s="769">
        <f t="shared" si="1"/>
        <v>100</v>
      </c>
      <c r="V14" s="768" t="s">
        <v>17</v>
      </c>
      <c r="W14" s="769">
        <f t="shared" si="2"/>
        <v>100</v>
      </c>
      <c r="X14" s="770"/>
      <c r="Y14" s="3071"/>
      <c r="Z14" s="55">
        <f t="shared" si="7"/>
        <v>111</v>
      </c>
      <c r="AA14" s="771">
        <f>D14/F14</f>
        <v>1</v>
      </c>
      <c r="AB14" s="771">
        <f>D14/H14</f>
        <v>1</v>
      </c>
      <c r="AC14" s="771">
        <f>D14/J14</f>
        <v>1</v>
      </c>
    </row>
    <row r="15" spans="1:30" ht="99.75">
      <c r="A15" s="440" t="s">
        <v>2560</v>
      </c>
      <c r="B15" s="69" t="s">
        <v>2085</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38" t="s">
        <v>2561</v>
      </c>
      <c r="Q15" s="1808" t="str">
        <f t="shared" si="6"/>
        <v>居住社区成熟度</v>
      </c>
      <c r="R15" s="772" t="s">
        <v>17</v>
      </c>
      <c r="S15" s="773">
        <f t="shared" si="0"/>
        <v>100</v>
      </c>
      <c r="T15" s="772" t="s">
        <v>17</v>
      </c>
      <c r="U15" s="773">
        <f t="shared" si="1"/>
        <v>100</v>
      </c>
      <c r="V15" s="772" t="s">
        <v>17</v>
      </c>
      <c r="W15" s="773">
        <f t="shared" si="2"/>
        <v>100</v>
      </c>
      <c r="X15" s="1811"/>
      <c r="Y15" s="3238" t="s">
        <v>2561</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8"/>
      <c r="M16" s="1129"/>
      <c r="N16" s="1129"/>
      <c r="O16" s="1137"/>
      <c r="P16" s="3239"/>
      <c r="Q16" s="1808"/>
      <c r="R16" s="772"/>
      <c r="S16" s="773"/>
      <c r="T16" s="772"/>
      <c r="U16" s="773"/>
      <c r="V16" s="772"/>
      <c r="W16" s="773"/>
      <c r="X16" s="1811"/>
      <c r="Y16" s="3239"/>
      <c r="Z16" s="1812"/>
      <c r="AA16" s="1809">
        <v>1</v>
      </c>
      <c r="AB16" s="1809">
        <v>1</v>
      </c>
      <c r="AC16" s="1809">
        <v>1</v>
      </c>
    </row>
    <row r="17" spans="1:29" ht="71.25">
      <c r="A17" s="428"/>
      <c r="B17" s="451" t="s">
        <v>2654</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39"/>
      <c r="Q17" s="1808" t="str">
        <f>B17</f>
        <v>商业繁华度</v>
      </c>
      <c r="R17" s="772" t="s">
        <v>17</v>
      </c>
      <c r="S17" s="773">
        <f>F17</f>
        <v>100</v>
      </c>
      <c r="T17" s="772" t="s">
        <v>17</v>
      </c>
      <c r="U17" s="773">
        <f>H17</f>
        <v>100</v>
      </c>
      <c r="V17" s="772" t="s">
        <v>17</v>
      </c>
      <c r="W17" s="773">
        <f>J17</f>
        <v>100</v>
      </c>
      <c r="X17" s="1811"/>
      <c r="Y17" s="3239"/>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8"/>
      <c r="M18" s="1129"/>
      <c r="N18" s="1129"/>
      <c r="O18" s="1137"/>
      <c r="P18" s="3239"/>
      <c r="Q18" s="1808"/>
      <c r="R18" s="772"/>
      <c r="S18" s="773"/>
      <c r="T18" s="772"/>
      <c r="U18" s="773"/>
      <c r="V18" s="772"/>
      <c r="W18" s="773"/>
      <c r="X18" s="1811"/>
      <c r="Y18" s="3239"/>
      <c r="Z18" s="1812"/>
      <c r="AA18" s="1809">
        <v>1</v>
      </c>
      <c r="AB18" s="1809">
        <v>1</v>
      </c>
      <c r="AC18" s="1809">
        <v>1</v>
      </c>
    </row>
    <row r="19" spans="1:29" ht="71.25">
      <c r="A19" s="428"/>
      <c r="B19" s="451" t="s">
        <v>2688</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39"/>
      <c r="Q19" s="1808" t="str">
        <f>B19</f>
        <v>办公集聚程度</v>
      </c>
      <c r="R19" s="772" t="s">
        <v>17</v>
      </c>
      <c r="S19" s="773">
        <f>F19</f>
        <v>100</v>
      </c>
      <c r="T19" s="772" t="s">
        <v>17</v>
      </c>
      <c r="U19" s="773">
        <f>H19</f>
        <v>100</v>
      </c>
      <c r="V19" s="772" t="s">
        <v>17</v>
      </c>
      <c r="W19" s="773">
        <f>J19</f>
        <v>100</v>
      </c>
      <c r="X19" s="1811"/>
      <c r="Y19" s="3239"/>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8"/>
      <c r="M20" s="1129"/>
      <c r="N20" s="1129"/>
      <c r="O20" s="1137"/>
      <c r="P20" s="3239"/>
      <c r="Q20" s="1808"/>
      <c r="R20" s="772"/>
      <c r="S20" s="773"/>
      <c r="T20" s="772"/>
      <c r="U20" s="773"/>
      <c r="V20" s="772"/>
      <c r="W20" s="773"/>
      <c r="X20" s="1811"/>
      <c r="Y20" s="3239"/>
      <c r="Z20" s="1812"/>
      <c r="AA20" s="1809">
        <v>1</v>
      </c>
      <c r="AB20" s="1809">
        <v>1</v>
      </c>
      <c r="AC20" s="1809">
        <v>1</v>
      </c>
    </row>
    <row r="21" spans="1:29" ht="85.5">
      <c r="A21" s="428"/>
      <c r="B21" s="451" t="s">
        <v>2710</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39"/>
      <c r="Q21" s="1808" t="str">
        <f>B21</f>
        <v>交通便捷度</v>
      </c>
      <c r="R21" s="772" t="s">
        <v>17</v>
      </c>
      <c r="S21" s="773">
        <f>F21</f>
        <v>100</v>
      </c>
      <c r="T21" s="772" t="s">
        <v>17</v>
      </c>
      <c r="U21" s="773">
        <f>H21</f>
        <v>100</v>
      </c>
      <c r="V21" s="772" t="s">
        <v>17</v>
      </c>
      <c r="W21" s="773">
        <f>J21</f>
        <v>100</v>
      </c>
      <c r="X21" s="1811"/>
      <c r="Y21" s="3239"/>
      <c r="Z21" s="1812" t="str">
        <f>Q21</f>
        <v>交通便捷度</v>
      </c>
      <c r="AA21" s="1809">
        <f t="shared" si="3"/>
        <v>1</v>
      </c>
      <c r="AB21" s="1809">
        <f t="shared" si="4"/>
        <v>1</v>
      </c>
      <c r="AC21" s="1809">
        <f t="shared" si="5"/>
        <v>1</v>
      </c>
    </row>
    <row r="22" spans="1:29" ht="15">
      <c r="A22" s="428"/>
      <c r="B22" s="1382"/>
      <c r="C22" s="447"/>
      <c r="D22" s="450"/>
      <c r="E22" s="2602"/>
      <c r="F22" s="448"/>
      <c r="G22" s="2602"/>
      <c r="H22" s="448"/>
      <c r="I22" s="2601"/>
      <c r="J22" s="448"/>
      <c r="K22" s="672"/>
      <c r="L22" s="1138"/>
      <c r="M22" s="1129"/>
      <c r="N22" s="1129"/>
      <c r="O22" s="1137"/>
      <c r="P22" s="3239"/>
      <c r="Q22" s="1808"/>
      <c r="R22" s="772"/>
      <c r="S22" s="773"/>
      <c r="T22" s="772"/>
      <c r="U22" s="773"/>
      <c r="V22" s="772"/>
      <c r="W22" s="773"/>
      <c r="X22" s="1811"/>
      <c r="Y22" s="3239"/>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39"/>
      <c r="Q23" s="1808" t="str">
        <f t="shared" ref="Q23:Q37" si="8">B23</f>
        <v>区域土地利用方向</v>
      </c>
      <c r="R23" s="772" t="s">
        <v>17</v>
      </c>
      <c r="S23" s="773">
        <f>F23</f>
        <v>100</v>
      </c>
      <c r="T23" s="772" t="s">
        <v>17</v>
      </c>
      <c r="U23" s="773">
        <f>H23</f>
        <v>100</v>
      </c>
      <c r="V23" s="772" t="s">
        <v>17</v>
      </c>
      <c r="W23" s="773">
        <f>J23</f>
        <v>100</v>
      </c>
      <c r="X23" s="1811"/>
      <c r="Y23" s="3239"/>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10"/>
      <c r="L24" s="1138"/>
      <c r="M24" s="1129"/>
      <c r="N24" s="1129"/>
      <c r="O24" s="1137"/>
      <c r="P24" s="3239"/>
      <c r="Q24" s="1808"/>
      <c r="R24" s="772"/>
      <c r="S24" s="773"/>
      <c r="T24" s="772"/>
      <c r="U24" s="773"/>
      <c r="V24" s="772"/>
      <c r="W24" s="773"/>
      <c r="X24" s="1811"/>
      <c r="Y24" s="3239"/>
      <c r="Z24" s="1812"/>
      <c r="AA24" s="1809"/>
      <c r="AB24" s="1809"/>
      <c r="AC24" s="1809"/>
    </row>
    <row r="25" spans="1:29" ht="57">
      <c r="A25" s="404"/>
      <c r="B25" s="1382" t="s">
        <v>2750</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39"/>
      <c r="Q25" s="1808" t="str">
        <f t="shared" si="8"/>
        <v>自然及人文环境状况</v>
      </c>
      <c r="R25" s="772" t="s">
        <v>17</v>
      </c>
      <c r="S25" s="773">
        <f>F25</f>
        <v>100</v>
      </c>
      <c r="T25" s="772" t="s">
        <v>17</v>
      </c>
      <c r="U25" s="773">
        <f>H25</f>
        <v>100</v>
      </c>
      <c r="V25" s="772" t="s">
        <v>17</v>
      </c>
      <c r="W25" s="773">
        <f>J25</f>
        <v>100</v>
      </c>
      <c r="X25" s="1811"/>
      <c r="Y25" s="3239"/>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8"/>
      <c r="M26" s="1129"/>
      <c r="N26" s="1129"/>
      <c r="O26" s="1137"/>
      <c r="P26" s="3239"/>
      <c r="Q26" s="1808"/>
      <c r="R26" s="772"/>
      <c r="S26" s="773"/>
      <c r="T26" s="772"/>
      <c r="U26" s="773"/>
      <c r="V26" s="772"/>
      <c r="W26" s="773"/>
      <c r="X26" s="1811"/>
      <c r="Y26" s="3239"/>
      <c r="Z26" s="1812"/>
      <c r="AA26" s="1809">
        <v>1</v>
      </c>
      <c r="AB26" s="1809">
        <v>1</v>
      </c>
      <c r="AC26" s="1809">
        <v>1</v>
      </c>
    </row>
    <row r="27" spans="1:29" s="117" customFormat="1" ht="42.75">
      <c r="A27" s="649"/>
      <c r="B27" s="1382" t="s">
        <v>2655</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39"/>
      <c r="Q27" s="1793" t="str">
        <f t="shared" si="8"/>
        <v>公共配套设施</v>
      </c>
      <c r="R27" s="768" t="s">
        <v>17</v>
      </c>
      <c r="S27" s="769">
        <f>F27</f>
        <v>100</v>
      </c>
      <c r="T27" s="768" t="s">
        <v>17</v>
      </c>
      <c r="U27" s="769">
        <f>H27</f>
        <v>100</v>
      </c>
      <c r="V27" s="768" t="s">
        <v>17</v>
      </c>
      <c r="W27" s="769">
        <f>J27</f>
        <v>100</v>
      </c>
      <c r="X27" s="770"/>
      <c r="Y27" s="3239"/>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0"/>
      <c r="M28" s="1131"/>
      <c r="N28" s="1131"/>
      <c r="O28" s="1132"/>
      <c r="P28" s="3239"/>
      <c r="Q28" s="1793"/>
      <c r="R28" s="768"/>
      <c r="S28" s="769"/>
      <c r="T28" s="768"/>
      <c r="U28" s="769"/>
      <c r="V28" s="768"/>
      <c r="W28" s="769"/>
      <c r="X28" s="770"/>
      <c r="Y28" s="3239"/>
      <c r="Z28" s="55"/>
      <c r="AA28" s="1809">
        <v>1</v>
      </c>
      <c r="AB28" s="1809">
        <v>1</v>
      </c>
      <c r="AC28" s="1809">
        <v>1</v>
      </c>
    </row>
    <row r="29" spans="1:29" s="117" customFormat="1" ht="28.5">
      <c r="A29" s="649"/>
      <c r="B29" s="1382" t="s">
        <v>2656</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39"/>
      <c r="Q29" s="1793" t="str">
        <f t="shared" ref="Q29" si="9">B29</f>
        <v>基础设施水平</v>
      </c>
      <c r="R29" s="768" t="s">
        <v>17</v>
      </c>
      <c r="S29" s="769">
        <f>F29</f>
        <v>100</v>
      </c>
      <c r="T29" s="768" t="s">
        <v>17</v>
      </c>
      <c r="U29" s="769">
        <f>H29</f>
        <v>100</v>
      </c>
      <c r="V29" s="768" t="s">
        <v>17</v>
      </c>
      <c r="W29" s="769">
        <f>J29</f>
        <v>100</v>
      </c>
      <c r="X29" s="770"/>
      <c r="Y29" s="3239"/>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0"/>
      <c r="M30" s="1131"/>
      <c r="N30" s="1131"/>
      <c r="O30" s="1132"/>
      <c r="P30" s="3239"/>
      <c r="Q30" s="1793"/>
      <c r="R30" s="768"/>
      <c r="S30" s="769"/>
      <c r="T30" s="768"/>
      <c r="U30" s="769"/>
      <c r="V30" s="768"/>
      <c r="W30" s="769"/>
      <c r="X30" s="770"/>
      <c r="Y30" s="3239"/>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3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9"/>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39"/>
      <c r="Q32" s="1808" t="str">
        <f t="shared" si="8"/>
        <v>毗邻道路的类型与等级</v>
      </c>
      <c r="R32" s="772" t="s">
        <v>17</v>
      </c>
      <c r="S32" s="773">
        <f t="shared" si="10"/>
        <v>100</v>
      </c>
      <c r="T32" s="772" t="s">
        <v>17</v>
      </c>
      <c r="U32" s="773">
        <f t="shared" si="11"/>
        <v>100</v>
      </c>
      <c r="V32" s="772" t="s">
        <v>17</v>
      </c>
      <c r="W32" s="773">
        <f t="shared" si="12"/>
        <v>100</v>
      </c>
      <c r="X32" s="1811"/>
      <c r="Y32" s="3239"/>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8"/>
      <c r="M33" s="1129"/>
      <c r="N33" s="1129"/>
      <c r="O33" s="1137"/>
      <c r="P33" s="3239"/>
      <c r="Q33" s="1808"/>
      <c r="R33" s="772"/>
      <c r="S33" s="773"/>
      <c r="T33" s="772"/>
      <c r="U33" s="773"/>
      <c r="V33" s="772"/>
      <c r="W33" s="773"/>
      <c r="X33" s="1811"/>
      <c r="Y33" s="3239"/>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39"/>
      <c r="Q34" s="1808" t="str">
        <f t="shared" si="8"/>
        <v>土地级别</v>
      </c>
      <c r="R34" s="772" t="s">
        <v>17</v>
      </c>
      <c r="S34" s="773">
        <f t="shared" si="10"/>
        <v>100</v>
      </c>
      <c r="T34" s="772" t="s">
        <v>17</v>
      </c>
      <c r="U34" s="773">
        <f t="shared" si="11"/>
        <v>100</v>
      </c>
      <c r="V34" s="772" t="s">
        <v>17</v>
      </c>
      <c r="W34" s="773">
        <f t="shared" si="12"/>
        <v>100</v>
      </c>
      <c r="X34" s="1811"/>
      <c r="Y34" s="3239"/>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39"/>
      <c r="Q35" s="1808">
        <f t="shared" si="8"/>
        <v>111</v>
      </c>
      <c r="R35" s="772" t="s">
        <v>17</v>
      </c>
      <c r="S35" s="773">
        <f t="shared" si="10"/>
        <v>100</v>
      </c>
      <c r="T35" s="772" t="s">
        <v>17</v>
      </c>
      <c r="U35" s="773">
        <f t="shared" si="11"/>
        <v>100</v>
      </c>
      <c r="V35" s="772" t="s">
        <v>17</v>
      </c>
      <c r="W35" s="773">
        <f t="shared" si="12"/>
        <v>100</v>
      </c>
      <c r="X35" s="1811"/>
      <c r="Y35" s="3239"/>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6" t="s">
        <v>2566</v>
      </c>
      <c r="Q36" s="1808">
        <f t="shared" si="8"/>
        <v>111</v>
      </c>
      <c r="R36" s="772" t="s">
        <v>17</v>
      </c>
      <c r="S36" s="773">
        <f t="shared" si="10"/>
        <v>100</v>
      </c>
      <c r="T36" s="772" t="s">
        <v>17</v>
      </c>
      <c r="U36" s="773">
        <f t="shared" si="11"/>
        <v>100</v>
      </c>
      <c r="V36" s="772" t="s">
        <v>17</v>
      </c>
      <c r="W36" s="773">
        <f t="shared" si="12"/>
        <v>100</v>
      </c>
      <c r="X36" s="1811"/>
      <c r="Y36" s="3243"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43"/>
      <c r="Q37" s="1808">
        <f t="shared" si="8"/>
        <v>111</v>
      </c>
      <c r="R37" s="775" t="s">
        <v>17</v>
      </c>
      <c r="S37" s="776">
        <f t="shared" si="10"/>
        <v>100</v>
      </c>
      <c r="T37" s="775" t="s">
        <v>17</v>
      </c>
      <c r="U37" s="776">
        <f t="shared" si="11"/>
        <v>100</v>
      </c>
      <c r="V37" s="775" t="s">
        <v>17</v>
      </c>
      <c r="W37" s="776">
        <f t="shared" si="12"/>
        <v>100</v>
      </c>
      <c r="X37" s="777"/>
      <c r="Y37" s="3243"/>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43"/>
      <c r="Q38" s="1808" t="str">
        <f>B38</f>
        <v>宗地面积</v>
      </c>
      <c r="R38" s="772" t="s">
        <v>17</v>
      </c>
      <c r="S38" s="773" t="e">
        <f t="shared" si="10"/>
        <v>#N/A</v>
      </c>
      <c r="T38" s="772" t="s">
        <v>17</v>
      </c>
      <c r="U38" s="773" t="e">
        <f t="shared" si="11"/>
        <v>#N/A</v>
      </c>
      <c r="V38" s="772" t="s">
        <v>17</v>
      </c>
      <c r="W38" s="773" t="e">
        <f t="shared" si="12"/>
        <v>#N/A</v>
      </c>
      <c r="X38" s="1811"/>
      <c r="Y38" s="3243"/>
      <c r="Z38" s="1812" t="str">
        <f t="shared" si="13"/>
        <v>宗地面积</v>
      </c>
      <c r="AA38" s="1809" t="e">
        <f t="shared" si="3"/>
        <v>#N/A</v>
      </c>
      <c r="AB38" s="1809" t="e">
        <f t="shared" si="4"/>
        <v>#N/A</v>
      </c>
      <c r="AC38" s="1809" t="e">
        <f t="shared" si="5"/>
        <v>#N/A</v>
      </c>
    </row>
    <row r="39" spans="1:29" ht="15">
      <c r="A39" s="472"/>
      <c r="B39" s="422" t="s">
        <v>2753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8"/>
      <c r="M39" s="1129"/>
      <c r="N39" s="1129"/>
      <c r="O39" s="1137"/>
      <c r="P39" s="3243"/>
      <c r="Q39" s="1808" t="str">
        <f t="shared" ref="Q39:Q45" si="14">B39</f>
        <v>宗地形状</v>
      </c>
      <c r="R39" s="772" t="s">
        <v>17</v>
      </c>
      <c r="S39" s="773">
        <f t="shared" si="10"/>
        <v>100</v>
      </c>
      <c r="T39" s="772" t="s">
        <v>17</v>
      </c>
      <c r="U39" s="773">
        <f t="shared" si="11"/>
        <v>100</v>
      </c>
      <c r="V39" s="772" t="s">
        <v>17</v>
      </c>
      <c r="W39" s="773">
        <f t="shared" si="12"/>
        <v>100</v>
      </c>
      <c r="X39" s="1811"/>
      <c r="Y39" s="3243"/>
      <c r="Z39" s="1812" t="str">
        <f t="shared" si="13"/>
        <v>宗地形状</v>
      </c>
      <c r="AA39" s="1809">
        <f t="shared" si="3"/>
        <v>1</v>
      </c>
      <c r="AB39" s="1809">
        <f t="shared" si="4"/>
        <v>1</v>
      </c>
      <c r="AC39" s="1809">
        <f t="shared" si="5"/>
        <v>1</v>
      </c>
    </row>
    <row r="40" spans="1:29" ht="15">
      <c r="A40" s="472"/>
      <c r="B40" s="422" t="s">
        <v>2754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8"/>
      <c r="M40" s="1129"/>
      <c r="N40" s="1129"/>
      <c r="O40" s="1137"/>
      <c r="P40" s="3243"/>
      <c r="Q40" s="1808" t="str">
        <f t="shared" si="14"/>
        <v>临街宽度及深度</v>
      </c>
      <c r="R40" s="772" t="s">
        <v>17</v>
      </c>
      <c r="S40" s="773">
        <f t="shared" si="10"/>
        <v>100</v>
      </c>
      <c r="T40" s="772" t="s">
        <v>17</v>
      </c>
      <c r="U40" s="773">
        <f t="shared" si="11"/>
        <v>100</v>
      </c>
      <c r="V40" s="772" t="s">
        <v>17</v>
      </c>
      <c r="W40" s="773">
        <f t="shared" si="12"/>
        <v>100</v>
      </c>
      <c r="X40" s="1811"/>
      <c r="Y40" s="3243"/>
      <c r="Z40" s="1812" t="str">
        <f t="shared" si="13"/>
        <v>临街宽度及深度</v>
      </c>
      <c r="AA40" s="1809">
        <f t="shared" si="3"/>
        <v>1</v>
      </c>
      <c r="AB40" s="1809">
        <f t="shared" si="4"/>
        <v>1</v>
      </c>
      <c r="AC40" s="1809">
        <f t="shared" si="5"/>
        <v>1</v>
      </c>
    </row>
    <row r="41" spans="1:29" s="117" customFormat="1" ht="15">
      <c r="A41" s="473"/>
      <c r="B41" s="422" t="s">
        <v>2755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243"/>
      <c r="Q41" s="1808" t="str">
        <f t="shared" si="14"/>
        <v>宗地开发程度</v>
      </c>
      <c r="R41" s="768" t="s">
        <v>17</v>
      </c>
      <c r="S41" s="769">
        <f t="shared" si="10"/>
        <v>100</v>
      </c>
      <c r="T41" s="768" t="s">
        <v>17</v>
      </c>
      <c r="U41" s="769">
        <f t="shared" si="11"/>
        <v>100</v>
      </c>
      <c r="V41" s="768" t="s">
        <v>17</v>
      </c>
      <c r="W41" s="769">
        <f t="shared" si="12"/>
        <v>100</v>
      </c>
      <c r="X41" s="770"/>
      <c r="Y41" s="3243"/>
      <c r="Z41" s="55" t="str">
        <f t="shared" si="13"/>
        <v>宗地开发程度</v>
      </c>
      <c r="AA41" s="771">
        <f t="shared" si="3"/>
        <v>1</v>
      </c>
      <c r="AB41" s="771">
        <f t="shared" si="4"/>
        <v>1</v>
      </c>
      <c r="AC41" s="771">
        <f t="shared" si="5"/>
        <v>1</v>
      </c>
    </row>
    <row r="42" spans="1:29" ht="15">
      <c r="A42" s="472"/>
      <c r="B42" s="422" t="s">
        <v>2756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8"/>
      <c r="M42" s="1129"/>
      <c r="N42" s="1129"/>
      <c r="O42" s="1137"/>
      <c r="P42" s="3243" t="s">
        <v>2566</v>
      </c>
      <c r="Q42" s="1808" t="str">
        <f t="shared" si="14"/>
        <v>工程地质条件</v>
      </c>
      <c r="R42" s="772" t="s">
        <v>17</v>
      </c>
      <c r="S42" s="773">
        <f t="shared" si="10"/>
        <v>100</v>
      </c>
      <c r="T42" s="772" t="s">
        <v>17</v>
      </c>
      <c r="U42" s="773">
        <f t="shared" si="11"/>
        <v>100</v>
      </c>
      <c r="V42" s="772" t="s">
        <v>17</v>
      </c>
      <c r="W42" s="773">
        <f t="shared" si="12"/>
        <v>100</v>
      </c>
      <c r="X42" s="1811"/>
      <c r="Y42" s="3243" t="s">
        <v>2566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43"/>
      <c r="Q43" s="1808">
        <f t="shared" si="14"/>
        <v>111</v>
      </c>
      <c r="R43" s="772" t="s">
        <v>17</v>
      </c>
      <c r="S43" s="773">
        <f t="shared" si="10"/>
        <v>100</v>
      </c>
      <c r="T43" s="772" t="s">
        <v>17</v>
      </c>
      <c r="U43" s="773">
        <f t="shared" si="11"/>
        <v>100</v>
      </c>
      <c r="V43" s="772" t="s">
        <v>17</v>
      </c>
      <c r="W43" s="773">
        <f t="shared" si="12"/>
        <v>100</v>
      </c>
      <c r="X43" s="1811"/>
      <c r="Y43" s="3243"/>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43"/>
      <c r="Q44" s="1808">
        <f t="shared" si="14"/>
        <v>111</v>
      </c>
      <c r="R44" s="772" t="s">
        <v>17</v>
      </c>
      <c r="S44" s="773">
        <f t="shared" si="10"/>
        <v>100</v>
      </c>
      <c r="T44" s="772" t="s">
        <v>17</v>
      </c>
      <c r="U44" s="773">
        <f t="shared" si="11"/>
        <v>100</v>
      </c>
      <c r="V44" s="772" t="s">
        <v>17</v>
      </c>
      <c r="W44" s="773">
        <f t="shared" si="12"/>
        <v>100</v>
      </c>
      <c r="X44" s="1811"/>
      <c r="Y44" s="3243"/>
      <c r="Z44" s="1812">
        <f t="shared" si="13"/>
        <v>111</v>
      </c>
      <c r="AA44" s="1809">
        <f t="shared" si="3"/>
        <v>1</v>
      </c>
      <c r="AB44" s="1809">
        <f t="shared" si="4"/>
        <v>1</v>
      </c>
      <c r="AC44" s="1809">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43"/>
      <c r="Q45" s="1808">
        <f t="shared" si="14"/>
        <v>111</v>
      </c>
      <c r="R45" s="775" t="s">
        <v>17</v>
      </c>
      <c r="S45" s="776">
        <f t="shared" si="10"/>
        <v>100</v>
      </c>
      <c r="T45" s="775" t="s">
        <v>17</v>
      </c>
      <c r="U45" s="776">
        <f t="shared" si="11"/>
        <v>100</v>
      </c>
      <c r="V45" s="775" t="s">
        <v>17</v>
      </c>
      <c r="W45" s="776">
        <f t="shared" si="12"/>
        <v>100</v>
      </c>
      <c r="X45" s="777"/>
      <c r="Y45" s="3243"/>
      <c r="Z45" s="778">
        <f t="shared" si="13"/>
        <v>111</v>
      </c>
      <c r="AA45" s="1809">
        <f t="shared" si="3"/>
        <v>1</v>
      </c>
      <c r="AB45" s="1809">
        <f t="shared" si="4"/>
        <v>1</v>
      </c>
      <c r="AC45" s="1809">
        <f t="shared" si="5"/>
        <v>1</v>
      </c>
    </row>
    <row r="46" spans="1:29" ht="15">
      <c r="A46" s="479" t="s">
        <v>2721</v>
      </c>
      <c r="B46" s="2701" t="s">
        <v>2757</v>
      </c>
      <c r="C46" s="682" t="s">
        <v>1</v>
      </c>
      <c r="D46" s="481"/>
      <c r="E46" s="482"/>
      <c r="F46" s="483"/>
      <c r="G46" s="484"/>
      <c r="H46" s="485"/>
      <c r="I46" s="482"/>
      <c r="J46" s="485"/>
      <c r="K46" s="781"/>
      <c r="L46" s="1141"/>
      <c r="M46" s="1142"/>
      <c r="N46" s="1129"/>
      <c r="O46" s="1142"/>
      <c r="P46" s="3245" t="str">
        <f>A46</f>
        <v>成交单价</v>
      </c>
      <c r="Q46" s="3245"/>
      <c r="R46" s="3233">
        <f>E46</f>
        <v>0</v>
      </c>
      <c r="S46" s="3233"/>
      <c r="T46" s="3233">
        <f>G46</f>
        <v>0</v>
      </c>
      <c r="U46" s="3233"/>
      <c r="V46" s="3233">
        <f>I46</f>
        <v>0</v>
      </c>
      <c r="W46" s="3233"/>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1"/>
      <c r="M47" s="1142"/>
      <c r="N47" s="1142"/>
      <c r="O47" s="1142"/>
      <c r="P47" s="3245" t="str">
        <f>A47</f>
        <v>比较价值（元/平方米）</v>
      </c>
      <c r="Q47" s="3245"/>
      <c r="R47" s="3290" t="e">
        <f>ROUND(PRODUCT(R46,AA7:AA45),0)</f>
        <v>#DIV/0!</v>
      </c>
      <c r="S47" s="3290"/>
      <c r="T47" s="3290" t="e">
        <f>ROUND(PRODUCT(T46,AB7:AB45),0)</f>
        <v>#DIV/0!</v>
      </c>
      <c r="U47" s="3290"/>
      <c r="V47" s="3290" t="e">
        <f>ROUND(PRODUCT(V46,AC7:AC45),0)</f>
        <v>#DIV/0!</v>
      </c>
      <c r="W47" s="3290"/>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1"/>
      <c r="M48" s="1142"/>
      <c r="N48" s="1142"/>
      <c r="O48" s="1142"/>
      <c r="P48" s="3263" t="str">
        <f>A48</f>
        <v>估价对象XX用房的比较价值（楼面单价，元/平方米）</v>
      </c>
      <c r="Q48" s="3264"/>
      <c r="R48" s="3291" t="e">
        <f>ROUND(AVERAGE(R47:V47),0)</f>
        <v>#DIV/0!</v>
      </c>
      <c r="S48" s="3291"/>
      <c r="T48" s="3291"/>
      <c r="U48" s="3291"/>
      <c r="V48" s="3291"/>
      <c r="W48" s="3291"/>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2759</v>
      </c>
      <c r="B55" s="685" t="s">
        <v>2760</v>
      </c>
      <c r="C55" s="2702" t="s">
        <v>2761</v>
      </c>
      <c r="D55" s="2703" t="s">
        <v>2762</v>
      </c>
      <c r="E55" s="686" t="s">
        <v>2763</v>
      </c>
      <c r="F55" s="1105" t="s">
        <v>2764</v>
      </c>
      <c r="G55" s="3220" t="s">
        <v>2765</v>
      </c>
      <c r="H55" s="3292"/>
      <c r="I55" s="144" t="s">
        <v>2766</v>
      </c>
      <c r="J55" s="2704">
        <f>项目基本情况!F35</f>
        <v>0</v>
      </c>
      <c r="K55" s="2705" t="s">
        <v>2767</v>
      </c>
      <c r="L55" s="1104"/>
      <c r="M55" s="1142"/>
      <c r="N55" s="1142"/>
      <c r="O55" s="1142"/>
    </row>
    <row r="56" spans="1:15" s="692" customFormat="1">
      <c r="A56" s="688" t="s">
        <v>2768</v>
      </c>
      <c r="B56" s="689" t="e">
        <f>C48</f>
        <v>#DIV/0!</v>
      </c>
      <c r="C56" s="690">
        <v>1</v>
      </c>
      <c r="D56" s="1161">
        <v>1</v>
      </c>
      <c r="E56" s="690">
        <f>'数据-汇总表'!E8+'数据-汇总表'!E9</f>
        <v>28043.279999999999</v>
      </c>
      <c r="F56" s="1101" t="e">
        <f t="shared" ref="F56:F65" si="15">ROUND(B56*E56/10000,0)</f>
        <v>#DIV/0!</v>
      </c>
      <c r="G56" s="3216"/>
      <c r="H56" s="3245"/>
      <c r="I56" s="1106">
        <v>1</v>
      </c>
      <c r="J56" s="1109">
        <v>1</v>
      </c>
      <c r="K56" s="1143"/>
      <c r="L56" s="939"/>
      <c r="M56" s="939"/>
      <c r="N56" s="939"/>
      <c r="O56" s="939"/>
    </row>
    <row r="57" spans="1:15" s="692" customFormat="1">
      <c r="A57" s="693" t="s">
        <v>2769</v>
      </c>
      <c r="B57" s="262" t="e">
        <f>ROUND($C$48*C57*D57,0)</f>
        <v>#DIV/0!</v>
      </c>
      <c r="C57" s="200">
        <f t="shared" ref="C57:C65" si="16">IF($C$55="北京市系数",I57,J57)</f>
        <v>0.6</v>
      </c>
      <c r="D57" s="1162">
        <v>0.25</v>
      </c>
      <c r="E57" s="694"/>
      <c r="F57" s="1101" t="e">
        <f t="shared" si="15"/>
        <v>#DIV/0!</v>
      </c>
      <c r="G57" s="3293" t="s">
        <v>2770</v>
      </c>
      <c r="H57" s="1102" t="str">
        <f>项目基本情况!B37</f>
        <v>八级</v>
      </c>
      <c r="I57" s="1106">
        <f>SUMIF(修正!A45:A56,H57,修正!B45:B56)</f>
        <v>0.6</v>
      </c>
      <c r="J57" s="1110"/>
      <c r="K57" s="1142"/>
      <c r="L57" s="939"/>
      <c r="M57" s="939"/>
      <c r="N57" s="939"/>
      <c r="O57" s="939"/>
    </row>
    <row r="58" spans="1:15" s="692" customFormat="1">
      <c r="A58" s="693" t="s">
        <v>2771</v>
      </c>
      <c r="B58" s="262" t="e">
        <f t="shared" ref="B58:B65" si="17">ROUND($C$48*C58*D58,0)</f>
        <v>#DIV/0!</v>
      </c>
      <c r="C58" s="200">
        <f t="shared" si="16"/>
        <v>0.3</v>
      </c>
      <c r="D58" s="1162">
        <v>0.25</v>
      </c>
      <c r="E58" s="694"/>
      <c r="F58" s="1101" t="e">
        <f t="shared" si="15"/>
        <v>#DIV/0!</v>
      </c>
      <c r="G58" s="3293"/>
      <c r="H58" s="1102" t="str">
        <f>项目基本情况!B37</f>
        <v>八级</v>
      </c>
      <c r="I58" s="1106">
        <f>SUMIF(修正!A45:A56,H58,修正!C45:C56)</f>
        <v>0.3</v>
      </c>
      <c r="J58" s="1110"/>
      <c r="K58" s="1143"/>
      <c r="L58" s="939"/>
      <c r="M58" s="939"/>
      <c r="N58" s="939"/>
      <c r="O58" s="939"/>
    </row>
    <row r="59" spans="1:15" s="692" customFormat="1">
      <c r="A59" s="693" t="s">
        <v>2772</v>
      </c>
      <c r="B59" s="262" t="e">
        <f t="shared" si="17"/>
        <v>#DIV/0!</v>
      </c>
      <c r="C59" s="200">
        <f t="shared" si="16"/>
        <v>0.2</v>
      </c>
      <c r="D59" s="1162">
        <v>0.25</v>
      </c>
      <c r="E59" s="694"/>
      <c r="F59" s="1101" t="e">
        <f t="shared" si="15"/>
        <v>#DIV/0!</v>
      </c>
      <c r="G59" s="3293"/>
      <c r="H59" s="1102" t="str">
        <f>项目基本情况!B37</f>
        <v>八级</v>
      </c>
      <c r="I59" s="1106">
        <f>SUMIF(修正!A45:A56,H59,修正!D45:D56)</f>
        <v>0.2</v>
      </c>
      <c r="J59" s="1110"/>
      <c r="K59" s="1142"/>
      <c r="L59" s="939"/>
      <c r="M59" s="939"/>
      <c r="N59" s="939"/>
      <c r="O59" s="939"/>
    </row>
    <row r="60" spans="1:15" s="692" customFormat="1">
      <c r="A60" s="693" t="s">
        <v>2773</v>
      </c>
      <c r="B60" s="262" t="e">
        <f t="shared" si="17"/>
        <v>#DIV/0!</v>
      </c>
      <c r="C60" s="200">
        <f t="shared" si="16"/>
        <v>0.2</v>
      </c>
      <c r="D60" s="1162">
        <v>0.25</v>
      </c>
      <c r="E60" s="694"/>
      <c r="F60" s="1101" t="e">
        <f t="shared" si="15"/>
        <v>#DIV/0!</v>
      </c>
      <c r="G60" s="3293"/>
      <c r="H60" s="1102" t="str">
        <f>项目基本情况!B37</f>
        <v>八级</v>
      </c>
      <c r="I60" s="1106">
        <f>SUMIF(修正!A45:A56,H60,修正!E45:E56)</f>
        <v>0.2</v>
      </c>
      <c r="J60" s="1110"/>
      <c r="K60" s="1143"/>
      <c r="L60" s="939"/>
      <c r="M60" s="939"/>
      <c r="N60" s="939"/>
      <c r="O60" s="939"/>
    </row>
    <row r="61" spans="1:15" s="692" customFormat="1">
      <c r="A61" s="693" t="s">
        <v>2774</v>
      </c>
      <c r="B61" s="262" t="e">
        <f t="shared" si="17"/>
        <v>#DIV/0!</v>
      </c>
      <c r="C61" s="200">
        <f t="shared" si="16"/>
        <v>0.2</v>
      </c>
      <c r="D61" s="1162">
        <v>0.25</v>
      </c>
      <c r="E61" s="261">
        <f>'数据-汇总表'!E11</f>
        <v>0</v>
      </c>
      <c r="F61" s="1101" t="e">
        <f t="shared" si="15"/>
        <v>#DIV/0!</v>
      </c>
      <c r="G61" s="2706" t="s">
        <v>2775</v>
      </c>
      <c r="H61" s="1102" t="str">
        <f>项目基本情况!C37</f>
        <v>八级</v>
      </c>
      <c r="I61" s="1106">
        <f>SUMIF(修正!A45:A56,H61,修正!F45:F56)</f>
        <v>0.2</v>
      </c>
      <c r="J61" s="1110"/>
      <c r="K61" s="1142"/>
      <c r="L61" s="939"/>
      <c r="M61" s="939"/>
      <c r="N61" s="939"/>
      <c r="O61" s="939"/>
    </row>
    <row r="62" spans="1:15" s="692" customFormat="1">
      <c r="A62" s="693" t="s">
        <v>2776</v>
      </c>
      <c r="B62" s="262" t="e">
        <f t="shared" si="17"/>
        <v>#DIV/0!</v>
      </c>
      <c r="C62" s="200">
        <f t="shared" si="16"/>
        <v>0.2</v>
      </c>
      <c r="D62" s="1162">
        <v>0.25</v>
      </c>
      <c r="E62" s="261">
        <f>'数据-汇总表'!E12</f>
        <v>0</v>
      </c>
      <c r="F62" s="1101" t="e">
        <f t="shared" si="15"/>
        <v>#DIV/0!</v>
      </c>
      <c r="G62" s="1107" t="s">
        <v>2777</v>
      </c>
      <c r="H62" s="1102" t="str">
        <f>IF(G62="商业",项目基本情况!B37,IF(G62="办公",项目基本情况!C37,IF(G62="住宅",项目基本情况!D37,项目基本情况!E37)))</f>
        <v>八级</v>
      </c>
      <c r="I62" s="1106">
        <f>SUMIF(修正!A45:A56,H62,修正!G45:G56)</f>
        <v>0.2</v>
      </c>
      <c r="J62" s="1110"/>
      <c r="K62" s="1143"/>
      <c r="L62" s="939"/>
      <c r="M62" s="939"/>
      <c r="N62" s="939"/>
      <c r="O62" s="939"/>
    </row>
    <row r="63" spans="1:15" s="692" customFormat="1">
      <c r="A63" s="693" t="s">
        <v>2778</v>
      </c>
      <c r="B63" s="262" t="e">
        <f t="shared" si="17"/>
        <v>#DIV/0!</v>
      </c>
      <c r="C63" s="200">
        <f t="shared" si="16"/>
        <v>0</v>
      </c>
      <c r="D63" s="1162">
        <v>0.25</v>
      </c>
      <c r="E63" s="261">
        <f>'数据-汇总表'!E13</f>
        <v>12246.83</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2780</v>
      </c>
      <c r="B64" s="262" t="e">
        <f t="shared" si="17"/>
        <v>#DIV/0!</v>
      </c>
      <c r="C64" s="200">
        <f t="shared" si="16"/>
        <v>0.15</v>
      </c>
      <c r="D64" s="1162">
        <v>0.25</v>
      </c>
      <c r="E64" s="261">
        <f>'数据-汇总表'!E14</f>
        <v>0</v>
      </c>
      <c r="F64" s="1101" t="e">
        <f t="shared" si="15"/>
        <v>#DIV/0!</v>
      </c>
      <c r="G64" s="2706" t="s">
        <v>2770</v>
      </c>
      <c r="H64" s="1102" t="str">
        <f>项目基本情况!B37</f>
        <v>八级</v>
      </c>
      <c r="I64" s="1106">
        <f>SUMIF(修正!A45:A56,H64,修正!H45:H56)</f>
        <v>0.15</v>
      </c>
      <c r="J64" s="1110"/>
      <c r="K64" s="1143"/>
      <c r="L64" s="939"/>
      <c r="M64" s="939"/>
      <c r="N64" s="939"/>
      <c r="O64" s="939"/>
    </row>
    <row r="65" spans="1:17" s="692" customFormat="1" ht="15" thickBot="1">
      <c r="A65" s="693" t="s">
        <v>2781</v>
      </c>
      <c r="B65" s="262" t="e">
        <f t="shared" si="17"/>
        <v>#DIV/0!</v>
      </c>
      <c r="C65" s="200">
        <f t="shared" si="16"/>
        <v>0.15</v>
      </c>
      <c r="D65" s="1162">
        <v>0.25</v>
      </c>
      <c r="E65" s="261">
        <f>'数据-汇总表'!E15</f>
        <v>0</v>
      </c>
      <c r="F65" s="1101" t="e">
        <f t="shared" si="15"/>
        <v>#DIV/0!</v>
      </c>
      <c r="G65" s="2707" t="s">
        <v>2775</v>
      </c>
      <c r="H65" s="1112" t="str">
        <f>项目基本情况!C37</f>
        <v>八级</v>
      </c>
      <c r="I65" s="1108">
        <f>SUMIF(修正!A45:A56,H65,修正!H45:H56)</f>
        <v>0.15</v>
      </c>
      <c r="J65" s="1111"/>
      <c r="K65" s="1142"/>
      <c r="L65" s="939"/>
      <c r="M65" s="939"/>
      <c r="N65" s="939"/>
      <c r="O65" s="939"/>
    </row>
    <row r="66" spans="1:17" s="692" customFormat="1" ht="13.5" thickBot="1">
      <c r="A66" s="695" t="s">
        <v>2782</v>
      </c>
      <c r="B66" s="696" t="s">
        <v>28</v>
      </c>
      <c r="C66" s="696" t="s">
        <v>29</v>
      </c>
      <c r="D66" s="696" t="s">
        <v>1026</v>
      </c>
      <c r="E66" s="696">
        <f>IF(B46="楼面地价",SUM(E56:E65),'数据-汇总表'!D3)</f>
        <v>40290.11</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2019-5-1</v>
      </c>
      <c r="D68" s="759">
        <f>EDATE(C68,-3)</f>
        <v>43497</v>
      </c>
      <c r="E68" s="759">
        <f>EDATE(D68,-3)</f>
        <v>43405</v>
      </c>
      <c r="F68" s="759">
        <f t="shared" ref="F68:O68" si="18">EDATE(E68,-3)</f>
        <v>43313</v>
      </c>
      <c r="G68" s="759">
        <f t="shared" si="18"/>
        <v>43221</v>
      </c>
      <c r="H68" s="759">
        <f t="shared" si="18"/>
        <v>43132</v>
      </c>
      <c r="I68" s="759">
        <f t="shared" si="18"/>
        <v>43040</v>
      </c>
      <c r="J68" s="759">
        <f t="shared" si="18"/>
        <v>42948</v>
      </c>
      <c r="K68" s="759">
        <f t="shared" si="18"/>
        <v>42856</v>
      </c>
      <c r="L68" s="759">
        <f t="shared" si="18"/>
        <v>42767</v>
      </c>
      <c r="M68" s="759">
        <f t="shared" si="18"/>
        <v>42675</v>
      </c>
      <c r="N68" s="759">
        <f t="shared" si="18"/>
        <v>42583</v>
      </c>
      <c r="O68" s="759">
        <f t="shared" si="18"/>
        <v>42491</v>
      </c>
    </row>
    <row r="69" spans="1:17" ht="21.75" thickBot="1">
      <c r="A69" s="761" t="s">
        <v>2675</v>
      </c>
      <c r="B69" s="757"/>
      <c r="C69" s="762"/>
      <c r="D69" s="762"/>
      <c r="E69" s="762"/>
      <c r="F69" s="763"/>
      <c r="G69" s="763"/>
      <c r="H69" s="762"/>
      <c r="I69" s="762"/>
      <c r="J69" s="1157"/>
      <c r="K69" s="1158"/>
      <c r="L69" s="1159"/>
      <c r="M69" s="1157"/>
      <c r="N69" s="1157"/>
      <c r="O69" s="1157"/>
      <c r="P69" s="503"/>
      <c r="Q69" s="504"/>
    </row>
    <row r="70" spans="1:17" s="508" customFormat="1" ht="15">
      <c r="A70" s="2708" t="s">
        <v>2783</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09"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2793</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2795</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2796</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59" t="s">
        <v>2652</v>
      </c>
      <c r="Q4" s="3260"/>
      <c r="R4" s="3255" t="s">
        <v>2648</v>
      </c>
      <c r="S4" s="3256"/>
      <c r="T4" s="3255" t="s">
        <v>2649</v>
      </c>
      <c r="U4" s="3256"/>
      <c r="V4" s="3233" t="s">
        <v>2650</v>
      </c>
      <c r="W4" s="3233"/>
      <c r="X4" s="1811"/>
      <c r="Y4" s="3255" t="s">
        <v>2652</v>
      </c>
      <c r="Z4" s="3256"/>
      <c r="AA4" s="3254" t="s">
        <v>2648</v>
      </c>
      <c r="AB4" s="3200" t="s">
        <v>2649</v>
      </c>
      <c r="AC4" s="3254" t="s">
        <v>2650</v>
      </c>
    </row>
    <row r="5" spans="1:29" ht="15">
      <c r="A5" s="404"/>
      <c r="B5" s="405"/>
      <c r="C5" s="3258" t="s">
        <v>2543</v>
      </c>
      <c r="D5" s="3211"/>
      <c r="E5" s="3289" t="s">
        <v>2544</v>
      </c>
      <c r="F5" s="3257"/>
      <c r="G5" s="3258" t="s">
        <v>2545</v>
      </c>
      <c r="H5" s="3211"/>
      <c r="I5" s="3258" t="s">
        <v>2546</v>
      </c>
      <c r="J5" s="3211"/>
      <c r="K5" s="610"/>
      <c r="L5" s="1128"/>
      <c r="M5" s="1129"/>
      <c r="N5" s="1129"/>
      <c r="O5" s="1129"/>
      <c r="P5" s="3261"/>
      <c r="Q5" s="3227"/>
      <c r="R5" s="3206"/>
      <c r="S5" s="3207"/>
      <c r="T5" s="3206"/>
      <c r="U5" s="3207"/>
      <c r="V5" s="3233"/>
      <c r="W5" s="3233"/>
      <c r="X5" s="1811"/>
      <c r="Y5" s="3206"/>
      <c r="Z5" s="3207"/>
      <c r="AA5" s="3200"/>
      <c r="AB5" s="3200"/>
      <c r="AC5" s="3200"/>
    </row>
    <row r="6" spans="1:29" ht="15.75" thickBot="1">
      <c r="A6" s="406"/>
      <c r="B6" s="407"/>
      <c r="C6" s="3294" t="s">
        <v>2798</v>
      </c>
      <c r="D6" s="3295"/>
      <c r="E6" s="3296" t="s">
        <v>2798</v>
      </c>
      <c r="F6" s="3297"/>
      <c r="G6" s="3294" t="s">
        <v>2798</v>
      </c>
      <c r="H6" s="3295"/>
      <c r="I6" s="3294" t="s">
        <v>2798</v>
      </c>
      <c r="J6" s="3295"/>
      <c r="K6" s="610" t="s">
        <v>2548</v>
      </c>
      <c r="L6" s="1128"/>
      <c r="M6" s="1129"/>
      <c r="N6" s="1129"/>
      <c r="O6" s="1129"/>
      <c r="P6" s="3262"/>
      <c r="Q6" s="3229"/>
      <c r="R6" s="3206"/>
      <c r="S6" s="3207"/>
      <c r="T6" s="3230"/>
      <c r="U6" s="3231"/>
      <c r="V6" s="3233"/>
      <c r="W6" s="3233"/>
      <c r="X6" s="1811"/>
      <c r="Y6" s="3230"/>
      <c r="Z6" s="3231"/>
      <c r="AA6" s="3201"/>
      <c r="AB6" s="3201"/>
      <c r="AC6" s="3201"/>
    </row>
    <row r="7" spans="1:29" s="117" customFormat="1" ht="15.75" thickBot="1">
      <c r="A7" s="408" t="s">
        <v>2549</v>
      </c>
      <c r="B7" s="409"/>
      <c r="C7" s="410">
        <f>'数据-取费表'!B2</f>
        <v>43602</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202" t="s">
        <v>2550</v>
      </c>
      <c r="Q7" s="3235"/>
      <c r="R7" s="768" t="s">
        <v>17</v>
      </c>
      <c r="S7" s="769">
        <f t="shared" ref="S7:S15" si="0">F7</f>
        <v>0</v>
      </c>
      <c r="T7" s="768" t="s">
        <v>17</v>
      </c>
      <c r="U7" s="769">
        <f t="shared" ref="U7:U15" si="1">H7</f>
        <v>0</v>
      </c>
      <c r="V7" s="768" t="s">
        <v>17</v>
      </c>
      <c r="W7" s="769">
        <f t="shared" ref="W7:W15" si="2">J7</f>
        <v>0</v>
      </c>
      <c r="X7" s="770"/>
      <c r="Y7" s="3202" t="s">
        <v>2550</v>
      </c>
      <c r="Z7" s="3203"/>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02" t="s">
        <v>2553</v>
      </c>
      <c r="Q8" s="3203"/>
      <c r="R8" s="768" t="s">
        <v>17</v>
      </c>
      <c r="S8" s="769">
        <f t="shared" si="0"/>
        <v>0</v>
      </c>
      <c r="T8" s="768" t="s">
        <v>17</v>
      </c>
      <c r="U8" s="769">
        <f t="shared" si="1"/>
        <v>0</v>
      </c>
      <c r="V8" s="768" t="s">
        <v>17</v>
      </c>
      <c r="W8" s="769">
        <f t="shared" si="2"/>
        <v>0</v>
      </c>
      <c r="X8" s="770"/>
      <c r="Y8" s="3202" t="s">
        <v>2553</v>
      </c>
      <c r="Z8" s="3203"/>
      <c r="AA8" s="771" t="e">
        <f t="shared" ref="AA8:AA40" si="3">D8/F8</f>
        <v>#DIV/0!</v>
      </c>
      <c r="AB8" s="771" t="e">
        <f t="shared" ref="AB8:AB40" si="4">D8/H8</f>
        <v>#DIV/0!</v>
      </c>
      <c r="AC8" s="771" t="e">
        <f t="shared" ref="AC8:AC40" si="5">D8/J8</f>
        <v>#DIV/0!</v>
      </c>
    </row>
    <row r="9" spans="1:29" s="117" customFormat="1">
      <c r="A9" s="415" t="s">
        <v>2554</v>
      </c>
      <c r="B9" s="71" t="s">
        <v>2555</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245" t="s">
        <v>2556</v>
      </c>
      <c r="Q9" s="1793" t="str">
        <f t="shared" ref="Q9:Q15" si="6">B9</f>
        <v>用途</v>
      </c>
      <c r="R9" s="768" t="s">
        <v>17</v>
      </c>
      <c r="S9" s="769">
        <f t="shared" si="0"/>
        <v>100</v>
      </c>
      <c r="T9" s="768" t="s">
        <v>17</v>
      </c>
      <c r="U9" s="769">
        <f t="shared" si="1"/>
        <v>100</v>
      </c>
      <c r="V9" s="768" t="s">
        <v>17</v>
      </c>
      <c r="W9" s="769">
        <f t="shared" si="2"/>
        <v>100</v>
      </c>
      <c r="X9" s="770"/>
      <c r="Y9" s="3071"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110</v>
      </c>
      <c r="G10" s="432"/>
      <c r="H10" s="136">
        <f>ROUND(100/'数据-取费表'!G16,0)</f>
        <v>110</v>
      </c>
      <c r="I10" s="432"/>
      <c r="J10" s="136">
        <f>ROUND(100/'数据-取费表'!G16,0)</f>
        <v>110</v>
      </c>
      <c r="K10" s="672"/>
      <c r="L10" s="1133"/>
      <c r="M10" s="1134"/>
      <c r="N10" s="1134"/>
      <c r="O10" s="1135"/>
      <c r="P10" s="3245"/>
      <c r="Q10" s="1793" t="str">
        <f t="shared" si="6"/>
        <v>土地使用年限（年）</v>
      </c>
      <c r="R10" s="768" t="s">
        <v>17</v>
      </c>
      <c r="S10" s="769">
        <f t="shared" si="0"/>
        <v>110</v>
      </c>
      <c r="T10" s="768" t="s">
        <v>17</v>
      </c>
      <c r="U10" s="769">
        <f t="shared" si="1"/>
        <v>110</v>
      </c>
      <c r="V10" s="768" t="s">
        <v>17</v>
      </c>
      <c r="W10" s="769">
        <f t="shared" si="2"/>
        <v>110</v>
      </c>
      <c r="X10" s="770"/>
      <c r="Y10" s="3071"/>
      <c r="Z10" s="55" t="str">
        <f t="shared" si="7"/>
        <v>土地使用年限（年）</v>
      </c>
      <c r="AA10" s="771">
        <f t="shared" si="3"/>
        <v>0.90909090909090906</v>
      </c>
      <c r="AB10" s="771">
        <f t="shared" si="4"/>
        <v>0.90909090909090906</v>
      </c>
      <c r="AC10" s="771">
        <f t="shared" si="5"/>
        <v>0.90909090909090906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45"/>
      <c r="Q11" s="1793"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45"/>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45"/>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45"/>
      <c r="Q14" s="1793">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57">
      <c r="A15" s="440" t="s">
        <v>2560</v>
      </c>
      <c r="B15" s="629" t="s">
        <v>2799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38" t="s">
        <v>2561</v>
      </c>
      <c r="Q15" s="1808" t="str">
        <f t="shared" si="6"/>
        <v>产业集聚程度</v>
      </c>
      <c r="R15" s="772" t="s">
        <v>17</v>
      </c>
      <c r="S15" s="773">
        <f t="shared" si="0"/>
        <v>100</v>
      </c>
      <c r="T15" s="772" t="s">
        <v>17</v>
      </c>
      <c r="U15" s="773">
        <f t="shared" si="1"/>
        <v>100</v>
      </c>
      <c r="V15" s="772" t="s">
        <v>17</v>
      </c>
      <c r="W15" s="773">
        <f t="shared" si="2"/>
        <v>100</v>
      </c>
      <c r="X15" s="1811"/>
      <c r="Y15" s="3238" t="s">
        <v>2561</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8"/>
      <c r="M16" s="1129"/>
      <c r="N16" s="1129"/>
      <c r="O16" s="1137"/>
      <c r="P16" s="3239"/>
      <c r="Q16" s="1808"/>
      <c r="R16" s="772"/>
      <c r="S16" s="773"/>
      <c r="T16" s="772"/>
      <c r="U16" s="773"/>
      <c r="V16" s="772"/>
      <c r="W16" s="773"/>
      <c r="X16" s="1811"/>
      <c r="Y16" s="3239"/>
      <c r="Z16" s="1812"/>
      <c r="AA16" s="1809">
        <v>1</v>
      </c>
      <c r="AB16" s="1809">
        <v>1</v>
      </c>
      <c r="AC16" s="1809">
        <v>1</v>
      </c>
    </row>
    <row r="17" spans="1:29" ht="85.5">
      <c r="A17" s="428"/>
      <c r="B17" s="631" t="s">
        <v>2710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39"/>
      <c r="Q17" s="1808" t="str">
        <f>B17</f>
        <v>交通便捷度</v>
      </c>
      <c r="R17" s="772" t="s">
        <v>17</v>
      </c>
      <c r="S17" s="773">
        <f>F17</f>
        <v>100</v>
      </c>
      <c r="T17" s="772" t="s">
        <v>17</v>
      </c>
      <c r="U17" s="773">
        <f>H17</f>
        <v>100</v>
      </c>
      <c r="V17" s="772" t="s">
        <v>17</v>
      </c>
      <c r="W17" s="773">
        <f>J17</f>
        <v>100</v>
      </c>
      <c r="X17" s="1811"/>
      <c r="Y17" s="3239"/>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8"/>
      <c r="M18" s="1129"/>
      <c r="N18" s="1129"/>
      <c r="O18" s="1137"/>
      <c r="P18" s="3239"/>
      <c r="Q18" s="1808"/>
      <c r="R18" s="772"/>
      <c r="S18" s="773"/>
      <c r="T18" s="772"/>
      <c r="U18" s="773"/>
      <c r="V18" s="772"/>
      <c r="W18" s="773"/>
      <c r="X18" s="1811"/>
      <c r="Y18" s="3239"/>
      <c r="Z18" s="1812"/>
      <c r="AA18" s="1809">
        <v>1</v>
      </c>
      <c r="AB18" s="1809">
        <v>1</v>
      </c>
      <c r="AC18" s="1809">
        <v>1</v>
      </c>
    </row>
    <row r="19" spans="1:29" ht="15">
      <c r="A19" s="428"/>
      <c r="B19" s="631" t="s">
        <v>2749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39"/>
      <c r="Q19" s="1808" t="str">
        <f t="shared" ref="Q19:Q33" si="8">B19</f>
        <v>区域土地利用方向</v>
      </c>
      <c r="R19" s="772" t="s">
        <v>17</v>
      </c>
      <c r="S19" s="773">
        <f>F19</f>
        <v>100</v>
      </c>
      <c r="T19" s="772" t="s">
        <v>17</v>
      </c>
      <c r="U19" s="773">
        <f>H19</f>
        <v>100</v>
      </c>
      <c r="V19" s="772" t="s">
        <v>17</v>
      </c>
      <c r="W19" s="773">
        <f>J19</f>
        <v>100</v>
      </c>
      <c r="X19" s="1811"/>
      <c r="Y19" s="3239"/>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10"/>
      <c r="L20" s="1138"/>
      <c r="M20" s="1129"/>
      <c r="N20" s="1129"/>
      <c r="O20" s="1137"/>
      <c r="P20" s="3239"/>
      <c r="Q20" s="1808"/>
      <c r="R20" s="772"/>
      <c r="S20" s="773"/>
      <c r="T20" s="772"/>
      <c r="U20" s="773"/>
      <c r="V20" s="772"/>
      <c r="W20" s="773"/>
      <c r="X20" s="1811"/>
      <c r="Y20" s="3239"/>
      <c r="Z20" s="1812"/>
      <c r="AA20" s="1809"/>
      <c r="AB20" s="1809"/>
      <c r="AC20" s="1809"/>
    </row>
    <row r="21" spans="1:29" ht="71.25">
      <c r="A21" s="404"/>
      <c r="B21" s="631" t="s">
        <v>2800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39"/>
      <c r="Q21" s="1808" t="str">
        <f t="shared" si="8"/>
        <v>环境状况</v>
      </c>
      <c r="R21" s="772" t="s">
        <v>17</v>
      </c>
      <c r="S21" s="773">
        <f>F21</f>
        <v>100</v>
      </c>
      <c r="T21" s="772" t="s">
        <v>17</v>
      </c>
      <c r="U21" s="773">
        <f>H21</f>
        <v>100</v>
      </c>
      <c r="V21" s="772" t="s">
        <v>17</v>
      </c>
      <c r="W21" s="773">
        <f>J21</f>
        <v>100</v>
      </c>
      <c r="X21" s="1811"/>
      <c r="Y21" s="3239"/>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8"/>
      <c r="M22" s="1129"/>
      <c r="N22" s="1129"/>
      <c r="O22" s="1137"/>
      <c r="P22" s="3239"/>
      <c r="Q22" s="1808"/>
      <c r="R22" s="772"/>
      <c r="S22" s="773"/>
      <c r="T22" s="772"/>
      <c r="U22" s="773"/>
      <c r="V22" s="772"/>
      <c r="W22" s="773"/>
      <c r="X22" s="1811"/>
      <c r="Y22" s="3239"/>
      <c r="Z22" s="1812"/>
      <c r="AA22" s="1809">
        <v>1</v>
      </c>
      <c r="AB22" s="1809">
        <v>1</v>
      </c>
      <c r="AC22" s="1809">
        <v>1</v>
      </c>
    </row>
    <row r="23" spans="1:29" s="117" customFormat="1" ht="42.75">
      <c r="A23" s="649"/>
      <c r="B23" s="633" t="s">
        <v>2655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39"/>
      <c r="Q23" s="1793" t="str">
        <f t="shared" si="8"/>
        <v>公共配套设施</v>
      </c>
      <c r="R23" s="768" t="s">
        <v>17</v>
      </c>
      <c r="S23" s="769">
        <f>F23</f>
        <v>100</v>
      </c>
      <c r="T23" s="768" t="s">
        <v>17</v>
      </c>
      <c r="U23" s="769">
        <f>H23</f>
        <v>100</v>
      </c>
      <c r="V23" s="768" t="s">
        <v>17</v>
      </c>
      <c r="W23" s="769">
        <f>J23</f>
        <v>100</v>
      </c>
      <c r="X23" s="770"/>
      <c r="Y23" s="3239"/>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0"/>
      <c r="M24" s="1131"/>
      <c r="N24" s="1131"/>
      <c r="O24" s="1132"/>
      <c r="P24" s="3239"/>
      <c r="Q24" s="1793"/>
      <c r="R24" s="768"/>
      <c r="S24" s="769"/>
      <c r="T24" s="768"/>
      <c r="U24" s="769"/>
      <c r="V24" s="768"/>
      <c r="W24" s="769"/>
      <c r="X24" s="770"/>
      <c r="Y24" s="3239"/>
      <c r="Z24" s="55"/>
      <c r="AA24" s="771">
        <v>1</v>
      </c>
      <c r="AB24" s="771">
        <v>1</v>
      </c>
      <c r="AC24" s="771">
        <v>1</v>
      </c>
    </row>
    <row r="25" spans="1:29" s="117" customFormat="1" ht="28.5">
      <c r="A25" s="649"/>
      <c r="B25" s="633" t="s">
        <v>2656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39"/>
      <c r="Q25" s="1793" t="str">
        <f t="shared" ref="Q25" si="9">B25</f>
        <v>基础设施水平</v>
      </c>
      <c r="R25" s="768" t="s">
        <v>17</v>
      </c>
      <c r="S25" s="769">
        <f>F25</f>
        <v>100</v>
      </c>
      <c r="T25" s="768" t="s">
        <v>17</v>
      </c>
      <c r="U25" s="769">
        <f>H25</f>
        <v>100</v>
      </c>
      <c r="V25" s="768" t="s">
        <v>17</v>
      </c>
      <c r="W25" s="769">
        <f>J25</f>
        <v>100</v>
      </c>
      <c r="X25" s="770"/>
      <c r="Y25" s="3239"/>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0"/>
      <c r="M26" s="1131"/>
      <c r="N26" s="1131"/>
      <c r="O26" s="1132"/>
      <c r="P26" s="3239"/>
      <c r="Q26" s="1793"/>
      <c r="R26" s="768"/>
      <c r="S26" s="769"/>
      <c r="T26" s="768"/>
      <c r="U26" s="769"/>
      <c r="V26" s="768"/>
      <c r="W26" s="769"/>
      <c r="X26" s="770"/>
      <c r="Y26" s="3239"/>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3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9"/>
      <c r="Z27" s="1812" t="str">
        <f t="shared" ref="Z27:Z40" si="13">Q27</f>
        <v>临街状况</v>
      </c>
      <c r="AA27" s="1809">
        <f t="shared" si="3"/>
        <v>1</v>
      </c>
      <c r="AB27" s="1809">
        <f t="shared" si="4"/>
        <v>1</v>
      </c>
      <c r="AC27" s="1809">
        <f t="shared" si="5"/>
        <v>1</v>
      </c>
    </row>
    <row r="28" spans="1:29" ht="27">
      <c r="A28" s="428"/>
      <c r="B28" s="633" t="s">
        <v>2692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39"/>
      <c r="Q28" s="1808" t="str">
        <f t="shared" si="8"/>
        <v>毗邻道路的类型与等级</v>
      </c>
      <c r="R28" s="772" t="s">
        <v>17</v>
      </c>
      <c r="S28" s="773">
        <f t="shared" si="10"/>
        <v>100</v>
      </c>
      <c r="T28" s="772" t="s">
        <v>17</v>
      </c>
      <c r="U28" s="773">
        <f t="shared" si="11"/>
        <v>100</v>
      </c>
      <c r="V28" s="772" t="s">
        <v>17</v>
      </c>
      <c r="W28" s="773">
        <f t="shared" si="12"/>
        <v>100</v>
      </c>
      <c r="X28" s="1811"/>
      <c r="Y28" s="3239"/>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8"/>
      <c r="M29" s="1129"/>
      <c r="N29" s="1129"/>
      <c r="O29" s="1137"/>
      <c r="P29" s="3239"/>
      <c r="Q29" s="1808"/>
      <c r="R29" s="772"/>
      <c r="S29" s="773"/>
      <c r="T29" s="772"/>
      <c r="U29" s="773"/>
      <c r="V29" s="772"/>
      <c r="W29" s="773"/>
      <c r="X29" s="1811"/>
      <c r="Y29" s="3239"/>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39"/>
      <c r="Q30" s="1808" t="str">
        <f t="shared" si="8"/>
        <v>土地级别</v>
      </c>
      <c r="R30" s="772" t="s">
        <v>17</v>
      </c>
      <c r="S30" s="773">
        <f t="shared" si="10"/>
        <v>100</v>
      </c>
      <c r="T30" s="772" t="s">
        <v>17</v>
      </c>
      <c r="U30" s="773">
        <f t="shared" si="11"/>
        <v>100</v>
      </c>
      <c r="V30" s="772" t="s">
        <v>17</v>
      </c>
      <c r="W30" s="773">
        <f t="shared" si="12"/>
        <v>100</v>
      </c>
      <c r="X30" s="1811"/>
      <c r="Y30" s="3239"/>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39"/>
      <c r="Q31" s="1808">
        <f t="shared" si="8"/>
        <v>111</v>
      </c>
      <c r="R31" s="772" t="s">
        <v>17</v>
      </c>
      <c r="S31" s="773">
        <f t="shared" si="10"/>
        <v>100</v>
      </c>
      <c r="T31" s="772" t="s">
        <v>17</v>
      </c>
      <c r="U31" s="773">
        <f t="shared" si="11"/>
        <v>100</v>
      </c>
      <c r="V31" s="772" t="s">
        <v>17</v>
      </c>
      <c r="W31" s="773">
        <f t="shared" si="12"/>
        <v>100</v>
      </c>
      <c r="X31" s="1811"/>
      <c r="Y31" s="3239"/>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6" t="s">
        <v>2566</v>
      </c>
      <c r="Q32" s="1808">
        <f t="shared" si="8"/>
        <v>111</v>
      </c>
      <c r="R32" s="772" t="s">
        <v>17</v>
      </c>
      <c r="S32" s="773">
        <f t="shared" si="10"/>
        <v>100</v>
      </c>
      <c r="T32" s="772" t="s">
        <v>17</v>
      </c>
      <c r="U32" s="773">
        <f t="shared" si="11"/>
        <v>100</v>
      </c>
      <c r="V32" s="772" t="s">
        <v>17</v>
      </c>
      <c r="W32" s="773">
        <f t="shared" si="12"/>
        <v>100</v>
      </c>
      <c r="X32" s="1811"/>
      <c r="Y32" s="3243" t="s">
        <v>2566</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43"/>
      <c r="Q33" s="1808">
        <f t="shared" si="8"/>
        <v>111</v>
      </c>
      <c r="R33" s="775" t="s">
        <v>17</v>
      </c>
      <c r="S33" s="776">
        <f t="shared" si="10"/>
        <v>100</v>
      </c>
      <c r="T33" s="775" t="s">
        <v>17</v>
      </c>
      <c r="U33" s="776">
        <f t="shared" si="11"/>
        <v>100</v>
      </c>
      <c r="V33" s="775" t="s">
        <v>17</v>
      </c>
      <c r="W33" s="776">
        <f t="shared" si="12"/>
        <v>100</v>
      </c>
      <c r="X33" s="777"/>
      <c r="Y33" s="3243"/>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43"/>
      <c r="Q34" s="1808" t="str">
        <f>B34</f>
        <v>宗地面积</v>
      </c>
      <c r="R34" s="772" t="s">
        <v>17</v>
      </c>
      <c r="S34" s="773" t="e">
        <f t="shared" si="10"/>
        <v>#N/A</v>
      </c>
      <c r="T34" s="772" t="s">
        <v>17</v>
      </c>
      <c r="U34" s="773" t="e">
        <f t="shared" si="11"/>
        <v>#N/A</v>
      </c>
      <c r="V34" s="772" t="s">
        <v>17</v>
      </c>
      <c r="W34" s="773" t="e">
        <f t="shared" si="12"/>
        <v>#N/A</v>
      </c>
      <c r="X34" s="1811"/>
      <c r="Y34" s="3243"/>
      <c r="Z34" s="1812" t="str">
        <f t="shared" si="13"/>
        <v>宗地面积</v>
      </c>
      <c r="AA34" s="1809" t="e">
        <f t="shared" si="3"/>
        <v>#N/A</v>
      </c>
      <c r="AB34" s="1809" t="e">
        <f t="shared" si="4"/>
        <v>#N/A</v>
      </c>
      <c r="AC34" s="1809" t="e">
        <f t="shared" si="5"/>
        <v>#N/A</v>
      </c>
    </row>
    <row r="35" spans="1:29" ht="15">
      <c r="A35" s="472"/>
      <c r="B35" s="422" t="s">
        <v>2753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8"/>
      <c r="M35" s="1129"/>
      <c r="N35" s="1129"/>
      <c r="O35" s="1137"/>
      <c r="P35" s="3243"/>
      <c r="Q35" s="1808" t="str">
        <f t="shared" ref="Q35:Q40" si="14">B35</f>
        <v>宗地形状</v>
      </c>
      <c r="R35" s="772" t="s">
        <v>17</v>
      </c>
      <c r="S35" s="773">
        <f t="shared" si="10"/>
        <v>100</v>
      </c>
      <c r="T35" s="772" t="s">
        <v>17</v>
      </c>
      <c r="U35" s="773">
        <f t="shared" si="11"/>
        <v>100</v>
      </c>
      <c r="V35" s="772" t="s">
        <v>17</v>
      </c>
      <c r="W35" s="773">
        <f t="shared" si="12"/>
        <v>100</v>
      </c>
      <c r="X35" s="1811"/>
      <c r="Y35" s="3243"/>
      <c r="Z35" s="1812" t="str">
        <f t="shared" si="13"/>
        <v>宗地形状</v>
      </c>
      <c r="AA35" s="1809">
        <f t="shared" si="3"/>
        <v>1</v>
      </c>
      <c r="AB35" s="1809">
        <f t="shared" si="4"/>
        <v>1</v>
      </c>
      <c r="AC35" s="1809">
        <f t="shared" si="5"/>
        <v>1</v>
      </c>
    </row>
    <row r="36" spans="1:29" s="117" customFormat="1" ht="15">
      <c r="A36" s="473"/>
      <c r="B36" s="422" t="s">
        <v>2755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243"/>
      <c r="Q36" s="1808" t="str">
        <f t="shared" si="14"/>
        <v>宗地开发程度</v>
      </c>
      <c r="R36" s="768" t="s">
        <v>17</v>
      </c>
      <c r="S36" s="769">
        <f t="shared" si="10"/>
        <v>100</v>
      </c>
      <c r="T36" s="768" t="s">
        <v>17</v>
      </c>
      <c r="U36" s="769">
        <f t="shared" si="11"/>
        <v>100</v>
      </c>
      <c r="V36" s="768" t="s">
        <v>17</v>
      </c>
      <c r="W36" s="769">
        <f t="shared" si="12"/>
        <v>100</v>
      </c>
      <c r="X36" s="770"/>
      <c r="Y36" s="3243"/>
      <c r="Z36" s="55" t="str">
        <f t="shared" si="13"/>
        <v>宗地开发程度</v>
      </c>
      <c r="AA36" s="771">
        <f t="shared" si="3"/>
        <v>1</v>
      </c>
      <c r="AB36" s="771">
        <f t="shared" si="4"/>
        <v>1</v>
      </c>
      <c r="AC36" s="771">
        <f t="shared" si="5"/>
        <v>1</v>
      </c>
    </row>
    <row r="37" spans="1:29" ht="15">
      <c r="A37" s="472"/>
      <c r="B37" s="422" t="s">
        <v>2756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8"/>
      <c r="M37" s="1129"/>
      <c r="N37" s="1129"/>
      <c r="O37" s="1137"/>
      <c r="P37" s="3243" t="s">
        <v>2566</v>
      </c>
      <c r="Q37" s="1808" t="str">
        <f t="shared" si="14"/>
        <v>工程地质条件</v>
      </c>
      <c r="R37" s="772" t="s">
        <v>17</v>
      </c>
      <c r="S37" s="773">
        <f t="shared" si="10"/>
        <v>100</v>
      </c>
      <c r="T37" s="772" t="s">
        <v>17</v>
      </c>
      <c r="U37" s="773">
        <f t="shared" si="11"/>
        <v>100</v>
      </c>
      <c r="V37" s="772" t="s">
        <v>17</v>
      </c>
      <c r="W37" s="773">
        <f t="shared" si="12"/>
        <v>100</v>
      </c>
      <c r="X37" s="1811"/>
      <c r="Y37" s="3243"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43"/>
      <c r="Q38" s="1808">
        <f t="shared" si="14"/>
        <v>111</v>
      </c>
      <c r="R38" s="772" t="s">
        <v>17</v>
      </c>
      <c r="S38" s="773">
        <f t="shared" si="10"/>
        <v>100</v>
      </c>
      <c r="T38" s="772" t="s">
        <v>17</v>
      </c>
      <c r="U38" s="773">
        <f t="shared" si="11"/>
        <v>100</v>
      </c>
      <c r="V38" s="772" t="s">
        <v>17</v>
      </c>
      <c r="W38" s="773">
        <f t="shared" si="12"/>
        <v>100</v>
      </c>
      <c r="X38" s="1811"/>
      <c r="Y38" s="3243"/>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43"/>
      <c r="Q39" s="1808">
        <f t="shared" si="14"/>
        <v>111</v>
      </c>
      <c r="R39" s="772" t="s">
        <v>17</v>
      </c>
      <c r="S39" s="773">
        <f t="shared" si="10"/>
        <v>100</v>
      </c>
      <c r="T39" s="772" t="s">
        <v>17</v>
      </c>
      <c r="U39" s="773">
        <f t="shared" si="11"/>
        <v>100</v>
      </c>
      <c r="V39" s="772" t="s">
        <v>17</v>
      </c>
      <c r="W39" s="773">
        <f t="shared" si="12"/>
        <v>100</v>
      </c>
      <c r="X39" s="1811"/>
      <c r="Y39" s="3243"/>
      <c r="Z39" s="1812">
        <f t="shared" si="13"/>
        <v>111</v>
      </c>
      <c r="AA39" s="1809">
        <f t="shared" si="3"/>
        <v>1</v>
      </c>
      <c r="AB39" s="1809">
        <f t="shared" si="4"/>
        <v>1</v>
      </c>
      <c r="AC39" s="1809">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43"/>
      <c r="Q40" s="1808">
        <f t="shared" si="14"/>
        <v>111</v>
      </c>
      <c r="R40" s="775" t="s">
        <v>17</v>
      </c>
      <c r="S40" s="776">
        <f t="shared" si="10"/>
        <v>100</v>
      </c>
      <c r="T40" s="775" t="s">
        <v>17</v>
      </c>
      <c r="U40" s="776">
        <f t="shared" si="11"/>
        <v>100</v>
      </c>
      <c r="V40" s="775" t="s">
        <v>17</v>
      </c>
      <c r="W40" s="776">
        <f t="shared" si="12"/>
        <v>100</v>
      </c>
      <c r="X40" s="777"/>
      <c r="Y40" s="3243"/>
      <c r="Z40" s="778">
        <f t="shared" si="13"/>
        <v>111</v>
      </c>
      <c r="AA40" s="1809">
        <f t="shared" si="3"/>
        <v>1</v>
      </c>
      <c r="AB40" s="1809">
        <f t="shared" si="4"/>
        <v>1</v>
      </c>
      <c r="AC40" s="1809">
        <f t="shared" si="5"/>
        <v>1</v>
      </c>
    </row>
    <row r="41" spans="1:29" ht="15">
      <c r="A41" s="479" t="s">
        <v>2721</v>
      </c>
      <c r="B41" s="2701" t="s">
        <v>2801</v>
      </c>
      <c r="C41" s="682" t="s">
        <v>1</v>
      </c>
      <c r="D41" s="481"/>
      <c r="E41" s="482"/>
      <c r="F41" s="483"/>
      <c r="G41" s="484"/>
      <c r="H41" s="485"/>
      <c r="I41" s="482"/>
      <c r="J41" s="485"/>
      <c r="K41" s="781"/>
      <c r="L41" s="1141"/>
      <c r="M41" s="1129"/>
      <c r="N41" s="1129"/>
      <c r="O41" s="1142"/>
      <c r="P41" s="3245" t="str">
        <f>A41</f>
        <v>成交单价</v>
      </c>
      <c r="Q41" s="3245"/>
      <c r="R41" s="3233">
        <f>E41</f>
        <v>0</v>
      </c>
      <c r="S41" s="3233"/>
      <c r="T41" s="3233">
        <f>G41</f>
        <v>0</v>
      </c>
      <c r="U41" s="3233"/>
      <c r="V41" s="3233">
        <f>I41</f>
        <v>0</v>
      </c>
      <c r="W41" s="3233"/>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1"/>
      <c r="M42" s="1129"/>
      <c r="N42" s="1129"/>
      <c r="O42" s="1142"/>
      <c r="P42" s="3245" t="str">
        <f>A42</f>
        <v>比较价值（元/平方米）</v>
      </c>
      <c r="Q42" s="3245"/>
      <c r="R42" s="3290" t="e">
        <f>ROUND(PRODUCT(R41,AA7:AA40),0)</f>
        <v>#DIV/0!</v>
      </c>
      <c r="S42" s="3290"/>
      <c r="T42" s="3290" t="e">
        <f>ROUND(PRODUCT(T41,AB7:AB40),0)</f>
        <v>#DIV/0!</v>
      </c>
      <c r="U42" s="3290"/>
      <c r="V42" s="3290" t="e">
        <f>ROUND(PRODUCT(V41,AC7:AC40),0)</f>
        <v>#DIV/0!</v>
      </c>
      <c r="W42" s="3290"/>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1"/>
      <c r="M43" s="1129"/>
      <c r="N43" s="1129"/>
      <c r="O43" s="1142"/>
      <c r="P43" s="3263" t="str">
        <f>A43</f>
        <v>估价对象XX用房的比较价值（楼面单价，元/平方米）</v>
      </c>
      <c r="Q43" s="3264"/>
      <c r="R43" s="3291" t="e">
        <f>ROUND(AVERAGE(R42:V42),0)</f>
        <v>#DIV/0!</v>
      </c>
      <c r="S43" s="3291"/>
      <c r="T43" s="3291"/>
      <c r="U43" s="3291"/>
      <c r="V43" s="3291"/>
      <c r="W43" s="3291"/>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2759</v>
      </c>
      <c r="B50" s="685" t="s">
        <v>2760</v>
      </c>
      <c r="C50" s="2702" t="s">
        <v>2761</v>
      </c>
      <c r="D50" s="2703" t="s">
        <v>2762</v>
      </c>
      <c r="E50" s="686" t="s">
        <v>2763</v>
      </c>
      <c r="F50" s="687" t="s">
        <v>2764</v>
      </c>
      <c r="G50" s="3220" t="s">
        <v>2765</v>
      </c>
      <c r="H50" s="3292"/>
      <c r="I50" s="1812" t="s">
        <v>2802</v>
      </c>
      <c r="J50" s="1812">
        <f>项目基本情况!F35</f>
        <v>0</v>
      </c>
      <c r="K50" s="2705" t="s">
        <v>2767</v>
      </c>
      <c r="L50" s="1104"/>
      <c r="M50" s="1142"/>
      <c r="N50" s="1142"/>
      <c r="O50" s="1142"/>
    </row>
    <row r="51" spans="1:17" s="692" customFormat="1">
      <c r="A51" s="688" t="s">
        <v>2768</v>
      </c>
      <c r="B51" s="689" t="e">
        <f>C43</f>
        <v>#DIV/0!</v>
      </c>
      <c r="C51" s="690">
        <v>1</v>
      </c>
      <c r="D51" s="1161">
        <v>1</v>
      </c>
      <c r="E51" s="690">
        <f>'数据-汇总表'!E8+'数据-汇总表'!E9</f>
        <v>28043.279999999999</v>
      </c>
      <c r="F51" s="691" t="e">
        <f t="shared" ref="F51:F60" si="15">ROUND(B51*E51/10000,0)</f>
        <v>#DIV/0!</v>
      </c>
      <c r="G51" s="3216"/>
      <c r="H51" s="3245"/>
      <c r="I51" s="940">
        <v>1</v>
      </c>
      <c r="J51" s="940">
        <v>1</v>
      </c>
      <c r="K51" s="1143"/>
      <c r="L51" s="939"/>
      <c r="M51" s="939"/>
      <c r="N51" s="939"/>
      <c r="O51" s="939"/>
    </row>
    <row r="52" spans="1:17" s="692" customFormat="1">
      <c r="A52" s="693" t="s">
        <v>2769</v>
      </c>
      <c r="B52" s="262" t="e">
        <f>ROUND($C$43*C52*D52,0)</f>
        <v>#DIV/0!</v>
      </c>
      <c r="C52" s="200">
        <f t="shared" ref="C52:C60" si="16">IF($C$50="北京市系数",I52,J52)</f>
        <v>0.6</v>
      </c>
      <c r="D52" s="1162">
        <v>0.25</v>
      </c>
      <c r="E52" s="694"/>
      <c r="F52" s="691" t="e">
        <f t="shared" si="15"/>
        <v>#DIV/0!</v>
      </c>
      <c r="G52" s="3293" t="s">
        <v>2770</v>
      </c>
      <c r="H52" s="1102" t="str">
        <f>项目基本情况!B37</f>
        <v>八级</v>
      </c>
      <c r="I52" s="940">
        <f>SUMIF(修正!A45:A56,H52,修正!B45:B56)</f>
        <v>0.6</v>
      </c>
      <c r="J52" s="941"/>
      <c r="K52" s="1142"/>
      <c r="L52" s="939"/>
      <c r="M52" s="939"/>
      <c r="N52" s="939"/>
      <c r="O52" s="939"/>
    </row>
    <row r="53" spans="1:17" s="692" customFormat="1">
      <c r="A53" s="693" t="s">
        <v>2771</v>
      </c>
      <c r="B53" s="262" t="e">
        <f t="shared" ref="B53:B60" si="17">ROUND($C$43*C53*D53,0)</f>
        <v>#DIV/0!</v>
      </c>
      <c r="C53" s="200">
        <f t="shared" si="16"/>
        <v>0.3</v>
      </c>
      <c r="D53" s="1162">
        <v>0.25</v>
      </c>
      <c r="E53" s="694"/>
      <c r="F53" s="691" t="e">
        <f t="shared" si="15"/>
        <v>#DIV/0!</v>
      </c>
      <c r="G53" s="3293"/>
      <c r="H53" s="1102" t="str">
        <f>项目基本情况!B37</f>
        <v>八级</v>
      </c>
      <c r="I53" s="940">
        <f>SUMIF(修正!A45:A56,H53,修正!C45:C56)</f>
        <v>0.3</v>
      </c>
      <c r="J53" s="941"/>
      <c r="K53" s="1143"/>
      <c r="L53" s="939"/>
      <c r="M53" s="939"/>
      <c r="N53" s="939"/>
      <c r="O53" s="939"/>
    </row>
    <row r="54" spans="1:17" s="692" customFormat="1">
      <c r="A54" s="693" t="s">
        <v>2772</v>
      </c>
      <c r="B54" s="262" t="e">
        <f t="shared" si="17"/>
        <v>#DIV/0!</v>
      </c>
      <c r="C54" s="200">
        <f t="shared" si="16"/>
        <v>0.2</v>
      </c>
      <c r="D54" s="1162">
        <v>0.25</v>
      </c>
      <c r="E54" s="694"/>
      <c r="F54" s="691" t="e">
        <f t="shared" si="15"/>
        <v>#DIV/0!</v>
      </c>
      <c r="G54" s="3293"/>
      <c r="H54" s="1102" t="str">
        <f>项目基本情况!B37</f>
        <v>八级</v>
      </c>
      <c r="I54" s="940">
        <f>SUMIF(修正!A45:A56,H54,修正!D45:D56)</f>
        <v>0.2</v>
      </c>
      <c r="J54" s="941"/>
      <c r="K54" s="1142"/>
      <c r="L54" s="939"/>
      <c r="M54" s="939"/>
      <c r="N54" s="939"/>
      <c r="O54" s="939"/>
    </row>
    <row r="55" spans="1:17" s="692" customFormat="1">
      <c r="A55" s="693" t="s">
        <v>2773</v>
      </c>
      <c r="B55" s="262" t="e">
        <f t="shared" si="17"/>
        <v>#DIV/0!</v>
      </c>
      <c r="C55" s="200">
        <f t="shared" si="16"/>
        <v>0.2</v>
      </c>
      <c r="D55" s="1162">
        <v>0.25</v>
      </c>
      <c r="E55" s="694"/>
      <c r="F55" s="691" t="e">
        <f t="shared" si="15"/>
        <v>#DIV/0!</v>
      </c>
      <c r="G55" s="3293"/>
      <c r="H55" s="1102" t="str">
        <f>项目基本情况!B37</f>
        <v>八级</v>
      </c>
      <c r="I55" s="940">
        <f>SUMIF(修正!A45:A56,H55,修正!E45:E56)</f>
        <v>0.2</v>
      </c>
      <c r="J55" s="941"/>
      <c r="K55" s="1143"/>
      <c r="L55" s="939"/>
      <c r="M55" s="939"/>
      <c r="N55" s="939"/>
      <c r="O55" s="939"/>
    </row>
    <row r="56" spans="1:17" s="692" customFormat="1">
      <c r="A56" s="693" t="s">
        <v>2774</v>
      </c>
      <c r="B56" s="262" t="e">
        <f t="shared" si="17"/>
        <v>#DIV/0!</v>
      </c>
      <c r="C56" s="200">
        <f t="shared" si="16"/>
        <v>0.2</v>
      </c>
      <c r="D56" s="1162">
        <v>0.25</v>
      </c>
      <c r="E56" s="261">
        <f>'数据-汇总表'!E11</f>
        <v>0</v>
      </c>
      <c r="F56" s="691" t="e">
        <f t="shared" si="15"/>
        <v>#DIV/0!</v>
      </c>
      <c r="G56" s="2706" t="s">
        <v>2775</v>
      </c>
      <c r="H56" s="1102" t="str">
        <f>项目基本情况!C37</f>
        <v>八级</v>
      </c>
      <c r="I56" s="940">
        <f>SUMIF(修正!A45:A56,H56,修正!F45:F56)</f>
        <v>0.2</v>
      </c>
      <c r="J56" s="941"/>
      <c r="K56" s="1142"/>
      <c r="L56" s="939"/>
      <c r="M56" s="939"/>
      <c r="N56" s="939"/>
      <c r="O56" s="939"/>
    </row>
    <row r="57" spans="1:17" s="692" customFormat="1">
      <c r="A57" s="693" t="s">
        <v>2776</v>
      </c>
      <c r="B57" s="262" t="e">
        <f t="shared" si="17"/>
        <v>#DIV/0!</v>
      </c>
      <c r="C57" s="200">
        <f t="shared" si="16"/>
        <v>0.2</v>
      </c>
      <c r="D57" s="1162">
        <v>0.25</v>
      </c>
      <c r="E57" s="261">
        <f>'数据-汇总表'!E12</f>
        <v>0</v>
      </c>
      <c r="F57" s="691" t="e">
        <f t="shared" si="15"/>
        <v>#DIV/0!</v>
      </c>
      <c r="G57" s="1107" t="s">
        <v>2777</v>
      </c>
      <c r="H57" s="1102" t="str">
        <f>IF(G57="商业",项目基本情况!B37,IF(G57="办公",项目基本情况!C37,IF(G57="住宅",项目基本情况!D37,项目基本情况!E37)))</f>
        <v>八级</v>
      </c>
      <c r="I57" s="940">
        <f>SUMIF(修正!A45:A56,H57,修正!G45:G56)</f>
        <v>0.2</v>
      </c>
      <c r="J57" s="941"/>
      <c r="K57" s="1143"/>
      <c r="L57" s="939"/>
      <c r="M57" s="939"/>
      <c r="N57" s="939"/>
      <c r="O57" s="939"/>
    </row>
    <row r="58" spans="1:17" s="692" customFormat="1">
      <c r="A58" s="693" t="s">
        <v>2778</v>
      </c>
      <c r="B58" s="262" t="e">
        <f t="shared" si="17"/>
        <v>#DIV/0!</v>
      </c>
      <c r="C58" s="200">
        <f t="shared" si="16"/>
        <v>0</v>
      </c>
      <c r="D58" s="1162">
        <v>0.25</v>
      </c>
      <c r="E58" s="261">
        <f>'数据-汇总表'!E13</f>
        <v>12246.83</v>
      </c>
      <c r="F58" s="691"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2780</v>
      </c>
      <c r="B59" s="262" t="e">
        <f t="shared" si="17"/>
        <v>#DIV/0!</v>
      </c>
      <c r="C59" s="200">
        <f t="shared" si="16"/>
        <v>0.15</v>
      </c>
      <c r="D59" s="1162">
        <v>0.25</v>
      </c>
      <c r="E59" s="261">
        <f>'数据-汇总表'!E14</f>
        <v>0</v>
      </c>
      <c r="F59" s="691" t="e">
        <f t="shared" si="15"/>
        <v>#DIV/0!</v>
      </c>
      <c r="G59" s="2706" t="s">
        <v>2770</v>
      </c>
      <c r="H59" s="1102" t="str">
        <f>项目基本情况!B37</f>
        <v>八级</v>
      </c>
      <c r="I59" s="940">
        <f>SUMIF(修正!A45:A56,H59,修正!H45:H56)</f>
        <v>0.15</v>
      </c>
      <c r="J59" s="941"/>
      <c r="K59" s="1143"/>
      <c r="L59" s="939"/>
      <c r="M59" s="939"/>
      <c r="N59" s="939"/>
      <c r="O59" s="939"/>
    </row>
    <row r="60" spans="1:17" s="692" customFormat="1" ht="15" thickBot="1">
      <c r="A60" s="693" t="s">
        <v>2781</v>
      </c>
      <c r="B60" s="262" t="e">
        <f t="shared" si="17"/>
        <v>#DIV/0!</v>
      </c>
      <c r="C60" s="200">
        <f t="shared" si="16"/>
        <v>0.15</v>
      </c>
      <c r="D60" s="1162">
        <v>0.25</v>
      </c>
      <c r="E60" s="261">
        <f>'数据-汇总表'!E15</f>
        <v>0</v>
      </c>
      <c r="F60" s="691" t="e">
        <f t="shared" si="15"/>
        <v>#DIV/0!</v>
      </c>
      <c r="G60" s="2707" t="s">
        <v>2775</v>
      </c>
      <c r="H60" s="1112" t="str">
        <f>项目基本情况!C37</f>
        <v>八级</v>
      </c>
      <c r="I60" s="940">
        <f>SUMIF(修正!A45:A56,H60,修正!H45:H56)</f>
        <v>0.15</v>
      </c>
      <c r="J60" s="941"/>
      <c r="K60" s="1142"/>
      <c r="L60" s="939"/>
      <c r="M60" s="939"/>
      <c r="N60" s="939"/>
      <c r="O60" s="939"/>
    </row>
    <row r="61" spans="1:17" s="692" customFormat="1" ht="15" thickBot="1">
      <c r="A61" s="695" t="s">
        <v>2782</v>
      </c>
      <c r="B61" s="696" t="s">
        <v>28</v>
      </c>
      <c r="C61" s="696" t="s">
        <v>29</v>
      </c>
      <c r="D61" s="696" t="s">
        <v>1026</v>
      </c>
      <c r="E61" s="696">
        <f>IF(B41="楼面地价",SUM(E51:E60),'数据-汇总表'!D3)</f>
        <v>11508.72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2019-5-1</v>
      </c>
      <c r="D63" s="759">
        <f>EDATE(C63,-3)</f>
        <v>43497</v>
      </c>
      <c r="E63" s="759">
        <f>EDATE(D63,-3)</f>
        <v>43405</v>
      </c>
      <c r="F63" s="759">
        <f t="shared" ref="F63:O63" si="18">EDATE(E63,-3)</f>
        <v>43313</v>
      </c>
      <c r="G63" s="759">
        <f t="shared" si="18"/>
        <v>43221</v>
      </c>
      <c r="H63" s="759">
        <f t="shared" si="18"/>
        <v>43132</v>
      </c>
      <c r="I63" s="759">
        <f t="shared" si="18"/>
        <v>43040</v>
      </c>
      <c r="J63" s="759">
        <f t="shared" si="18"/>
        <v>42948</v>
      </c>
      <c r="K63" s="759">
        <f t="shared" si="18"/>
        <v>42856</v>
      </c>
      <c r="L63" s="759">
        <f t="shared" si="18"/>
        <v>42767</v>
      </c>
      <c r="M63" s="759">
        <f t="shared" si="18"/>
        <v>42675</v>
      </c>
      <c r="N63" s="759">
        <f t="shared" si="18"/>
        <v>42583</v>
      </c>
      <c r="O63" s="759">
        <f t="shared" si="18"/>
        <v>42491</v>
      </c>
    </row>
    <row r="64" spans="1:17" ht="21.75" thickBot="1">
      <c r="A64" s="761" t="s">
        <v>2675</v>
      </c>
      <c r="B64" s="757"/>
      <c r="C64" s="762"/>
      <c r="D64" s="762"/>
      <c r="E64" s="762"/>
      <c r="F64" s="763"/>
      <c r="G64" s="763"/>
      <c r="H64" s="762"/>
      <c r="I64" s="762"/>
      <c r="J64" s="762"/>
      <c r="K64" s="764"/>
      <c r="L64" s="765"/>
      <c r="M64" s="762"/>
      <c r="N64" s="762"/>
      <c r="O64" s="1157"/>
      <c r="P64" s="503"/>
      <c r="Q64" s="504"/>
    </row>
    <row r="65" spans="1:17" s="508" customFormat="1" ht="15">
      <c r="A65" s="2708" t="s">
        <v>2783</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13"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9"/>
      <c r="B4" s="3009" t="s">
        <v>1626</v>
      </c>
      <c r="C4" s="3009"/>
      <c r="D4" s="3009"/>
      <c r="E4" s="1959"/>
    </row>
    <row r="5" spans="1:5" ht="16.5" thickTop="1">
      <c r="A5" s="1957"/>
      <c r="B5" s="3007" t="s">
        <v>1618</v>
      </c>
      <c r="C5" s="1960" t="s">
        <v>1619</v>
      </c>
      <c r="D5" s="1038">
        <f ca="1">结果表办公!H101</f>
        <v>64092</v>
      </c>
      <c r="E5" s="1957"/>
    </row>
    <row r="6" spans="1:5" ht="15.75">
      <c r="A6" s="1957"/>
      <c r="B6" s="3007"/>
      <c r="C6" s="1960" t="s">
        <v>1620</v>
      </c>
      <c r="D6" s="1038" t="str">
        <f ca="1">NUMBERSTRING(INT(D5*10000),2)&amp;"元整"</f>
        <v>陆亿肆仟零玖拾贰万元整</v>
      </c>
      <c r="E6" s="1957"/>
    </row>
    <row r="7" spans="1:5" ht="15.75">
      <c r="A7" s="1957"/>
      <c r="B7" s="3012"/>
      <c r="C7" s="1961" t="s">
        <v>1621</v>
      </c>
      <c r="D7" s="1039">
        <f ca="1">结果表办公!H102</f>
        <v>32473</v>
      </c>
      <c r="E7" s="1957"/>
    </row>
    <row r="8" spans="1:5" ht="15.75">
      <c r="A8" s="1957"/>
      <c r="B8" s="3013" t="str">
        <f>结果表办公!E103</f>
        <v>2.估价师知悉的法定优先受偿款</v>
      </c>
      <c r="C8" s="1962" t="s">
        <v>1622</v>
      </c>
      <c r="D8" s="1039">
        <f>结果表办公!H103</f>
        <v>0</v>
      </c>
      <c r="E8" s="1957"/>
    </row>
    <row r="9" spans="1:5" ht="15.75">
      <c r="A9" s="1957"/>
      <c r="B9" s="3015"/>
      <c r="C9" s="1960" t="s">
        <v>1620</v>
      </c>
      <c r="D9" s="1038" t="str">
        <f>NUMBERSTRING(INT(D8*10000),2)&amp;"元整"</f>
        <v>零元整</v>
      </c>
      <c r="E9" s="1957"/>
    </row>
    <row r="10" spans="1:5" ht="15">
      <c r="A10" s="1957"/>
      <c r="B10" s="1963" t="s">
        <v>1625</v>
      </c>
      <c r="C10" s="1964" t="s">
        <v>1623</v>
      </c>
      <c r="D10" s="1040">
        <f>结果表办公!H104</f>
        <v>0</v>
      </c>
      <c r="E10" s="1957"/>
    </row>
    <row r="11" spans="1:5" ht="15">
      <c r="A11" s="1957"/>
      <c r="B11" s="1963" t="s">
        <v>1627</v>
      </c>
      <c r="C11" s="1964" t="s">
        <v>1628</v>
      </c>
      <c r="D11" s="1040">
        <f>结果表办公!H105</f>
        <v>0</v>
      </c>
      <c r="E11" s="1957"/>
    </row>
    <row r="12" spans="1:5" ht="15">
      <c r="A12" s="1957"/>
      <c r="B12" s="1963" t="s">
        <v>1629</v>
      </c>
      <c r="C12" s="1964" t="s">
        <v>1628</v>
      </c>
      <c r="D12" s="1040">
        <f>结果表办公!H106</f>
        <v>0</v>
      </c>
      <c r="E12" s="1957"/>
    </row>
    <row r="13" spans="1:5" ht="15.75">
      <c r="A13" s="1957"/>
      <c r="B13" s="3006" t="str">
        <f>结果表办公!E107</f>
        <v>3.房地产抵押价值</v>
      </c>
      <c r="C13" s="1965" t="s">
        <v>1619</v>
      </c>
      <c r="D13" s="1041">
        <f ca="1">结果表办公!H107</f>
        <v>64092</v>
      </c>
      <c r="E13" s="1957"/>
    </row>
    <row r="14" spans="1:5" ht="15.75">
      <c r="A14" s="1957"/>
      <c r="B14" s="3007"/>
      <c r="C14" s="1960" t="s">
        <v>1620</v>
      </c>
      <c r="D14" s="1038" t="str">
        <f ca="1">NUMBERSTRING(INT(D13*10000),2)&amp;"元整"</f>
        <v>陆亿肆仟零玖拾贰万元整</v>
      </c>
      <c r="E14" s="1957"/>
    </row>
    <row r="15" spans="1:5" ht="15">
      <c r="A15" s="1957"/>
      <c r="B15" s="3012"/>
      <c r="C15" s="1961" t="s">
        <v>1630</v>
      </c>
      <c r="D15" s="1050">
        <f ca="1">结果表办公!H108</f>
        <v>12353</v>
      </c>
      <c r="E15" s="1957"/>
    </row>
    <row r="16" spans="1:5" ht="15">
      <c r="A16" s="1957"/>
      <c r="B16" s="3013" t="str">
        <f>结果表办公!E109</f>
        <v>——</v>
      </c>
      <c r="C16" s="1965" t="s">
        <v>1631</v>
      </c>
      <c r="D16" s="1966" t="str">
        <f>结果表办公!H109</f>
        <v>——</v>
      </c>
      <c r="E16" s="1957"/>
    </row>
    <row r="17" spans="1:5" ht="15.75">
      <c r="A17" s="1957"/>
      <c r="B17" s="3014"/>
      <c r="C17" s="1960" t="s">
        <v>1632</v>
      </c>
      <c r="D17" s="1038" t="e">
        <f>NUMBERSTRING(INT(D16*10000),2)&amp;"元整"</f>
        <v>#VALUE!</v>
      </c>
      <c r="E17" s="1957"/>
    </row>
    <row r="18" spans="1:5" ht="15">
      <c r="A18" s="1957"/>
      <c r="B18" s="3015"/>
      <c r="C18" s="1961" t="s">
        <v>1621</v>
      </c>
      <c r="D18" s="1050" t="str">
        <f>结果表办公!H110</f>
        <v>——</v>
      </c>
      <c r="E18" s="1957"/>
    </row>
    <row r="19" spans="1:5" ht="15.75">
      <c r="A19" s="1957"/>
      <c r="B19" s="3006" t="str">
        <f>结果表办公!E111</f>
        <v>——</v>
      </c>
      <c r="C19" s="1965" t="s">
        <v>1619</v>
      </c>
      <c r="D19" s="1039" t="str">
        <f>结果表办公!H111</f>
        <v>——</v>
      </c>
      <c r="E19" s="1957"/>
    </row>
    <row r="20" spans="1:5" ht="15.75">
      <c r="A20" s="1957"/>
      <c r="B20" s="3007"/>
      <c r="C20" s="1960" t="s">
        <v>1632</v>
      </c>
      <c r="D20" s="1038" t="e">
        <f>NUMBERSTRING(INT(D19*10000),2)&amp;"元整"</f>
        <v>#VALUE!</v>
      </c>
      <c r="E20" s="1957"/>
    </row>
    <row r="21" spans="1:5" ht="15.75" thickBot="1">
      <c r="A21" s="1957"/>
      <c r="B21" s="3008"/>
      <c r="C21" s="1967" t="s">
        <v>1630</v>
      </c>
      <c r="D21" s="1051" t="str">
        <f>结果表办公!H112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40" t="s">
        <v>2805</v>
      </c>
      <c r="B1" s="241"/>
      <c r="C1" s="245" t="s">
        <v>2806</v>
      </c>
      <c r="D1" s="388">
        <f>SUM(D29:D30,D33:D39)</f>
        <v>0</v>
      </c>
      <c r="E1" s="2714"/>
      <c r="F1" s="2714"/>
      <c r="G1" s="2714"/>
      <c r="H1" s="2714"/>
      <c r="I1" s="2714"/>
      <c r="J1" s="2714"/>
      <c r="K1" s="1368"/>
      <c r="L1" s="2715" t="s">
        <v>2807</v>
      </c>
      <c r="M1" s="1078">
        <f>SUMPRODUCT((区片价!B5:B9=I2)*(区片价!C3:F3=E2)*(区片价!C5:F9))</f>
        <v>0</v>
      </c>
      <c r="N1" s="1081">
        <f>SUMPRODUCT((因素修正幅度!B5:B9=I2)*(因素修正幅度!C3:F3=E2)*(因素修正幅度!C5:F9))</f>
        <v>0</v>
      </c>
      <c r="O1" s="2716"/>
      <c r="P1" s="2716"/>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18" t="s">
        <v>2814</v>
      </c>
      <c r="D2" s="2719" t="s">
        <v>2815</v>
      </c>
      <c r="E2" s="2720"/>
      <c r="F2" s="2719" t="s">
        <v>2816</v>
      </c>
      <c r="G2" s="2721">
        <f>IF(E2="商业",项目基本情况!B37,IF(E2="办公",项目基本情况!C37,IF(E2="住宅",项目基本情况!D37,项目基本情况!E37)))</f>
        <v>0</v>
      </c>
      <c r="H2" s="2719" t="s">
        <v>2817</v>
      </c>
      <c r="I2" s="2721">
        <f>IF(E2="商业",项目基本情况!B38,IF(E2="办公",项目基本情况!C38,IF(E2="住宅",项目基本情况!D38,项目基本情况!E38)))</f>
        <v>0</v>
      </c>
      <c r="J2" s="2722"/>
      <c r="K2" s="1368"/>
      <c r="L2" s="2723"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18" t="s">
        <v>2820</v>
      </c>
      <c r="D3" s="2719" t="s">
        <v>2821</v>
      </c>
      <c r="E3" s="2724"/>
      <c r="F3" s="2725" t="s">
        <v>2822</v>
      </c>
      <c r="G3" s="914">
        <f>IF(F3="宗地容积率",'数据-汇总表'!I4,IF(F3="估价对象容积率",'数据-汇总表'!I6,'数据-汇总表'!I7))</f>
        <v>2.44</v>
      </c>
      <c r="H3" s="198" t="s">
        <v>2823</v>
      </c>
      <c r="I3" s="942"/>
      <c r="J3" s="2722" t="s">
        <v>2824</v>
      </c>
      <c r="K3" s="1368"/>
      <c r="L3" s="2723"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4"/>
      <c r="B4" s="3315"/>
      <c r="C4" s="3315"/>
      <c r="D4" s="3316"/>
      <c r="E4" s="3316"/>
      <c r="F4" s="3316"/>
      <c r="G4" s="3316"/>
      <c r="H4" s="3316"/>
      <c r="I4" s="3316"/>
      <c r="J4" s="3317"/>
      <c r="K4" s="1368"/>
      <c r="L4" s="2723"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2827</v>
      </c>
      <c r="C5" s="915" t="e">
        <f>ROUND(IF(E2="商业",C6*C7+C16,(IF(E2="住宅",C6*C12+C16,C6+C16))),0)</f>
        <v>#DIV/0!</v>
      </c>
      <c r="D5" s="1785" t="e">
        <f>ROUND(IF(F17="增加",C6+C16,C6-C16),0)</f>
        <v>#DIV/0!</v>
      </c>
      <c r="E5" s="1785"/>
      <c r="F5" s="2728"/>
      <c r="G5" s="2729"/>
      <c r="H5" s="2729"/>
      <c r="I5" s="2729"/>
      <c r="J5" s="2730"/>
      <c r="K5" s="2731"/>
      <c r="L5" s="2723"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2829</v>
      </c>
      <c r="B6" s="2737" t="s">
        <v>2830</v>
      </c>
      <c r="C6" s="916">
        <f>SUMIF(L1:L12,G2,M1:M12)</f>
        <v>0</v>
      </c>
      <c r="D6" s="2738" t="s">
        <v>2831</v>
      </c>
      <c r="E6" s="2739"/>
      <c r="F6" s="2739"/>
      <c r="G6" s="2740"/>
      <c r="H6" s="2740"/>
      <c r="I6" s="2740"/>
      <c r="J6" s="2741"/>
      <c r="K6" s="1840"/>
      <c r="L6" s="2723"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98" t="str">
        <f>IF(E2="商业",IF(C8="不临58条商业街","",2),"")</f>
        <v/>
      </c>
      <c r="B7" s="2742" t="s">
        <v>2833</v>
      </c>
      <c r="C7" s="917" t="e">
        <f>IF(C8="不临58条商业街",1,ROUND(1+(1.6*E8+1.2*E9+0.8*E10+0.4*E11)*C9,4))</f>
        <v>#DIV/0!</v>
      </c>
      <c r="D7" s="2743" t="s">
        <v>2834</v>
      </c>
      <c r="E7" s="943"/>
      <c r="F7" s="2744"/>
      <c r="G7" s="2745"/>
      <c r="H7" s="2745"/>
      <c r="I7" s="2745"/>
      <c r="J7" s="2746"/>
      <c r="K7" s="1840"/>
      <c r="L7" s="2723"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2.44</v>
      </c>
      <c r="AA7" s="1604"/>
      <c r="AB7" s="1604"/>
      <c r="AC7" s="1605"/>
      <c r="AD7" s="1606"/>
      <c r="AE7" s="1606"/>
      <c r="AF7" s="1606"/>
      <c r="AG7" s="1606"/>
      <c r="AH7" s="1606"/>
      <c r="AI7" s="1606"/>
      <c r="AJ7" s="1607"/>
    </row>
    <row r="8" spans="1:36" ht="15">
      <c r="A8" s="3318"/>
      <c r="B8" s="198" t="s">
        <v>2838</v>
      </c>
      <c r="C8" s="2747"/>
      <c r="D8" s="918" t="s">
        <v>139</v>
      </c>
      <c r="E8" s="919" t="e">
        <f>ROUND(C11/E7,4)</f>
        <v>#DIV/0!</v>
      </c>
      <c r="F8" s="2748" t="s">
        <v>2839</v>
      </c>
      <c r="G8" s="2749"/>
      <c r="H8" s="2749"/>
      <c r="I8" s="2749"/>
      <c r="J8" s="2750"/>
      <c r="K8" s="1368"/>
      <c r="L8" s="2723"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11" t="s">
        <v>2841</v>
      </c>
      <c r="X8" s="3312"/>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318"/>
      <c r="B9" s="198" t="s">
        <v>2854</v>
      </c>
      <c r="C9" s="920">
        <f>SUMIF(修正!C59:C119,C8,修正!E59:E119)</f>
        <v>0</v>
      </c>
      <c r="D9" s="200" t="s">
        <v>140</v>
      </c>
      <c r="E9" s="200" t="e">
        <f>ROUND(C11/E7,4)</f>
        <v>#DIV/0!</v>
      </c>
      <c r="F9" s="2748" t="s">
        <v>2855</v>
      </c>
      <c r="G9" s="2749"/>
      <c r="H9" s="2749"/>
      <c r="I9" s="2749"/>
      <c r="J9" s="2750"/>
      <c r="K9" s="1368"/>
      <c r="L9" s="2723"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3"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8"/>
      <c r="B10" s="198" t="s">
        <v>2859</v>
      </c>
      <c r="C10" s="200">
        <f>SUMIF(修正!C59:C119,C8,修正!F59:F119)</f>
        <v>0</v>
      </c>
      <c r="D10" s="200" t="s">
        <v>141</v>
      </c>
      <c r="E10" s="200" t="e">
        <f>ROUND(C11/E7,4)</f>
        <v>#DIV/0!</v>
      </c>
      <c r="F10" s="2748" t="s">
        <v>2860</v>
      </c>
      <c r="G10" s="2749"/>
      <c r="H10" s="2749"/>
      <c r="I10" s="2749"/>
      <c r="J10" s="2750"/>
      <c r="K10" s="1368"/>
      <c r="L10" s="2723"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8"/>
      <c r="B11" s="2751" t="s">
        <v>2862</v>
      </c>
      <c r="C11" s="921">
        <f>C10/4</f>
        <v>0</v>
      </c>
      <c r="D11" s="921" t="s">
        <v>142</v>
      </c>
      <c r="E11" s="921" t="e">
        <f>ROUND(C11/E7,4)</f>
        <v>#DIV/0!</v>
      </c>
      <c r="F11" s="2752" t="s">
        <v>2863</v>
      </c>
      <c r="G11" s="2753"/>
      <c r="H11" s="2753"/>
      <c r="I11" s="2753"/>
      <c r="J11" s="2754"/>
      <c r="K11" s="1368"/>
      <c r="L11" s="2723"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3" t="s">
        <v>2865</v>
      </c>
      <c r="X11" s="1612" t="s">
        <v>2866</v>
      </c>
      <c r="Y11" s="1613">
        <f>$G$3</f>
        <v>2.44</v>
      </c>
      <c r="Z11" s="1613">
        <f t="shared" ref="Z11:AJ11" si="3">$G$3</f>
        <v>2.44</v>
      </c>
      <c r="AA11" s="1613">
        <f t="shared" si="3"/>
        <v>2.44</v>
      </c>
      <c r="AB11" s="1613">
        <f t="shared" si="3"/>
        <v>2.44</v>
      </c>
      <c r="AC11" s="1613">
        <f t="shared" si="3"/>
        <v>2.44</v>
      </c>
      <c r="AD11" s="1613">
        <f t="shared" si="3"/>
        <v>2.44</v>
      </c>
      <c r="AE11" s="1613">
        <f t="shared" si="3"/>
        <v>2.44</v>
      </c>
      <c r="AF11" s="1613">
        <f t="shared" si="3"/>
        <v>2.44</v>
      </c>
      <c r="AG11" s="1613">
        <f t="shared" si="3"/>
        <v>2.44</v>
      </c>
      <c r="AH11" s="1613">
        <f t="shared" si="3"/>
        <v>2.44</v>
      </c>
      <c r="AI11" s="1613">
        <f t="shared" si="3"/>
        <v>2.44</v>
      </c>
      <c r="AJ11" s="1613">
        <f t="shared" si="3"/>
        <v>2.44</v>
      </c>
    </row>
    <row r="12" spans="1:36" ht="25.5" thickBot="1">
      <c r="A12" s="3298" t="s">
        <v>2867</v>
      </c>
      <c r="B12" s="2755" t="s">
        <v>2868</v>
      </c>
      <c r="C12" s="917">
        <f>ROUND(C15*D15*E15*F15*G15*H15*I15*J15,4)</f>
        <v>1</v>
      </c>
      <c r="D12" s="2756" t="s">
        <v>2869</v>
      </c>
      <c r="E12" s="2757"/>
      <c r="F12" s="2757"/>
      <c r="G12" s="2758"/>
      <c r="H12" s="2758"/>
      <c r="I12" s="2758"/>
      <c r="J12" s="2759"/>
      <c r="K12" s="1368"/>
      <c r="L12" s="2760"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3"/>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9"/>
      <c r="B13" s="2761" t="s">
        <v>2872</v>
      </c>
      <c r="C13" s="2762" t="s">
        <v>2873</v>
      </c>
      <c r="D13" s="1806" t="s">
        <v>2874</v>
      </c>
      <c r="E13" s="1806" t="s">
        <v>2875</v>
      </c>
      <c r="F13" s="30" t="s">
        <v>2876</v>
      </c>
      <c r="G13" s="2763" t="s">
        <v>2877</v>
      </c>
      <c r="H13" s="2763" t="s">
        <v>2877</v>
      </c>
      <c r="I13" s="2763" t="s">
        <v>2877</v>
      </c>
      <c r="J13" s="2764" t="s">
        <v>2877</v>
      </c>
      <c r="K13" s="1368"/>
      <c r="L13" s="1368"/>
      <c r="M13" s="1368"/>
      <c r="N13" s="1368"/>
      <c r="O13" s="1368"/>
      <c r="P13" s="1368"/>
      <c r="Q13" s="1368"/>
      <c r="R13" s="1600">
        <v>12</v>
      </c>
      <c r="S13" s="1601"/>
      <c r="T13" s="1600" t="e">
        <f t="shared" si="0"/>
        <v>#DIV/0!</v>
      </c>
      <c r="U13" s="1601"/>
      <c r="V13" s="1600" t="e">
        <f t="shared" si="1"/>
        <v>#DIV/0!</v>
      </c>
      <c r="W13" s="3313"/>
      <c r="X13" s="1614"/>
      <c r="Y13" s="1611">
        <f>(-0.163*(Y12^2)-0.59*Y12+7617)*(10^(-4))/Y11</f>
        <v>0.312172131147541</v>
      </c>
      <c r="Z13" s="1611">
        <f t="shared" ref="Z13:AJ13" si="5">(-0.163*(Z12^2)-0.59*Z12+7617)*(10^(-4))/Z11</f>
        <v>0.312172131147541</v>
      </c>
      <c r="AA13" s="1611">
        <f t="shared" si="5"/>
        <v>0.312172131147541</v>
      </c>
      <c r="AB13" s="1611">
        <f t="shared" si="5"/>
        <v>0.312172131147541</v>
      </c>
      <c r="AC13" s="1611">
        <f t="shared" si="5"/>
        <v>0.312172131147541</v>
      </c>
      <c r="AD13" s="1611">
        <f t="shared" si="5"/>
        <v>0.312172131147541</v>
      </c>
      <c r="AE13" s="1611">
        <f t="shared" si="5"/>
        <v>0.312172131147541</v>
      </c>
      <c r="AF13" s="1611">
        <f t="shared" si="5"/>
        <v>0.312172131147541</v>
      </c>
      <c r="AG13" s="1611">
        <f t="shared" si="5"/>
        <v>0.312172131147541</v>
      </c>
      <c r="AH13" s="1611">
        <f t="shared" si="5"/>
        <v>0.312172131147541</v>
      </c>
      <c r="AI13" s="1611">
        <f t="shared" si="5"/>
        <v>0.312172131147541</v>
      </c>
      <c r="AJ13" s="1611">
        <f t="shared" si="5"/>
        <v>0.312172131147541</v>
      </c>
    </row>
    <row r="14" spans="1:36" ht="15">
      <c r="A14" s="3319"/>
      <c r="B14" s="2765"/>
      <c r="C14" s="2766"/>
      <c r="D14" s="2767"/>
      <c r="E14" s="2767"/>
      <c r="F14" s="2768"/>
      <c r="G14" s="2769" t="s">
        <v>2878</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0"/>
      <c r="B15" s="2773" t="s">
        <v>2879</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8" t="s">
        <v>2884</v>
      </c>
      <c r="B16" s="2742" t="s">
        <v>2885</v>
      </c>
      <c r="C16" s="2932" t="e">
        <f>ROUND(IF(F17="与级别开发程度一致",0,(G17-E17)/C17),0)</f>
        <v>#DIV/0!</v>
      </c>
      <c r="D16" s="3309" t="s">
        <v>2889</v>
      </c>
      <c r="E16" s="3310"/>
      <c r="F16" s="3309" t="s">
        <v>2886</v>
      </c>
      <c r="G16" s="3310"/>
      <c r="H16" s="2776"/>
      <c r="I16" s="2776"/>
      <c r="J16" s="2936"/>
      <c r="K16" s="2776"/>
      <c r="L16" s="2776"/>
      <c r="M16" s="2776"/>
      <c r="N16" s="2776"/>
      <c r="O16" s="2777"/>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9"/>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7" t="s">
        <v>808</v>
      </c>
      <c r="B18" s="2938" t="s">
        <v>2891</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2892</v>
      </c>
      <c r="C19" s="922" t="e">
        <f>ROUND(IF(H19="按公示增长率计算",SUMPRODUCT((地价!A3:A26=YEAR(G19)&amp;"-"&amp;ROUNDUP(MONTH(G19)/3,0))*(地价!X2:AB2=E2)*(地价!X3:AB26)),IF(H19="地价指数",M20/M19,(1+I19)^O19)),4)</f>
        <v>#DIV/0!</v>
      </c>
      <c r="D19" s="2786" t="s">
        <v>2893</v>
      </c>
      <c r="E19" s="923">
        <v>41640</v>
      </c>
      <c r="F19" s="2786" t="s">
        <v>2894</v>
      </c>
      <c r="G19" s="924">
        <f>'数据-取费表'!B2</f>
        <v>43602</v>
      </c>
      <c r="H19" s="2787" t="s">
        <v>2895</v>
      </c>
      <c r="I19" s="925" t="str">
        <f>IF(H19="季度增幅（自定义）",SUMIF(N21:N24,E2,O21:O24),"")</f>
        <v/>
      </c>
      <c r="J19" s="2784"/>
      <c r="K19" s="1375"/>
      <c r="L19" s="2788" t="s">
        <v>2896</v>
      </c>
      <c r="M19" s="1732">
        <f>ROUND(SUMIF(地价!B2:F2,E2,地价!B26:F26),0)</f>
        <v>0</v>
      </c>
      <c r="N19" s="2789" t="s">
        <v>2897</v>
      </c>
      <c r="O19" s="926">
        <f>ROUNDDOWN(DATEDIF(E19,G19,"M")/3,0)</f>
        <v>21</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2898</v>
      </c>
      <c r="C20" s="927" t="e">
        <f>ROUND(POWER(1+G20,J20-I20)*(POWER(1+G20,I20)-1)/(POWER(1+G20,J20)-1),4)</f>
        <v>#DIV/0!</v>
      </c>
      <c r="D20" s="2795" t="s">
        <v>2899</v>
      </c>
      <c r="E20" s="1766">
        <f ca="1">存贷款利率!D4/100</f>
        <v>4.3499999999999997E-2</v>
      </c>
      <c r="F20" s="2795" t="s">
        <v>2890</v>
      </c>
      <c r="G20" s="932">
        <f>SUMIF(M26:P26,E2,M28:P28)</f>
        <v>0</v>
      </c>
      <c r="H20" s="2795" t="s">
        <v>2900</v>
      </c>
      <c r="I20" s="933" t="e">
        <f>SUMIF('数据-取费表'!C6:C15,E2,'数据-取费表'!F6:F15)/COUNTIF('数据-取费表'!C6:C15,E2)</f>
        <v>#DIV/0!</v>
      </c>
      <c r="J20" s="934">
        <f>IF(E2="住宅",70,IF(E2="商业",40,50))</f>
        <v>50</v>
      </c>
      <c r="K20" s="1375"/>
      <c r="L20" s="2796" t="s">
        <v>2901</v>
      </c>
      <c r="M20" s="1733">
        <f>ROUND(SUMPRODUCT((地价!A4:A26=YEAR(G19)&amp;"-"&amp;ROUNDUP(MONTH(G19)/3,0))*(地价!B2:F2=E2)*(地价!B4:F26)),0)</f>
        <v>0</v>
      </c>
      <c r="N20" s="2797" t="s">
        <v>2902</v>
      </c>
      <c r="O20" s="2798" t="s">
        <v>2903</v>
      </c>
      <c r="P20" s="2799" t="s">
        <v>2904</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2905</v>
      </c>
      <c r="C21" s="935">
        <f>IF(B21="容积率修正",IF(G3&lt;=10,D22,J22),C23)</f>
        <v>0</v>
      </c>
      <c r="D21" s="2802"/>
      <c r="E21" s="2802"/>
      <c r="F21" s="2802"/>
      <c r="G21" s="2802"/>
      <c r="H21" s="2802"/>
      <c r="I21" s="2802"/>
      <c r="J21" s="2803"/>
      <c r="K21" s="1375"/>
      <c r="N21" s="2804" t="s">
        <v>2906</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5" customFormat="1" ht="14.25">
      <c r="A22" s="2661" t="s">
        <v>2907</v>
      </c>
      <c r="B22" s="2805" t="s">
        <v>2908</v>
      </c>
      <c r="C22" s="1808" t="s">
        <v>2909</v>
      </c>
      <c r="D22" s="1808">
        <f>IF(E22=G22,F22,IF(G3&lt;=10,ROUND(F22+(H22-F22)*(G3-E22)/(G22-E22),4),"——"))</f>
        <v>0</v>
      </c>
      <c r="E22" s="914">
        <f>ROUNDDOWN(G3,1)</f>
        <v>2.4</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4" t="s">
        <v>2910</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1" t="s">
        <v>2911</v>
      </c>
      <c r="B23" s="2806" t="s">
        <v>2912</v>
      </c>
      <c r="C23" s="1011">
        <f>ROUND(IF(G3&gt;1,IF(I3&lt;7,SUMPRODUCT((B93:B98=I3)*(C92:N92=G2)*(C93:N98)),SUMIF(C92:N92,G2,C100:N100)),IF(I3&lt;7,SUMPRODUCT((B102:B107=I3)*(C92:N92=G2)*(C102:N107)),SUMIF(C92:N92,G2,C109:N109))),4)</f>
        <v>0</v>
      </c>
      <c r="D23" s="2770"/>
      <c r="E23" s="2770"/>
      <c r="F23" s="2807"/>
      <c r="G23" s="2808"/>
      <c r="H23" s="2809"/>
      <c r="I23" s="2810"/>
      <c r="J23" s="2811"/>
      <c r="K23" s="1368"/>
      <c r="N23" s="2804" t="s">
        <v>2913</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2914</v>
      </c>
      <c r="C24" s="922">
        <f>SUMIF(A45:A88,E2,B45:B88)</f>
        <v>0</v>
      </c>
      <c r="D24" s="2783"/>
      <c r="E24" s="2812"/>
      <c r="F24" s="2812"/>
      <c r="G24" s="2812"/>
      <c r="H24" s="2812"/>
      <c r="I24" s="2812"/>
      <c r="J24" s="2813"/>
      <c r="K24" s="1375"/>
      <c r="N24" s="2814" t="s">
        <v>2915</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2916</v>
      </c>
      <c r="C25" s="928"/>
      <c r="D25" s="2745"/>
      <c r="E25" s="2745"/>
      <c r="F25" s="2816"/>
      <c r="G25" s="2745"/>
      <c r="H25" s="2745"/>
      <c r="I25" s="2745"/>
      <c r="J25" s="2746"/>
      <c r="K25" s="1368"/>
      <c r="N25" s="2817" t="s">
        <v>2917</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8"/>
      <c r="B26" s="2805" t="s">
        <v>2918</v>
      </c>
      <c r="C26" s="206" t="e">
        <f>E29+SUM(E33:E39)</f>
        <v>#DIV/0!</v>
      </c>
      <c r="D26" s="2819"/>
      <c r="E26" s="2770"/>
      <c r="F26" s="2820"/>
      <c r="G26" s="2770"/>
      <c r="H26" s="2770"/>
      <c r="I26" s="2770"/>
      <c r="J26" s="2821"/>
      <c r="K26" s="1368"/>
      <c r="L26" s="2774" t="s">
        <v>2815</v>
      </c>
      <c r="M26" s="918" t="s">
        <v>2880</v>
      </c>
      <c r="N26" s="918" t="s">
        <v>2881</v>
      </c>
      <c r="O26" s="918" t="s">
        <v>2882</v>
      </c>
      <c r="P26" s="2775" t="s">
        <v>2883</v>
      </c>
      <c r="R26" s="1374"/>
      <c r="S26" s="1374"/>
      <c r="T26" s="1369"/>
      <c r="U26" s="1369"/>
      <c r="V26" s="1369"/>
      <c r="W26" s="1368"/>
      <c r="X26" s="1368"/>
      <c r="Y26" s="1368"/>
      <c r="Z26" s="1375"/>
      <c r="AA26" s="1376"/>
      <c r="AB26" s="1376"/>
      <c r="AC26" s="1376"/>
      <c r="AD26" s="1376"/>
    </row>
    <row r="27" spans="1:37" ht="15.75" thickBot="1">
      <c r="A27" s="2818"/>
      <c r="B27" s="2822" t="s">
        <v>2919</v>
      </c>
      <c r="C27" s="929" t="e">
        <f>E30+SUM(I33:I39)</f>
        <v>#DIV/0!</v>
      </c>
      <c r="D27" s="2823"/>
      <c r="E27" s="2824"/>
      <c r="F27" s="2825"/>
      <c r="G27" s="2824"/>
      <c r="H27" s="2824"/>
      <c r="I27" s="2824"/>
      <c r="J27" s="2826"/>
      <c r="K27" s="1368"/>
      <c r="L27" s="2778"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2920</v>
      </c>
      <c r="C28" s="2829" t="s">
        <v>2921</v>
      </c>
      <c r="D28" s="2829" t="s">
        <v>2922</v>
      </c>
      <c r="E28" s="2830" t="s">
        <v>2923</v>
      </c>
      <c r="F28" s="2831"/>
      <c r="G28" s="2758"/>
      <c r="H28" s="2758"/>
      <c r="I28" s="2758"/>
      <c r="J28" s="2759"/>
      <c r="K28" s="1368"/>
      <c r="L28" s="2779" t="s">
        <v>2890</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2924</v>
      </c>
      <c r="C29" s="206" t="e">
        <f>ROUND(C5*C18*C19*C20*C21*C24,0)</f>
        <v>#DIV/0!</v>
      </c>
      <c r="D29" s="2834"/>
      <c r="E29" s="940" t="e">
        <f>ROUND(C29*D29/10000,0)</f>
        <v>#DIV/0!</v>
      </c>
      <c r="F29" s="2835" t="s">
        <v>2925</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2926</v>
      </c>
      <c r="C30" s="229" t="e">
        <f>ROUND(IF(E2="工业",C29*M39,C29*M38),0)</f>
        <v>#DIV/0!</v>
      </c>
      <c r="D30" s="2840"/>
      <c r="E30" s="940" t="e">
        <f>ROUND(C30*D30/10000,0)</f>
        <v>#DIV/0!</v>
      </c>
      <c r="F30" s="2841" t="s">
        <v>2927</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2928</v>
      </c>
      <c r="C31" s="2846" t="s">
        <v>2929</v>
      </c>
      <c r="D31" s="2758"/>
      <c r="E31" s="2846"/>
      <c r="F31" s="2846"/>
      <c r="G31" s="2756" t="s">
        <v>2930</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1" t="s">
        <v>2921</v>
      </c>
      <c r="D32" s="498" t="s">
        <v>2922</v>
      </c>
      <c r="E32" s="498" t="s">
        <v>2923</v>
      </c>
      <c r="F32" s="388" t="s">
        <v>2931</v>
      </c>
      <c r="G32" s="2849" t="s">
        <v>2921</v>
      </c>
      <c r="H32" s="2849" t="s">
        <v>2922</v>
      </c>
      <c r="I32" s="2849" t="s">
        <v>2923</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306" t="s">
        <v>2932</v>
      </c>
      <c r="B33" s="2850" t="s">
        <v>2933</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7"/>
      <c r="B34" s="2762" t="s">
        <v>2934</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7"/>
      <c r="B35" s="2762" t="s">
        <v>2935</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8"/>
      <c r="L35" s="1368"/>
      <c r="M35" s="1368"/>
      <c r="N35" s="1368"/>
      <c r="O35" s="1368"/>
      <c r="P35" s="1368"/>
      <c r="Q35" s="1368"/>
      <c r="R35" s="1368"/>
      <c r="S35" s="1368"/>
      <c r="T35" s="1368"/>
      <c r="U35" s="1368"/>
      <c r="V35" s="1368"/>
      <c r="W35" s="1368"/>
      <c r="X35" s="1368"/>
      <c r="Y35" s="1368"/>
      <c r="Z35" s="1369"/>
    </row>
    <row r="36" spans="1:37" ht="13.5" thickBot="1">
      <c r="A36" s="3308"/>
      <c r="B36" s="2762" t="s">
        <v>2936</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2937</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8"/>
      <c r="L37" s="2853" t="s">
        <v>2938</v>
      </c>
      <c r="M37" s="2854"/>
      <c r="N37" s="1368"/>
      <c r="O37" s="1368"/>
      <c r="P37" s="1368"/>
      <c r="Q37" s="1368"/>
      <c r="R37" s="1368"/>
      <c r="S37" s="1368"/>
      <c r="T37" s="1368"/>
      <c r="U37" s="1368"/>
      <c r="V37" s="1368"/>
      <c r="W37" s="1368"/>
      <c r="X37" s="1368"/>
      <c r="Y37" s="1368"/>
      <c r="Z37" s="1369"/>
    </row>
    <row r="38" spans="1:37">
      <c r="A38" s="2852"/>
      <c r="B38" s="2762" t="s">
        <v>2939</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8"/>
      <c r="L38" s="1885" t="s">
        <v>2940</v>
      </c>
      <c r="M38" s="2855">
        <v>0.25</v>
      </c>
      <c r="N38" s="1368"/>
      <c r="O38" s="1368"/>
      <c r="P38" s="1368"/>
      <c r="Q38" s="1368"/>
      <c r="R38" s="1368"/>
      <c r="S38" s="1368"/>
      <c r="T38" s="1368"/>
      <c r="U38" s="1368"/>
      <c r="V38" s="1368"/>
      <c r="W38" s="1368"/>
      <c r="X38" s="1368"/>
      <c r="Y38" s="1368"/>
      <c r="Z38" s="1369"/>
    </row>
    <row r="39" spans="1:37" ht="13.5" thickBot="1">
      <c r="A39" s="2838"/>
      <c r="B39" s="2856" t="s">
        <v>2941</v>
      </c>
      <c r="C39" s="229" t="e">
        <f>ROUND(D5*C19*C41*C24*F39,0)</f>
        <v>#DIV/0!</v>
      </c>
      <c r="D39" s="2840"/>
      <c r="E39" s="229" t="e">
        <f t="shared" si="7"/>
        <v>#DIV/0!</v>
      </c>
      <c r="F39" s="930">
        <f>SUMIF(修正!A45:A56,G2,修正!H45:H56)</f>
        <v>0</v>
      </c>
      <c r="G39" s="229" t="e">
        <f>ROUND(IF(E2="工业",C39*$M$39,C39*$M$38),0)</f>
        <v>#DIV/0!</v>
      </c>
      <c r="H39" s="229">
        <f t="shared" si="8"/>
        <v>0</v>
      </c>
      <c r="I39" s="229" t="e">
        <f t="shared" si="9"/>
        <v>#DIV/0!</v>
      </c>
      <c r="J39" s="2857"/>
      <c r="K39" s="1368"/>
      <c r="L39" s="2858" t="s">
        <v>2883</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3051</v>
      </c>
      <c r="C41" s="388" t="e">
        <f>ROUND(POWER(1+E41,H41-G41)*(POWER(1+E41,G41)-1)/(POWER(1+E41,H41)-1),4)</f>
        <v>#DIV/0!</v>
      </c>
      <c r="D41" s="200" t="s">
        <v>2890</v>
      </c>
      <c r="E41" s="2926">
        <f>G20</f>
        <v>0</v>
      </c>
      <c r="F41" s="200" t="s">
        <v>2900</v>
      </c>
      <c r="G41" s="218"/>
      <c r="H41" s="200">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2942</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2943</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2944</v>
      </c>
      <c r="B47" s="1807" t="s">
        <v>2945</v>
      </c>
      <c r="C47" s="1807" t="s">
        <v>2946</v>
      </c>
      <c r="D47" s="1807" t="s">
        <v>2947</v>
      </c>
      <c r="E47" s="817" t="s">
        <v>2948</v>
      </c>
      <c r="F47" s="2868" t="s">
        <v>2949</v>
      </c>
      <c r="G47" s="1807" t="s">
        <v>754</v>
      </c>
      <c r="H47" s="2869" t="s">
        <v>2950</v>
      </c>
      <c r="I47" s="1807" t="s">
        <v>2951</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67" t="s">
        <v>2952</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2953</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2954</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2955</v>
      </c>
      <c r="B51" s="2872" t="s">
        <v>2956</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2957</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2958</v>
      </c>
      <c r="B53" s="2873" t="s">
        <v>2959</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2960</v>
      </c>
      <c r="B54" s="1723"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2961</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2962</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2963</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2944</v>
      </c>
      <c r="B58" s="1807"/>
      <c r="C58" s="1807" t="s">
        <v>2946</v>
      </c>
      <c r="D58" s="1807" t="s">
        <v>2947</v>
      </c>
      <c r="E58" s="817" t="s">
        <v>2948</v>
      </c>
      <c r="F58" s="2868" t="s">
        <v>2964</v>
      </c>
      <c r="G58" s="1807" t="s">
        <v>754</v>
      </c>
      <c r="H58" s="2869" t="s">
        <v>2950</v>
      </c>
      <c r="I58" s="1807" t="s">
        <v>2951</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67" t="s">
        <v>2965</v>
      </c>
      <c r="B59" s="2870" t="str">
        <f>估价对象房地状况!C17</f>
        <v>估价对象位于XX商圈，周边办公楼项目较多，入驻率高，办公集聚程度较好</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2953</v>
      </c>
      <c r="B60" s="2871" t="str">
        <f>估价对象房地状况!C18</f>
        <v>估价对象周边道路状况、公共交通通达情况、停车便捷程度，综合评价交通便捷度较好</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2954</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2955</v>
      </c>
      <c r="B62" s="2872" t="s">
        <v>2956</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2957</v>
      </c>
      <c r="B63" s="2871">
        <f>估价对象房地状况!C24</f>
        <v>0</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2958</v>
      </c>
      <c r="B64" s="2873" t="s">
        <v>2959</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2960</v>
      </c>
      <c r="B65" s="1723" t="str">
        <f>估价对象房地状况!C21</f>
        <v>估价对象所在区域公共配套设施齐备情况</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2961</v>
      </c>
      <c r="B66" s="1723" t="str">
        <f>估价对象房地状况!C22</f>
        <v>估价对象所在区域基础设施水平</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2962</v>
      </c>
      <c r="B67" s="2877" t="str">
        <f>估价对象房地状况!C20</f>
        <v>区域自然环境：；人文环境；综合评价环境状况一般</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2966</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2944</v>
      </c>
      <c r="B69" s="1807"/>
      <c r="C69" s="1807" t="s">
        <v>2946</v>
      </c>
      <c r="D69" s="1807" t="s">
        <v>2947</v>
      </c>
      <c r="E69" s="817" t="s">
        <v>2948</v>
      </c>
      <c r="F69" s="2868" t="s">
        <v>2964</v>
      </c>
      <c r="G69" s="1807" t="s">
        <v>754</v>
      </c>
      <c r="H69" s="2869" t="s">
        <v>2950</v>
      </c>
      <c r="I69" s="1807" t="s">
        <v>2951</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67" t="s">
        <v>2967</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2953</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2954</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2968</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2960</v>
      </c>
      <c r="B74" s="1723"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2961</v>
      </c>
      <c r="B75" s="1723"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2958</v>
      </c>
      <c r="B76" s="2873" t="s">
        <v>2959</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2962</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thickBot="1">
      <c r="A78" s="2875" t="s">
        <v>2969</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2970</v>
      </c>
      <c r="B79" s="2864">
        <f>1+E81</f>
        <v>1</v>
      </c>
      <c r="C79" s="812"/>
      <c r="D79" s="812"/>
      <c r="E79" s="813"/>
      <c r="F79" s="2866"/>
      <c r="G79" s="6"/>
      <c r="H79" s="6"/>
      <c r="I79" s="6"/>
      <c r="J79" s="7"/>
      <c r="K79" s="7"/>
      <c r="L79" s="7"/>
      <c r="M79" s="7"/>
      <c r="N79" s="7"/>
      <c r="Z79" s="2717"/>
      <c r="AA79" s="2785"/>
      <c r="AG79" s="1370"/>
      <c r="AK79" s="2785"/>
    </row>
    <row r="80" spans="1:37" ht="24.75">
      <c r="A80" s="2867" t="s">
        <v>2944</v>
      </c>
      <c r="B80" s="1807"/>
      <c r="C80" s="1807" t="s">
        <v>2946</v>
      </c>
      <c r="D80" s="1807" t="s">
        <v>2947</v>
      </c>
      <c r="E80" s="817" t="s">
        <v>2948</v>
      </c>
      <c r="F80" s="2868" t="s">
        <v>2964</v>
      </c>
      <c r="G80" s="1807" t="s">
        <v>754</v>
      </c>
      <c r="H80" s="2869" t="s">
        <v>2950</v>
      </c>
      <c r="I80" s="1807" t="s">
        <v>2951</v>
      </c>
      <c r="J80" s="603" t="s">
        <v>2598</v>
      </c>
      <c r="K80" s="603" t="s">
        <v>2599</v>
      </c>
      <c r="L80" s="603" t="s">
        <v>2600</v>
      </c>
      <c r="M80" s="603" t="s">
        <v>2601</v>
      </c>
      <c r="N80" s="603" t="s">
        <v>2602</v>
      </c>
      <c r="Z80" s="2717"/>
      <c r="AA80" s="2785"/>
      <c r="AG80" s="1370"/>
      <c r="AK80" s="2785"/>
    </row>
    <row r="81" spans="1:37" ht="38.25">
      <c r="A81" s="2867" t="s">
        <v>2971</v>
      </c>
      <c r="B81" s="2871" t="str">
        <f>估价对象房地状况!G15</f>
        <v>估价对象位于XX开发区，园区建设成熟度XX，产业集聚程度XX</v>
      </c>
      <c r="C81" s="2767"/>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2953</v>
      </c>
      <c r="B82" s="2871" t="str">
        <f>估价对象房地状况!G16</f>
        <v>估价对象周边道路状况、公共交通通达情况、停车便捷程度，综合评价交通便捷度较好</v>
      </c>
      <c r="C82" s="2767"/>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7"/>
      <c r="AA82" s="2785"/>
      <c r="AG82" s="1370"/>
      <c r="AK82" s="2785"/>
    </row>
    <row r="83" spans="1:37" ht="24">
      <c r="A83" s="2867" t="s">
        <v>2954</v>
      </c>
      <c r="B83" s="2871">
        <f>估价对象房地状况!G17</f>
        <v>0</v>
      </c>
      <c r="C83" s="2767"/>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7"/>
      <c r="AA83" s="2785"/>
      <c r="AG83" s="1370"/>
      <c r="AK83" s="2785"/>
    </row>
    <row r="84" spans="1:37" ht="14.25">
      <c r="A84" s="2867" t="s">
        <v>2968</v>
      </c>
      <c r="B84" s="2871">
        <f>估价对象房地状况!G22</f>
        <v>0</v>
      </c>
      <c r="C84" s="2767"/>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7"/>
      <c r="AA84" s="2785"/>
      <c r="AG84" s="1370"/>
      <c r="AK84" s="2785"/>
    </row>
    <row r="85" spans="1:37" ht="25.5">
      <c r="A85" s="2867" t="s">
        <v>2960</v>
      </c>
      <c r="B85" s="1723" t="str">
        <f>估价对象房地状况!G19</f>
        <v>估价对象所在区域公共配套设施齐备情况</v>
      </c>
      <c r="C85" s="2767"/>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7"/>
      <c r="AA85" s="2785"/>
      <c r="AG85" s="1370"/>
      <c r="AK85" s="2785"/>
    </row>
    <row r="86" spans="1:37" ht="25.5">
      <c r="A86" s="2867" t="s">
        <v>2961</v>
      </c>
      <c r="B86" s="1723" t="str">
        <f>估价对象房地状况!G20</f>
        <v>估价对象所在区域基础设施水平</v>
      </c>
      <c r="C86" s="2767"/>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7"/>
      <c r="AA86" s="2785"/>
      <c r="AG86" s="1370"/>
      <c r="AK86" s="2785"/>
    </row>
    <row r="87" spans="1:37" ht="24">
      <c r="A87" s="2867" t="s">
        <v>2958</v>
      </c>
      <c r="B87" s="2873" t="s">
        <v>2972</v>
      </c>
      <c r="C87" s="2767"/>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7"/>
      <c r="AA87" s="2785"/>
      <c r="AG87" s="1370"/>
      <c r="AK87" s="2785"/>
    </row>
    <row r="88" spans="1:37" ht="39" thickBot="1">
      <c r="A88" s="2875" t="s">
        <v>2973</v>
      </c>
      <c r="B88" s="2880" t="str">
        <f>估价对象房地状况!G18</f>
        <v>该园区内是否有污染型企业，绿化情况，卫生条件，整体环境状况判断</v>
      </c>
      <c r="C88" s="2767"/>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7"/>
      <c r="AA88" s="2785"/>
      <c r="AG88" s="1370"/>
      <c r="AK88" s="2785"/>
    </row>
    <row r="90" spans="1:37">
      <c r="A90" s="3300" t="s">
        <v>2974</v>
      </c>
      <c r="B90" s="3300"/>
      <c r="C90" s="3300"/>
      <c r="D90" s="3300"/>
      <c r="E90" s="3300"/>
      <c r="F90" s="3300"/>
      <c r="G90" s="3300"/>
      <c r="H90" s="3300"/>
      <c r="I90" s="3300"/>
      <c r="J90" s="3300"/>
      <c r="K90" s="2881"/>
      <c r="L90" s="2881"/>
      <c r="M90" s="2881"/>
      <c r="N90" s="2881"/>
    </row>
    <row r="91" spans="1:37">
      <c r="A91" s="3302" t="s">
        <v>2975</v>
      </c>
      <c r="B91" s="3302" t="s">
        <v>2976</v>
      </c>
      <c r="C91" s="2835" t="s">
        <v>2977</v>
      </c>
      <c r="D91" s="2836"/>
      <c r="E91" s="2836"/>
      <c r="F91" s="2836"/>
      <c r="G91" s="2836"/>
      <c r="H91" s="2836"/>
      <c r="I91" s="2836"/>
      <c r="J91" s="2882"/>
      <c r="K91" s="2883"/>
      <c r="L91" s="2883"/>
      <c r="M91" s="2883"/>
      <c r="N91" s="2883"/>
    </row>
    <row r="92" spans="1:37">
      <c r="A92" s="3302"/>
      <c r="B92" s="3302"/>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303" t="s">
        <v>2978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04"/>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04"/>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04"/>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04"/>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04"/>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04"/>
      <c r="B99" s="2884" t="s">
        <v>2858</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05"/>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03" t="s">
        <v>2979</v>
      </c>
      <c r="B101" s="2888" t="s">
        <v>2980</v>
      </c>
      <c r="C101" s="2889">
        <f>$G$3</f>
        <v>2.44</v>
      </c>
      <c r="D101" s="2889">
        <f t="shared" ref="D101:N101" si="31">$G$3</f>
        <v>2.44</v>
      </c>
      <c r="E101" s="2889">
        <f t="shared" si="31"/>
        <v>2.44</v>
      </c>
      <c r="F101" s="2889">
        <f t="shared" si="31"/>
        <v>2.44</v>
      </c>
      <c r="G101" s="2889">
        <f t="shared" si="31"/>
        <v>2.44</v>
      </c>
      <c r="H101" s="2889">
        <f t="shared" si="31"/>
        <v>2.44</v>
      </c>
      <c r="I101" s="2889">
        <f t="shared" si="31"/>
        <v>2.44</v>
      </c>
      <c r="J101" s="2889">
        <f t="shared" si="31"/>
        <v>2.44</v>
      </c>
      <c r="K101" s="2889">
        <f t="shared" si="31"/>
        <v>2.44</v>
      </c>
      <c r="L101" s="2889">
        <f t="shared" si="31"/>
        <v>2.44</v>
      </c>
      <c r="M101" s="2889">
        <f t="shared" si="31"/>
        <v>2.44</v>
      </c>
      <c r="N101" s="2889">
        <f t="shared" si="31"/>
        <v>2.44</v>
      </c>
    </row>
    <row r="102" spans="1:14">
      <c r="A102" s="3304"/>
      <c r="B102" s="2884">
        <v>1</v>
      </c>
      <c r="C102" s="2885">
        <f>1.9362/C101</f>
        <v>0.7935245901639344</v>
      </c>
      <c r="D102" s="2885">
        <f>1.9362/D101</f>
        <v>0.7935245901639344</v>
      </c>
      <c r="E102" s="2885">
        <f>1.8629/E101</f>
        <v>0.76348360655737701</v>
      </c>
      <c r="F102" s="2885">
        <f>1.8629/F101</f>
        <v>0.76348360655737701</v>
      </c>
      <c r="G102" s="2885">
        <f>1.8629/G101</f>
        <v>0.76348360655737701</v>
      </c>
      <c r="H102" s="2885">
        <f>1.8629/H101</f>
        <v>0.76348360655737701</v>
      </c>
      <c r="I102" s="2885">
        <f>1.8629/I101</f>
        <v>0.76348360655737701</v>
      </c>
      <c r="J102" s="2885">
        <f>1.942/J101</f>
        <v>0.79590163934426228</v>
      </c>
      <c r="K102" s="2885">
        <f>1.942/K101</f>
        <v>0.79590163934426228</v>
      </c>
      <c r="L102" s="2885">
        <f>1.942/L101</f>
        <v>0.79590163934426228</v>
      </c>
      <c r="M102" s="2885">
        <f>1.942/M101</f>
        <v>0.79590163934426228</v>
      </c>
      <c r="N102" s="2885">
        <f>1.942/N101</f>
        <v>0.79590163934426228</v>
      </c>
    </row>
    <row r="103" spans="1:14">
      <c r="A103" s="3304"/>
      <c r="B103" s="2884">
        <v>2</v>
      </c>
      <c r="C103" s="2885">
        <f>1.4198/C101</f>
        <v>0.58188524590163937</v>
      </c>
      <c r="D103" s="2885">
        <f>1.4198/D101</f>
        <v>0.58188524590163937</v>
      </c>
      <c r="E103" s="2885">
        <f>1.3372/E101</f>
        <v>0.54803278688524593</v>
      </c>
      <c r="F103" s="2885">
        <f>1.3372/F101</f>
        <v>0.54803278688524593</v>
      </c>
      <c r="G103" s="2885">
        <f>1.3372/G101</f>
        <v>0.54803278688524593</v>
      </c>
      <c r="H103" s="2885">
        <f>1.3372/H101</f>
        <v>0.54803278688524593</v>
      </c>
      <c r="I103" s="2885">
        <f>1.3372/I101</f>
        <v>0.54803278688524593</v>
      </c>
      <c r="J103" s="2885">
        <f>1.2799/J101</f>
        <v>0.5245491803278689</v>
      </c>
      <c r="K103" s="2885">
        <f>1.2799/K101</f>
        <v>0.5245491803278689</v>
      </c>
      <c r="L103" s="2885">
        <f>1.2799/L101</f>
        <v>0.5245491803278689</v>
      </c>
      <c r="M103" s="2885">
        <f>1.2799/M101</f>
        <v>0.5245491803278689</v>
      </c>
      <c r="N103" s="2885">
        <f>1.2799/N101</f>
        <v>0.5245491803278689</v>
      </c>
    </row>
    <row r="104" spans="1:14">
      <c r="A104" s="3304"/>
      <c r="B104" s="2884">
        <v>3</v>
      </c>
      <c r="C104" s="2885">
        <f>1.1594/C101</f>
        <v>0.47516393442622951</v>
      </c>
      <c r="D104" s="2885">
        <f>1.1594/D101</f>
        <v>0.47516393442622951</v>
      </c>
      <c r="E104" s="2885">
        <f>1.0788/E101</f>
        <v>0.44213114754098359</v>
      </c>
      <c r="F104" s="2885">
        <f>1.0788/F101</f>
        <v>0.44213114754098359</v>
      </c>
      <c r="G104" s="2885">
        <f>1.0788/G101</f>
        <v>0.44213114754098359</v>
      </c>
      <c r="H104" s="2885">
        <f>1.0788/H101</f>
        <v>0.44213114754098359</v>
      </c>
      <c r="I104" s="2885">
        <f>1.0788/I101</f>
        <v>0.44213114754098359</v>
      </c>
      <c r="J104" s="2885">
        <f>1.0072/J101</f>
        <v>0.41278688524590168</v>
      </c>
      <c r="K104" s="2885">
        <f>1.0072/K101</f>
        <v>0.41278688524590168</v>
      </c>
      <c r="L104" s="2885">
        <f>1.0072/L101</f>
        <v>0.41278688524590168</v>
      </c>
      <c r="M104" s="2885">
        <f>1.0072/M101</f>
        <v>0.41278688524590168</v>
      </c>
      <c r="N104" s="2885">
        <f>1.0072/N101</f>
        <v>0.41278688524590168</v>
      </c>
    </row>
    <row r="105" spans="1:14">
      <c r="A105" s="3304"/>
      <c r="B105" s="2884">
        <v>4</v>
      </c>
      <c r="C105" s="2885">
        <f>0.9622/C101</f>
        <v>0.39434426229508202</v>
      </c>
      <c r="D105" s="2885">
        <f>0.9622/D101</f>
        <v>0.39434426229508202</v>
      </c>
      <c r="E105" s="2885">
        <f>0.8656/E101</f>
        <v>0.35475409836065575</v>
      </c>
      <c r="F105" s="2885">
        <f>0.8656/F101</f>
        <v>0.35475409836065575</v>
      </c>
      <c r="G105" s="2885">
        <f>0.8656/G101</f>
        <v>0.35475409836065575</v>
      </c>
      <c r="H105" s="2885">
        <f>0.8656/H101</f>
        <v>0.35475409836065575</v>
      </c>
      <c r="I105" s="2885">
        <f>0.8656/I101</f>
        <v>0.35475409836065575</v>
      </c>
      <c r="J105" s="2885">
        <f>0.7525/J101</f>
        <v>0.30840163934426229</v>
      </c>
      <c r="K105" s="2885">
        <f>0.7525/K101</f>
        <v>0.30840163934426229</v>
      </c>
      <c r="L105" s="2885">
        <f>0.7525/L101</f>
        <v>0.30840163934426229</v>
      </c>
      <c r="M105" s="2885">
        <f>0.7525/M101</f>
        <v>0.30840163934426229</v>
      </c>
      <c r="N105" s="2885">
        <f>0.7525/N101</f>
        <v>0.30840163934426229</v>
      </c>
    </row>
    <row r="106" spans="1:14">
      <c r="A106" s="3304"/>
      <c r="B106" s="2884">
        <v>5</v>
      </c>
      <c r="C106" s="2885">
        <f>0.8417/C101</f>
        <v>0.34495901639344262</v>
      </c>
      <c r="D106" s="2885">
        <f>0.8417/D101</f>
        <v>0.34495901639344262</v>
      </c>
      <c r="E106" s="2885">
        <f>0.7371/E101</f>
        <v>0.30209016393442623</v>
      </c>
      <c r="F106" s="2885">
        <f>0.7371/F101</f>
        <v>0.30209016393442623</v>
      </c>
      <c r="G106" s="2885">
        <f>0.7371/G101</f>
        <v>0.30209016393442623</v>
      </c>
      <c r="H106" s="2885">
        <f>0.7371/H101</f>
        <v>0.30209016393442623</v>
      </c>
      <c r="I106" s="2885">
        <f>0.7371/I101</f>
        <v>0.30209016393442623</v>
      </c>
      <c r="J106" s="2885">
        <f>0.5659/J101</f>
        <v>0.23192622950819672</v>
      </c>
      <c r="K106" s="2885">
        <f>0.5659/K101</f>
        <v>0.23192622950819672</v>
      </c>
      <c r="L106" s="2885">
        <f>0.5659/L101</f>
        <v>0.23192622950819672</v>
      </c>
      <c r="M106" s="2885">
        <f>0.5659/M101</f>
        <v>0.23192622950819672</v>
      </c>
      <c r="N106" s="2885">
        <f>0.5659/N101</f>
        <v>0.23192622950819672</v>
      </c>
    </row>
    <row r="107" spans="1:14">
      <c r="A107" s="3304"/>
      <c r="B107" s="2884">
        <v>6</v>
      </c>
      <c r="C107" s="2885">
        <f>0.7608/C101</f>
        <v>0.31180327868852459</v>
      </c>
      <c r="D107" s="2885">
        <f>0.7608/D101</f>
        <v>0.31180327868852459</v>
      </c>
      <c r="E107" s="2885">
        <f>0.6482/E101</f>
        <v>0.26565573770491802</v>
      </c>
      <c r="F107" s="2885">
        <f>0.6482/F101</f>
        <v>0.26565573770491802</v>
      </c>
      <c r="G107" s="2885">
        <f>0.6482/G101</f>
        <v>0.26565573770491802</v>
      </c>
      <c r="H107" s="2885">
        <f>0.6482/H101</f>
        <v>0.26565573770491802</v>
      </c>
      <c r="I107" s="2885">
        <f>0.6482/I101</f>
        <v>0.26565573770491802</v>
      </c>
      <c r="J107" s="2885">
        <f>0.4525/J101</f>
        <v>0.18545081967213115</v>
      </c>
      <c r="K107" s="2885">
        <f>0.4525/K101</f>
        <v>0.18545081967213115</v>
      </c>
      <c r="L107" s="2885">
        <f>0.4525/L101</f>
        <v>0.18545081967213115</v>
      </c>
      <c r="M107" s="2885">
        <f>0.4525/M101</f>
        <v>0.18545081967213115</v>
      </c>
      <c r="N107" s="2885">
        <f>0.4525/N101</f>
        <v>0.18545081967213115</v>
      </c>
    </row>
    <row r="108" spans="1:14">
      <c r="A108" s="3304"/>
      <c r="B108" s="3125" t="s">
        <v>2981</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05"/>
      <c r="B109" s="3126"/>
      <c r="C109" s="2887">
        <f>(-0.163*(C108^2)-0.59*C108+7617)*(10^(-4))/C101</f>
        <v>0.312172131147541</v>
      </c>
      <c r="D109" s="2887">
        <f>(-0.163*(D108^2)-0.59*D108+7617)*(10^(-4))/D101</f>
        <v>0.312172131147541</v>
      </c>
      <c r="E109" s="2887">
        <f>(-0.161*(E108^2)-7.509*E108+6533)*(10^(-4))/E101</f>
        <v>0.26774590163934425</v>
      </c>
      <c r="F109" s="2887">
        <f>(-0.161*(F108^2)-7.509*F108+6533)*(10^(-4))/F101</f>
        <v>0.26774590163934425</v>
      </c>
      <c r="G109" s="2887">
        <f>(-0.161*(G108^2)-7.509*G108+6533)*(10^(-4))/G101</f>
        <v>0.26774590163934425</v>
      </c>
      <c r="H109" s="2887">
        <f>(-0.161*(H108^2)-7.509*H108+6533)*(10^(-4))/H101</f>
        <v>0.26774590163934425</v>
      </c>
      <c r="I109" s="2887">
        <f>(-0.161*(I108^2)-7.509*I108+6533)*(10^(-4))/I101</f>
        <v>0.26774590163934425</v>
      </c>
      <c r="J109" s="2887">
        <f>(-0.214*(J108^2)-21.991*J108+4665)*(10^(-4))/J101</f>
        <v>0.19118852459016394</v>
      </c>
      <c r="K109" s="2887">
        <f>(-0.214*(K108^2)-21.991*K108+4665)*(10^(-4))/K101</f>
        <v>0.19118852459016394</v>
      </c>
      <c r="L109" s="2887">
        <f>(-0.214*(L108^2)-21.991*L108+4665)*(10^(-4))/L101</f>
        <v>0.19118852459016394</v>
      </c>
      <c r="M109" s="2887">
        <f>(-0.214*(M108^2)-21.991*M108+4665)*(10^(-4))/M101</f>
        <v>0.19118852459016394</v>
      </c>
      <c r="N109" s="2887">
        <f>(-0.214*(N108^2)-21.991*N108+4665)*(10^(-4))/N101</f>
        <v>0.19118852459016394</v>
      </c>
    </row>
    <row r="110" spans="1:14">
      <c r="A110" s="3301" t="s">
        <v>2982</v>
      </c>
      <c r="B110" s="3301"/>
      <c r="C110" s="3301"/>
      <c r="D110" s="3301"/>
      <c r="E110" s="3301"/>
      <c r="F110" s="3301"/>
      <c r="G110" s="3301"/>
      <c r="H110" s="3301"/>
      <c r="I110" s="3301"/>
      <c r="J110" s="3301"/>
      <c r="K110" s="2890"/>
      <c r="L110" s="2890"/>
      <c r="M110" s="2890"/>
      <c r="N110" s="2890"/>
    </row>
    <row r="112" spans="1:14" ht="13.5" thickBot="1"/>
    <row r="113" spans="1:13" ht="25.5" thickBot="1">
      <c r="A113" s="901" t="s">
        <v>2983</v>
      </c>
      <c r="B113" s="1285">
        <f>G3</f>
        <v>2.44</v>
      </c>
      <c r="C113" s="902" t="s">
        <v>2984</v>
      </c>
      <c r="D113" s="903">
        <f>SUMPRODUCT((A115:A118=F113)*(B114:M114=H113)*B115:M118)</f>
        <v>0</v>
      </c>
      <c r="E113" s="2721" t="s">
        <v>2815</v>
      </c>
      <c r="F113" s="2892">
        <f>E2</f>
        <v>0</v>
      </c>
      <c r="G113" s="2721" t="s">
        <v>2816</v>
      </c>
      <c r="H113" s="2892">
        <f>G2</f>
        <v>0</v>
      </c>
      <c r="I113" s="2721"/>
      <c r="J113" s="2893"/>
      <c r="K113" s="2893"/>
      <c r="L113" s="2893"/>
      <c r="M113" s="2893"/>
    </row>
    <row r="114" spans="1:13">
      <c r="A114" s="906"/>
      <c r="B114" s="2894" t="s">
        <v>2985</v>
      </c>
      <c r="C114" s="2894" t="s">
        <v>2986</v>
      </c>
      <c r="D114" s="2894" t="s">
        <v>2987</v>
      </c>
      <c r="E114" s="2895" t="s">
        <v>2988</v>
      </c>
      <c r="F114" s="2895" t="s">
        <v>2989</v>
      </c>
      <c r="G114" s="2895" t="s">
        <v>2990</v>
      </c>
      <c r="H114" s="2896" t="s">
        <v>2991</v>
      </c>
      <c r="I114" s="2896" t="s">
        <v>2992</v>
      </c>
      <c r="J114" s="2897" t="s">
        <v>2993</v>
      </c>
      <c r="K114" s="2897" t="s">
        <v>2994</v>
      </c>
      <c r="L114" s="2897" t="s">
        <v>2995</v>
      </c>
      <c r="M114" s="2898" t="s">
        <v>2996</v>
      </c>
    </row>
    <row r="115" spans="1:13">
      <c r="A115" s="907" t="s">
        <v>2880</v>
      </c>
      <c r="B115" s="908">
        <f>ROUND(0.9335-0.0094*B113,4)</f>
        <v>0.91059999999999997</v>
      </c>
      <c r="C115" s="908">
        <f>B115</f>
        <v>0.91059999999999997</v>
      </c>
      <c r="D115" s="908">
        <f>ROUND(0.8331-0.0109*B113,4)</f>
        <v>0.80649999999999999</v>
      </c>
      <c r="E115" s="908">
        <f>D115</f>
        <v>0.80649999999999999</v>
      </c>
      <c r="F115" s="908">
        <f>E115</f>
        <v>0.80649999999999999</v>
      </c>
      <c r="G115" s="908">
        <f>F115</f>
        <v>0.80649999999999999</v>
      </c>
      <c r="H115" s="908">
        <f>G115</f>
        <v>0.80649999999999999</v>
      </c>
      <c r="I115" s="908">
        <f>ROUND(0.689-0.0155*B113,4)</f>
        <v>0.6512</v>
      </c>
      <c r="J115" s="908">
        <f t="shared" ref="J115:M118" si="33">I115</f>
        <v>0.6512</v>
      </c>
      <c r="K115" s="908">
        <f t="shared" si="33"/>
        <v>0.6512</v>
      </c>
      <c r="L115" s="908">
        <f t="shared" si="33"/>
        <v>0.6512</v>
      </c>
      <c r="M115" s="909">
        <f t="shared" si="33"/>
        <v>0.6512</v>
      </c>
    </row>
    <row r="116" spans="1:13">
      <c r="A116" s="907" t="s">
        <v>2881</v>
      </c>
      <c r="B116" s="908">
        <f>ROUND(0.949-0.012*B113,4)</f>
        <v>0.91969999999999996</v>
      </c>
      <c r="C116" s="908">
        <f>B116</f>
        <v>0.91969999999999996</v>
      </c>
      <c r="D116" s="908">
        <f>ROUND(0.8567-0.013*B113,4)</f>
        <v>0.82499999999999996</v>
      </c>
      <c r="E116" s="908">
        <f t="shared" ref="E116:H117" si="34">D116</f>
        <v>0.82499999999999996</v>
      </c>
      <c r="F116" s="908">
        <f t="shared" si="34"/>
        <v>0.82499999999999996</v>
      </c>
      <c r="G116" s="908">
        <f t="shared" si="34"/>
        <v>0.82499999999999996</v>
      </c>
      <c r="H116" s="908">
        <f t="shared" si="34"/>
        <v>0.82499999999999996</v>
      </c>
      <c r="I116" s="908">
        <f>ROUND(0.7694-0.014*B113,4)</f>
        <v>0.73519999999999996</v>
      </c>
      <c r="J116" s="908">
        <f t="shared" si="33"/>
        <v>0.73519999999999996</v>
      </c>
      <c r="K116" s="908">
        <f t="shared" si="33"/>
        <v>0.73519999999999996</v>
      </c>
      <c r="L116" s="908">
        <f t="shared" si="33"/>
        <v>0.73519999999999996</v>
      </c>
      <c r="M116" s="909">
        <f t="shared" si="33"/>
        <v>0.73519999999999996</v>
      </c>
    </row>
    <row r="117" spans="1:13">
      <c r="A117" s="907" t="s">
        <v>2882</v>
      </c>
      <c r="B117" s="908">
        <f>ROUND(0.8808-0.006*B113,4)</f>
        <v>0.86619999999999997</v>
      </c>
      <c r="C117" s="908">
        <f>B117</f>
        <v>0.86619999999999997</v>
      </c>
      <c r="D117" s="908">
        <f>ROUND(0.8748-0.008*B113,4)</f>
        <v>0.85529999999999995</v>
      </c>
      <c r="E117" s="908">
        <f t="shared" si="34"/>
        <v>0.85529999999999995</v>
      </c>
      <c r="F117" s="908">
        <f t="shared" si="34"/>
        <v>0.85529999999999995</v>
      </c>
      <c r="G117" s="908">
        <f t="shared" si="34"/>
        <v>0.85529999999999995</v>
      </c>
      <c r="H117" s="908">
        <f t="shared" si="34"/>
        <v>0.85529999999999995</v>
      </c>
      <c r="I117" s="908">
        <f>ROUND(0.7412-0.0095*B113,4)</f>
        <v>0.71799999999999997</v>
      </c>
      <c r="J117" s="908">
        <f t="shared" si="33"/>
        <v>0.71799999999999997</v>
      </c>
      <c r="K117" s="908">
        <f t="shared" si="33"/>
        <v>0.71799999999999997</v>
      </c>
      <c r="L117" s="908">
        <f t="shared" si="33"/>
        <v>0.71799999999999997</v>
      </c>
      <c r="M117" s="909">
        <f t="shared" si="33"/>
        <v>0.71799999999999997</v>
      </c>
    </row>
    <row r="118" spans="1:13" ht="13.5" thickBot="1">
      <c r="A118" s="712" t="s">
        <v>2883</v>
      </c>
      <c r="B118" s="910">
        <f>ROUND(0.7275-0.01*B113,4)</f>
        <v>0.70309999999999995</v>
      </c>
      <c r="C118" s="910">
        <f>B118</f>
        <v>0.70309999999999995</v>
      </c>
      <c r="D118" s="910">
        <f>ROUND(0.7043-0.012*B113,4)</f>
        <v>0.67500000000000004</v>
      </c>
      <c r="E118" s="910">
        <f>D118</f>
        <v>0.67500000000000004</v>
      </c>
      <c r="F118" s="910">
        <f>E118</f>
        <v>0.67500000000000004</v>
      </c>
      <c r="G118" s="910">
        <f>ROUND(0.6299-0.0122*B113,4)</f>
        <v>0.60009999999999997</v>
      </c>
      <c r="H118" s="910">
        <f>G118</f>
        <v>0.60009999999999997</v>
      </c>
      <c r="I118" s="910">
        <f>ROUND(0.5667-0.0136*B113,4)</f>
        <v>0.53349999999999997</v>
      </c>
      <c r="J118" s="910">
        <f t="shared" si="33"/>
        <v>0.53349999999999997</v>
      </c>
      <c r="K118" s="910">
        <f t="shared" si="33"/>
        <v>0.53349999999999997</v>
      </c>
      <c r="L118" s="910">
        <f t="shared" si="33"/>
        <v>0.53349999999999997</v>
      </c>
      <c r="M118" s="911">
        <f t="shared" si="33"/>
        <v>0.53349999999999997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3055</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21" t="s">
        <v>183</v>
      </c>
      <c r="B18" s="880" t="s">
        <v>560</v>
      </c>
      <c r="C18" s="881" t="s">
        <v>561</v>
      </c>
      <c r="D18" s="882"/>
      <c r="E18" s="880">
        <v>1</v>
      </c>
      <c r="F18" s="883" t="s">
        <v>562</v>
      </c>
      <c r="G18" s="884"/>
      <c r="H18" s="876"/>
      <c r="I18" s="876"/>
    </row>
    <row r="19" spans="1:9" s="885" customFormat="1" ht="19.5" customHeight="1">
      <c r="A19" s="3321"/>
      <c r="B19" s="3321" t="s">
        <v>563</v>
      </c>
      <c r="C19" s="881" t="s">
        <v>564</v>
      </c>
      <c r="D19" s="882"/>
      <c r="E19" s="880">
        <v>0.9</v>
      </c>
      <c r="F19" s="883" t="s">
        <v>565</v>
      </c>
      <c r="G19" s="884"/>
      <c r="H19" s="876"/>
      <c r="I19" s="876"/>
    </row>
    <row r="20" spans="1:9" s="885" customFormat="1" ht="19.5" customHeight="1">
      <c r="A20" s="3321"/>
      <c r="B20" s="3321"/>
      <c r="C20" s="881" t="s">
        <v>566</v>
      </c>
      <c r="D20" s="882"/>
      <c r="E20" s="880">
        <v>1.1000000000000001</v>
      </c>
      <c r="F20" s="883" t="s">
        <v>567</v>
      </c>
      <c r="G20" s="884"/>
      <c r="H20" s="876"/>
      <c r="I20" s="876"/>
    </row>
    <row r="21" spans="1:9" s="885" customFormat="1" ht="19.5" customHeight="1">
      <c r="A21" s="3321"/>
      <c r="B21" s="3321"/>
      <c r="C21" s="881" t="s">
        <v>568</v>
      </c>
      <c r="D21" s="882"/>
      <c r="E21" s="880">
        <v>0.8</v>
      </c>
      <c r="F21" s="883" t="s">
        <v>569</v>
      </c>
      <c r="G21" s="884"/>
      <c r="H21" s="876"/>
      <c r="I21" s="876"/>
    </row>
    <row r="22" spans="1:9" s="885" customFormat="1" ht="19.5" customHeight="1">
      <c r="A22" s="3321"/>
      <c r="B22" s="3321"/>
      <c r="C22" s="881" t="s">
        <v>570</v>
      </c>
      <c r="D22" s="882"/>
      <c r="E22" s="880">
        <v>0.5</v>
      </c>
      <c r="F22" s="883"/>
      <c r="G22" s="884"/>
      <c r="H22" s="876"/>
      <c r="I22" s="876"/>
    </row>
    <row r="23" spans="1:9" s="885" customFormat="1" ht="19.5" customHeight="1">
      <c r="A23" s="3321" t="s">
        <v>184</v>
      </c>
      <c r="B23" s="880" t="s">
        <v>560</v>
      </c>
      <c r="C23" s="881" t="s">
        <v>571</v>
      </c>
      <c r="D23" s="882"/>
      <c r="E23" s="880">
        <v>1</v>
      </c>
      <c r="F23" s="883" t="s">
        <v>572</v>
      </c>
      <c r="G23" s="884"/>
      <c r="H23" s="876"/>
      <c r="I23" s="876"/>
    </row>
    <row r="24" spans="1:9" s="885" customFormat="1" ht="19.5" customHeight="1">
      <c r="A24" s="3321"/>
      <c r="B24" s="3321" t="s">
        <v>563</v>
      </c>
      <c r="C24" s="881" t="s">
        <v>573</v>
      </c>
      <c r="D24" s="882"/>
      <c r="E24" s="880">
        <v>0.5</v>
      </c>
      <c r="F24" s="883"/>
      <c r="G24" s="884"/>
      <c r="H24" s="876"/>
      <c r="I24" s="876"/>
    </row>
    <row r="25" spans="1:9" s="885" customFormat="1" ht="19.5" customHeight="1">
      <c r="A25" s="3321"/>
      <c r="B25" s="3321"/>
      <c r="C25" s="881" t="s">
        <v>574</v>
      </c>
      <c r="D25" s="882"/>
      <c r="E25" s="880">
        <v>1.1000000000000001</v>
      </c>
      <c r="F25" s="883"/>
      <c r="G25" s="884"/>
      <c r="H25" s="876"/>
      <c r="I25" s="876"/>
    </row>
    <row r="26" spans="1:9" s="885" customFormat="1" ht="19.5" customHeight="1">
      <c r="A26" s="3321"/>
      <c r="B26" s="3321"/>
      <c r="C26" s="881" t="s">
        <v>575</v>
      </c>
      <c r="D26" s="882"/>
      <c r="E26" s="880">
        <v>1.1000000000000001</v>
      </c>
      <c r="F26" s="883"/>
      <c r="G26" s="884"/>
      <c r="H26" s="876"/>
      <c r="I26" s="876"/>
    </row>
    <row r="27" spans="1:9" s="885" customFormat="1" ht="19.5" customHeight="1">
      <c r="A27" s="3321"/>
      <c r="B27" s="3321"/>
      <c r="C27" s="881" t="s">
        <v>576</v>
      </c>
      <c r="D27" s="882"/>
      <c r="E27" s="880">
        <v>0.9</v>
      </c>
      <c r="F27" s="883" t="s">
        <v>577</v>
      </c>
      <c r="G27" s="884"/>
      <c r="H27" s="876"/>
      <c r="I27" s="876"/>
    </row>
    <row r="28" spans="1:9" s="885" customFormat="1" ht="19.5" customHeight="1">
      <c r="A28" s="3321"/>
      <c r="B28" s="3321"/>
      <c r="C28" s="881" t="s">
        <v>578</v>
      </c>
      <c r="D28" s="882"/>
      <c r="E28" s="880">
        <v>0.9</v>
      </c>
      <c r="F28" s="883" t="s">
        <v>579</v>
      </c>
      <c r="G28" s="884"/>
      <c r="H28" s="876"/>
      <c r="I28" s="876"/>
    </row>
    <row r="29" spans="1:9" s="885" customFormat="1" ht="19.5" customHeight="1">
      <c r="A29" s="3321"/>
      <c r="B29" s="3321"/>
      <c r="C29" s="881" t="s">
        <v>580</v>
      </c>
      <c r="D29" s="882"/>
      <c r="E29" s="880">
        <v>0.9</v>
      </c>
      <c r="F29" s="883" t="s">
        <v>581</v>
      </c>
      <c r="G29" s="884"/>
      <c r="H29" s="876"/>
      <c r="I29" s="876"/>
    </row>
    <row r="30" spans="1:9" s="885" customFormat="1" ht="19.5" customHeight="1">
      <c r="A30" s="3321"/>
      <c r="B30" s="3321"/>
      <c r="C30" s="881" t="s">
        <v>582</v>
      </c>
      <c r="D30" s="882"/>
      <c r="E30" s="880">
        <v>0.9</v>
      </c>
      <c r="F30" s="883" t="s">
        <v>583</v>
      </c>
      <c r="G30" s="884"/>
      <c r="H30" s="876"/>
      <c r="I30" s="876"/>
    </row>
    <row r="31" spans="1:9" s="885" customFormat="1" ht="19.5" customHeight="1">
      <c r="A31" s="3321"/>
      <c r="B31" s="3321"/>
      <c r="C31" s="881" t="s">
        <v>584</v>
      </c>
      <c r="D31" s="882"/>
      <c r="E31" s="880">
        <v>0.8</v>
      </c>
      <c r="F31" s="883" t="s">
        <v>585</v>
      </c>
      <c r="G31" s="884"/>
      <c r="H31" s="876"/>
      <c r="I31" s="876"/>
    </row>
    <row r="32" spans="1:9" s="885" customFormat="1" ht="19.5" customHeight="1">
      <c r="A32" s="3321"/>
      <c r="B32" s="3321"/>
      <c r="C32" s="881" t="s">
        <v>586</v>
      </c>
      <c r="D32" s="882"/>
      <c r="E32" s="880">
        <v>0.8</v>
      </c>
      <c r="F32" s="883" t="s">
        <v>587</v>
      </c>
      <c r="G32" s="884"/>
      <c r="H32" s="876"/>
      <c r="I32" s="876"/>
    </row>
    <row r="33" spans="1:9" s="885" customFormat="1" ht="19.5" customHeight="1">
      <c r="A33" s="3321" t="s">
        <v>185</v>
      </c>
      <c r="B33" s="880" t="s">
        <v>560</v>
      </c>
      <c r="C33" s="881" t="s">
        <v>588</v>
      </c>
      <c r="D33" s="882"/>
      <c r="E33" s="880">
        <v>1</v>
      </c>
      <c r="F33" s="883" t="s">
        <v>589</v>
      </c>
      <c r="G33" s="884"/>
      <c r="H33" s="876"/>
      <c r="I33" s="876"/>
    </row>
    <row r="34" spans="1:9" s="885" customFormat="1" ht="19.5" customHeight="1">
      <c r="A34" s="3321"/>
      <c r="B34" s="880" t="s">
        <v>563</v>
      </c>
      <c r="C34" s="881" t="s">
        <v>590</v>
      </c>
      <c r="D34" s="882"/>
      <c r="E34" s="880">
        <v>1.5</v>
      </c>
      <c r="F34" s="883" t="s">
        <v>591</v>
      </c>
      <c r="G34" s="884"/>
      <c r="H34" s="876"/>
      <c r="I34" s="876"/>
    </row>
    <row r="35" spans="1:9" s="885" customFormat="1" ht="19.5" customHeight="1">
      <c r="A35" s="3321" t="s">
        <v>186</v>
      </c>
      <c r="B35" s="880" t="s">
        <v>560</v>
      </c>
      <c r="C35" s="881" t="s">
        <v>592</v>
      </c>
      <c r="D35" s="882"/>
      <c r="E35" s="880">
        <v>1</v>
      </c>
      <c r="F35" s="883" t="s">
        <v>593</v>
      </c>
      <c r="G35" s="884"/>
      <c r="H35" s="876"/>
      <c r="I35" s="876"/>
    </row>
    <row r="36" spans="1:9" s="885" customFormat="1" ht="19.5" customHeight="1">
      <c r="A36" s="3321"/>
      <c r="B36" s="3321" t="s">
        <v>563</v>
      </c>
      <c r="C36" s="881" t="s">
        <v>594</v>
      </c>
      <c r="D36" s="882"/>
      <c r="E36" s="880">
        <v>1</v>
      </c>
      <c r="F36" s="883" t="s">
        <v>595</v>
      </c>
      <c r="G36" s="884"/>
      <c r="H36" s="876"/>
      <c r="I36" s="876"/>
    </row>
    <row r="37" spans="1:9" s="885" customFormat="1" ht="19.5" customHeight="1">
      <c r="A37" s="3321"/>
      <c r="B37" s="3321"/>
      <c r="C37" s="881" t="s">
        <v>596</v>
      </c>
      <c r="D37" s="882"/>
      <c r="E37" s="880">
        <v>1.5</v>
      </c>
      <c r="F37" s="883" t="s">
        <v>597</v>
      </c>
      <c r="G37" s="884"/>
      <c r="H37" s="876"/>
      <c r="I37" s="876"/>
    </row>
    <row r="38" spans="1:9" s="885" customFormat="1" ht="19.5" customHeight="1">
      <c r="A38" s="3321"/>
      <c r="B38" s="3321"/>
      <c r="C38" s="881" t="s">
        <v>598</v>
      </c>
      <c r="D38" s="882"/>
      <c r="E38" s="880">
        <v>1</v>
      </c>
      <c r="F38" s="883" t="s">
        <v>599</v>
      </c>
      <c r="G38" s="884"/>
      <c r="H38" s="876"/>
      <c r="I38" s="876"/>
    </row>
    <row r="39" spans="1:9" s="885" customFormat="1" ht="19.5" customHeight="1">
      <c r="A39" s="3321"/>
      <c r="B39" s="332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21" t="s">
        <v>614</v>
      </c>
      <c r="C61" s="816" t="s">
        <v>615</v>
      </c>
      <c r="D61" s="816" t="s">
        <v>616</v>
      </c>
      <c r="E61" s="893">
        <v>0.5</v>
      </c>
      <c r="F61" s="880">
        <v>80</v>
      </c>
    </row>
    <row r="62" spans="1:8" s="876" customFormat="1" ht="24">
      <c r="A62" s="880">
        <v>2</v>
      </c>
      <c r="B62" s="3321"/>
      <c r="C62" s="816" t="s">
        <v>617</v>
      </c>
      <c r="D62" s="816" t="s">
        <v>618</v>
      </c>
      <c r="E62" s="893">
        <v>0.5</v>
      </c>
      <c r="F62" s="880">
        <v>80</v>
      </c>
    </row>
    <row r="63" spans="1:8" s="876" customFormat="1" ht="36">
      <c r="A63" s="880">
        <v>3</v>
      </c>
      <c r="B63" s="3321"/>
      <c r="C63" s="816" t="s">
        <v>619</v>
      </c>
      <c r="D63" s="816" t="s">
        <v>620</v>
      </c>
      <c r="E63" s="893">
        <v>0.5</v>
      </c>
      <c r="F63" s="880">
        <v>80</v>
      </c>
    </row>
    <row r="64" spans="1:8" s="876" customFormat="1" ht="36">
      <c r="A64" s="880">
        <v>4</v>
      </c>
      <c r="B64" s="3321"/>
      <c r="C64" s="816" t="s">
        <v>621</v>
      </c>
      <c r="D64" s="816" t="s">
        <v>622</v>
      </c>
      <c r="E64" s="893">
        <v>0.4</v>
      </c>
      <c r="F64" s="880">
        <v>60</v>
      </c>
    </row>
    <row r="65" spans="1:6" s="876" customFormat="1" ht="36">
      <c r="A65" s="880">
        <v>5</v>
      </c>
      <c r="B65" s="3321"/>
      <c r="C65" s="816" t="s">
        <v>623</v>
      </c>
      <c r="D65" s="816" t="s">
        <v>624</v>
      </c>
      <c r="E65" s="893">
        <v>0.2</v>
      </c>
      <c r="F65" s="880">
        <v>30</v>
      </c>
    </row>
    <row r="66" spans="1:6" s="876" customFormat="1" ht="36">
      <c r="A66" s="880">
        <v>6</v>
      </c>
      <c r="B66" s="3321"/>
      <c r="C66" s="816" t="s">
        <v>625</v>
      </c>
      <c r="D66" s="816" t="s">
        <v>626</v>
      </c>
      <c r="E66" s="893">
        <v>0.3</v>
      </c>
      <c r="F66" s="880">
        <v>50</v>
      </c>
    </row>
    <row r="67" spans="1:6" s="876" customFormat="1" ht="36">
      <c r="A67" s="880">
        <v>7</v>
      </c>
      <c r="B67" s="3321"/>
      <c r="C67" s="816" t="s">
        <v>627</v>
      </c>
      <c r="D67" s="816" t="s">
        <v>628</v>
      </c>
      <c r="E67" s="893">
        <v>0.2</v>
      </c>
      <c r="F67" s="880">
        <v>30</v>
      </c>
    </row>
    <row r="68" spans="1:6" s="876" customFormat="1" ht="36">
      <c r="A68" s="880">
        <v>8</v>
      </c>
      <c r="B68" s="3321"/>
      <c r="C68" s="816" t="s">
        <v>629</v>
      </c>
      <c r="D68" s="816" t="s">
        <v>630</v>
      </c>
      <c r="E68" s="893">
        <v>0.2</v>
      </c>
      <c r="F68" s="880">
        <v>30</v>
      </c>
    </row>
    <row r="69" spans="1:6" s="876" customFormat="1" ht="36">
      <c r="A69" s="880">
        <v>9</v>
      </c>
      <c r="B69" s="3321"/>
      <c r="C69" s="816" t="s">
        <v>631</v>
      </c>
      <c r="D69" s="816" t="s">
        <v>632</v>
      </c>
      <c r="E69" s="893">
        <v>0.2</v>
      </c>
      <c r="F69" s="880">
        <v>30</v>
      </c>
    </row>
    <row r="70" spans="1:6" s="876" customFormat="1" ht="48">
      <c r="A70" s="880">
        <v>10</v>
      </c>
      <c r="B70" s="3321"/>
      <c r="C70" s="816" t="s">
        <v>633</v>
      </c>
      <c r="D70" s="816" t="s">
        <v>634</v>
      </c>
      <c r="E70" s="893">
        <v>0.2</v>
      </c>
      <c r="F70" s="880">
        <v>30</v>
      </c>
    </row>
    <row r="71" spans="1:6" s="876" customFormat="1" ht="48">
      <c r="A71" s="880">
        <v>11</v>
      </c>
      <c r="B71" s="3321"/>
      <c r="C71" s="816" t="s">
        <v>635</v>
      </c>
      <c r="D71" s="816" t="s">
        <v>636</v>
      </c>
      <c r="E71" s="893">
        <v>0.2</v>
      </c>
      <c r="F71" s="880">
        <v>30</v>
      </c>
    </row>
    <row r="72" spans="1:6" s="876" customFormat="1" ht="36">
      <c r="A72" s="880">
        <v>12</v>
      </c>
      <c r="B72" s="3321"/>
      <c r="C72" s="816" t="s">
        <v>637</v>
      </c>
      <c r="D72" s="816" t="s">
        <v>638</v>
      </c>
      <c r="E72" s="893">
        <v>0.5</v>
      </c>
      <c r="F72" s="880">
        <v>80</v>
      </c>
    </row>
    <row r="73" spans="1:6" s="876" customFormat="1" ht="24">
      <c r="A73" s="880">
        <v>13</v>
      </c>
      <c r="B73" s="3321"/>
      <c r="C73" s="816" t="s">
        <v>639</v>
      </c>
      <c r="D73" s="816" t="s">
        <v>640</v>
      </c>
      <c r="E73" s="893">
        <v>0.4</v>
      </c>
      <c r="F73" s="880">
        <v>60</v>
      </c>
    </row>
    <row r="74" spans="1:6" s="876" customFormat="1" ht="24">
      <c r="A74" s="880">
        <v>14</v>
      </c>
      <c r="B74" s="3321"/>
      <c r="C74" s="816" t="s">
        <v>641</v>
      </c>
      <c r="D74" s="816" t="s">
        <v>642</v>
      </c>
      <c r="E74" s="893">
        <v>0.2</v>
      </c>
      <c r="F74" s="880">
        <v>30</v>
      </c>
    </row>
    <row r="75" spans="1:6" s="876" customFormat="1" ht="24">
      <c r="A75" s="880">
        <v>15</v>
      </c>
      <c r="B75" s="3321"/>
      <c r="C75" s="816" t="s">
        <v>643</v>
      </c>
      <c r="D75" s="816" t="s">
        <v>644</v>
      </c>
      <c r="E75" s="893">
        <v>0.2</v>
      </c>
      <c r="F75" s="880">
        <v>30</v>
      </c>
    </row>
    <row r="76" spans="1:6" s="876" customFormat="1" ht="24">
      <c r="A76" s="880">
        <v>16</v>
      </c>
      <c r="B76" s="3321" t="s">
        <v>645</v>
      </c>
      <c r="C76" s="816" t="s">
        <v>646</v>
      </c>
      <c r="D76" s="816" t="s">
        <v>647</v>
      </c>
      <c r="E76" s="893">
        <v>0.5</v>
      </c>
      <c r="F76" s="880">
        <v>80</v>
      </c>
    </row>
    <row r="77" spans="1:6" s="876" customFormat="1" ht="24">
      <c r="A77" s="880">
        <v>17</v>
      </c>
      <c r="B77" s="3321"/>
      <c r="C77" s="816" t="s">
        <v>648</v>
      </c>
      <c r="D77" s="816" t="s">
        <v>649</v>
      </c>
      <c r="E77" s="893">
        <v>0.5</v>
      </c>
      <c r="F77" s="880">
        <v>80</v>
      </c>
    </row>
    <row r="78" spans="1:6" s="876" customFormat="1" ht="24">
      <c r="A78" s="880">
        <v>18</v>
      </c>
      <c r="B78" s="3321"/>
      <c r="C78" s="816" t="s">
        <v>650</v>
      </c>
      <c r="D78" s="816" t="s">
        <v>651</v>
      </c>
      <c r="E78" s="893">
        <v>0.2</v>
      </c>
      <c r="F78" s="880">
        <v>30</v>
      </c>
    </row>
    <row r="79" spans="1:6" s="876" customFormat="1" ht="24">
      <c r="A79" s="880">
        <v>19</v>
      </c>
      <c r="B79" s="3321"/>
      <c r="C79" s="816" t="s">
        <v>652</v>
      </c>
      <c r="D79" s="816" t="s">
        <v>653</v>
      </c>
      <c r="E79" s="893">
        <v>0.5</v>
      </c>
      <c r="F79" s="880">
        <v>80</v>
      </c>
    </row>
    <row r="80" spans="1:6" s="876" customFormat="1" ht="36">
      <c r="A80" s="880">
        <v>20</v>
      </c>
      <c r="B80" s="3321"/>
      <c r="C80" s="816" t="s">
        <v>654</v>
      </c>
      <c r="D80" s="816" t="s">
        <v>655</v>
      </c>
      <c r="E80" s="893">
        <v>0.2</v>
      </c>
      <c r="F80" s="880">
        <v>30</v>
      </c>
    </row>
    <row r="81" spans="1:6" s="876" customFormat="1" ht="36">
      <c r="A81" s="880">
        <v>21</v>
      </c>
      <c r="B81" s="3321"/>
      <c r="C81" s="816" t="s">
        <v>656</v>
      </c>
      <c r="D81" s="816" t="s">
        <v>657</v>
      </c>
      <c r="E81" s="893">
        <v>0.2</v>
      </c>
      <c r="F81" s="880">
        <v>30</v>
      </c>
    </row>
    <row r="82" spans="1:6" s="876" customFormat="1" ht="48">
      <c r="A82" s="880">
        <v>22</v>
      </c>
      <c r="B82" s="3321"/>
      <c r="C82" s="816" t="s">
        <v>658</v>
      </c>
      <c r="D82" s="816" t="s">
        <v>659</v>
      </c>
      <c r="E82" s="893">
        <v>0.2</v>
      </c>
      <c r="F82" s="880">
        <v>30</v>
      </c>
    </row>
    <row r="83" spans="1:6" s="876" customFormat="1" ht="48">
      <c r="A83" s="880">
        <v>23</v>
      </c>
      <c r="B83" s="3321"/>
      <c r="C83" s="816" t="s">
        <v>660</v>
      </c>
      <c r="D83" s="816" t="s">
        <v>661</v>
      </c>
      <c r="E83" s="893">
        <v>0.2</v>
      </c>
      <c r="F83" s="880">
        <v>30</v>
      </c>
    </row>
    <row r="84" spans="1:6" s="876" customFormat="1" ht="36">
      <c r="A84" s="880">
        <v>24</v>
      </c>
      <c r="B84" s="3321"/>
      <c r="C84" s="816" t="s">
        <v>662</v>
      </c>
      <c r="D84" s="816" t="s">
        <v>663</v>
      </c>
      <c r="E84" s="893">
        <v>0.2</v>
      </c>
      <c r="F84" s="880">
        <v>30</v>
      </c>
    </row>
    <row r="85" spans="1:6" s="876" customFormat="1" ht="36">
      <c r="A85" s="880">
        <v>25</v>
      </c>
      <c r="B85" s="3321"/>
      <c r="C85" s="816" t="s">
        <v>664</v>
      </c>
      <c r="D85" s="816" t="s">
        <v>665</v>
      </c>
      <c r="E85" s="893">
        <v>0.5</v>
      </c>
      <c r="F85" s="880">
        <v>80</v>
      </c>
    </row>
    <row r="86" spans="1:6" s="876" customFormat="1" ht="36">
      <c r="A86" s="880">
        <v>26</v>
      </c>
      <c r="B86" s="3321"/>
      <c r="C86" s="816" t="s">
        <v>666</v>
      </c>
      <c r="D86" s="816" t="s">
        <v>667</v>
      </c>
      <c r="E86" s="893">
        <v>0.2</v>
      </c>
      <c r="F86" s="880">
        <v>30</v>
      </c>
    </row>
    <row r="87" spans="1:6" s="876" customFormat="1" ht="36">
      <c r="A87" s="880">
        <v>27</v>
      </c>
      <c r="B87" s="3321"/>
      <c r="C87" s="816" t="s">
        <v>668</v>
      </c>
      <c r="D87" s="816" t="s">
        <v>669</v>
      </c>
      <c r="E87" s="893">
        <v>0.2</v>
      </c>
      <c r="F87" s="880">
        <v>30</v>
      </c>
    </row>
    <row r="88" spans="1:6" s="876" customFormat="1" ht="36">
      <c r="A88" s="880">
        <v>28</v>
      </c>
      <c r="B88" s="3321"/>
      <c r="C88" s="816" t="s">
        <v>670</v>
      </c>
      <c r="D88" s="816" t="s">
        <v>671</v>
      </c>
      <c r="E88" s="893">
        <v>0.2</v>
      </c>
      <c r="F88" s="880">
        <v>30</v>
      </c>
    </row>
    <row r="89" spans="1:6" s="876" customFormat="1" ht="24">
      <c r="A89" s="880">
        <v>29</v>
      </c>
      <c r="B89" s="3321"/>
      <c r="C89" s="816" t="s">
        <v>672</v>
      </c>
      <c r="D89" s="816" t="s">
        <v>673</v>
      </c>
      <c r="E89" s="893">
        <v>0.2</v>
      </c>
      <c r="F89" s="880">
        <v>30</v>
      </c>
    </row>
    <row r="90" spans="1:6" s="876" customFormat="1" ht="24">
      <c r="A90" s="880">
        <v>30</v>
      </c>
      <c r="B90" s="3321"/>
      <c r="C90" s="816" t="s">
        <v>674</v>
      </c>
      <c r="D90" s="816" t="s">
        <v>675</v>
      </c>
      <c r="E90" s="893">
        <v>0.2</v>
      </c>
      <c r="F90" s="880">
        <v>30</v>
      </c>
    </row>
    <row r="91" spans="1:6" s="876" customFormat="1" ht="36">
      <c r="A91" s="880">
        <v>31</v>
      </c>
      <c r="B91" s="3321"/>
      <c r="C91" s="816" t="s">
        <v>676</v>
      </c>
      <c r="D91" s="816" t="s">
        <v>677</v>
      </c>
      <c r="E91" s="893">
        <v>0.2</v>
      </c>
      <c r="F91" s="880">
        <v>30</v>
      </c>
    </row>
    <row r="92" spans="1:6" s="876" customFormat="1" ht="24">
      <c r="A92" s="880">
        <v>32</v>
      </c>
      <c r="B92" s="3321" t="s">
        <v>678</v>
      </c>
      <c r="C92" s="880" t="s">
        <v>679</v>
      </c>
      <c r="D92" s="816" t="s">
        <v>680</v>
      </c>
      <c r="E92" s="893">
        <v>0.2</v>
      </c>
      <c r="F92" s="880">
        <v>30</v>
      </c>
    </row>
    <row r="93" spans="1:6" s="876" customFormat="1" ht="36">
      <c r="A93" s="880">
        <v>33</v>
      </c>
      <c r="B93" s="3321"/>
      <c r="C93" s="880" t="s">
        <v>681</v>
      </c>
      <c r="D93" s="816" t="s">
        <v>682</v>
      </c>
      <c r="E93" s="893">
        <v>0.2</v>
      </c>
      <c r="F93" s="880">
        <v>30</v>
      </c>
    </row>
    <row r="94" spans="1:6" s="876" customFormat="1" ht="48">
      <c r="A94" s="880">
        <v>34</v>
      </c>
      <c r="B94" s="3321"/>
      <c r="C94" s="880" t="s">
        <v>683</v>
      </c>
      <c r="D94" s="816" t="s">
        <v>684</v>
      </c>
      <c r="E94" s="893">
        <v>0.2</v>
      </c>
      <c r="F94" s="880">
        <v>30</v>
      </c>
    </row>
    <row r="95" spans="1:6" s="876" customFormat="1" ht="36">
      <c r="A95" s="880">
        <v>35</v>
      </c>
      <c r="B95" s="3321"/>
      <c r="C95" s="880" t="s">
        <v>685</v>
      </c>
      <c r="D95" s="816" t="s">
        <v>686</v>
      </c>
      <c r="E95" s="893">
        <v>0.2</v>
      </c>
      <c r="F95" s="880">
        <v>30</v>
      </c>
    </row>
    <row r="96" spans="1:6" s="876" customFormat="1" ht="48">
      <c r="A96" s="880">
        <v>36</v>
      </c>
      <c r="B96" s="3321"/>
      <c r="C96" s="816" t="s">
        <v>687</v>
      </c>
      <c r="D96" s="816" t="s">
        <v>688</v>
      </c>
      <c r="E96" s="893">
        <v>0.2</v>
      </c>
      <c r="F96" s="880">
        <v>30</v>
      </c>
    </row>
    <row r="97" spans="1:6" s="876" customFormat="1" ht="36">
      <c r="A97" s="880">
        <v>37</v>
      </c>
      <c r="B97" s="3321"/>
      <c r="C97" s="880" t="s">
        <v>689</v>
      </c>
      <c r="D97" s="816" t="s">
        <v>690</v>
      </c>
      <c r="E97" s="893">
        <v>0.2</v>
      </c>
      <c r="F97" s="880">
        <v>30</v>
      </c>
    </row>
    <row r="98" spans="1:6" s="876" customFormat="1" ht="36">
      <c r="A98" s="880">
        <v>38</v>
      </c>
      <c r="B98" s="3321"/>
      <c r="C98" s="880" t="s">
        <v>691</v>
      </c>
      <c r="D98" s="816" t="s">
        <v>692</v>
      </c>
      <c r="E98" s="893">
        <v>0.2</v>
      </c>
      <c r="F98" s="880">
        <v>30</v>
      </c>
    </row>
    <row r="99" spans="1:6" s="876" customFormat="1" ht="36">
      <c r="A99" s="880">
        <v>39</v>
      </c>
      <c r="B99" s="3321" t="s">
        <v>693</v>
      </c>
      <c r="C99" s="880" t="s">
        <v>694</v>
      </c>
      <c r="D99" s="816" t="s">
        <v>695</v>
      </c>
      <c r="E99" s="893">
        <v>0.3</v>
      </c>
      <c r="F99" s="880">
        <v>50</v>
      </c>
    </row>
    <row r="100" spans="1:6" s="876" customFormat="1" ht="24">
      <c r="A100" s="880">
        <v>40</v>
      </c>
      <c r="B100" s="3321"/>
      <c r="C100" s="880" t="s">
        <v>696</v>
      </c>
      <c r="D100" s="816" t="s">
        <v>697</v>
      </c>
      <c r="E100" s="893">
        <v>0.2</v>
      </c>
      <c r="F100" s="880">
        <v>30</v>
      </c>
    </row>
    <row r="101" spans="1:6" s="876" customFormat="1" ht="36">
      <c r="A101" s="880">
        <v>41</v>
      </c>
      <c r="B101" s="332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1" t="s">
        <v>708</v>
      </c>
      <c r="C105" s="880" t="s">
        <v>709</v>
      </c>
      <c r="D105" s="816" t="s">
        <v>710</v>
      </c>
      <c r="E105" s="893">
        <v>0.2</v>
      </c>
      <c r="F105" s="880">
        <v>30</v>
      </c>
    </row>
    <row r="106" spans="1:6" s="876" customFormat="1" ht="36">
      <c r="A106" s="880">
        <v>46</v>
      </c>
      <c r="B106" s="3321"/>
      <c r="C106" s="880" t="s">
        <v>711</v>
      </c>
      <c r="D106" s="816" t="s">
        <v>712</v>
      </c>
      <c r="E106" s="893">
        <v>0.2</v>
      </c>
      <c r="F106" s="880">
        <v>30</v>
      </c>
    </row>
    <row r="107" spans="1:6" s="876" customFormat="1" ht="36">
      <c r="A107" s="880">
        <v>47</v>
      </c>
      <c r="B107" s="3321" t="s">
        <v>713</v>
      </c>
      <c r="C107" s="880" t="s">
        <v>714</v>
      </c>
      <c r="D107" s="816" t="s">
        <v>715</v>
      </c>
      <c r="E107" s="893">
        <v>0.3</v>
      </c>
      <c r="F107" s="880">
        <v>50</v>
      </c>
    </row>
    <row r="108" spans="1:6" s="876" customFormat="1" ht="36">
      <c r="A108" s="880">
        <v>48</v>
      </c>
      <c r="B108" s="332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1" t="s">
        <v>724</v>
      </c>
      <c r="C111" s="880" t="s">
        <v>725</v>
      </c>
      <c r="D111" s="816" t="s">
        <v>726</v>
      </c>
      <c r="E111" s="893">
        <v>0.2</v>
      </c>
      <c r="F111" s="880">
        <v>30</v>
      </c>
    </row>
    <row r="112" spans="1:6" s="876" customFormat="1" ht="24">
      <c r="A112" s="880">
        <v>52</v>
      </c>
      <c r="B112" s="3321"/>
      <c r="C112" s="880" t="s">
        <v>727</v>
      </c>
      <c r="D112" s="816" t="s">
        <v>728</v>
      </c>
      <c r="E112" s="893">
        <v>0.2</v>
      </c>
      <c r="F112" s="880">
        <v>30</v>
      </c>
    </row>
    <row r="113" spans="1:6" s="876" customFormat="1" ht="24">
      <c r="A113" s="880">
        <v>53</v>
      </c>
      <c r="B113" s="332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1" t="s">
        <v>737</v>
      </c>
      <c r="C116" s="880" t="s">
        <v>738</v>
      </c>
      <c r="D116" s="816" t="s">
        <v>739</v>
      </c>
      <c r="E116" s="893">
        <v>0.2</v>
      </c>
      <c r="F116" s="880">
        <v>30</v>
      </c>
    </row>
    <row r="117" spans="1:6" ht="36">
      <c r="A117" s="880">
        <v>57</v>
      </c>
      <c r="B117" s="332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3005</v>
      </c>
    </row>
    <row r="2" spans="1:5" ht="15.75">
      <c r="A2" s="2899" t="s">
        <v>2997</v>
      </c>
      <c r="B2" s="2900" t="e">
        <f ca="1">SUMIF(B6:B13,"&lt;&gt;#ref!",B6:B13)</f>
        <v>#DIV/0!</v>
      </c>
      <c r="C2" s="2899" t="s">
        <v>2998</v>
      </c>
      <c r="D2" s="2899" t="s">
        <v>2999</v>
      </c>
      <c r="E2" s="2900">
        <f ca="1">SUMIF(E6:E13,"&lt;&gt;#ref!",E6:E13)</f>
        <v>0</v>
      </c>
    </row>
    <row r="3" spans="1:5" ht="15.75">
      <c r="A3" s="2899" t="s">
        <v>3000</v>
      </c>
      <c r="B3" s="2900" t="e">
        <f ca="1">ROUND(B2*10000/E2,0)</f>
        <v>#DIV/0!</v>
      </c>
      <c r="C3" s="2899" t="s">
        <v>3006</v>
      </c>
      <c r="D3" s="2901"/>
      <c r="E3" s="2901"/>
    </row>
    <row r="4" spans="1:5" ht="15.75">
      <c r="A4" s="2902"/>
      <c r="B4" s="2901"/>
      <c r="C4" s="2901"/>
      <c r="D4" s="2901"/>
      <c r="E4" s="2901"/>
    </row>
    <row r="5" spans="1:5" ht="28.5">
      <c r="A5" s="2903" t="s">
        <v>3001</v>
      </c>
      <c r="B5" s="2899" t="s">
        <v>3002</v>
      </c>
      <c r="C5" s="2900"/>
      <c r="D5" s="2901"/>
      <c r="E5" s="2899" t="s">
        <v>3003</v>
      </c>
    </row>
    <row r="6" spans="1:5" ht="15.75">
      <c r="A6" s="2904" t="s">
        <v>3004</v>
      </c>
      <c r="B6" s="2900" t="e">
        <f ca="1">SUMIF(INDIRECT("'"&amp;A6&amp;"'"&amp;"!A:A"),"总价",INDIRECT("'"&amp;A6&amp;"'"&amp;"!B:B"))</f>
        <v>#DIV/0!</v>
      </c>
      <c r="C6" s="2899" t="s">
        <v>2998</v>
      </c>
      <c r="D6" s="2901"/>
      <c r="E6" s="2572">
        <f ca="1">SUMIF(INDIRECT("'"&amp;A6&amp;"'"&amp;"!C:C"),"建筑面积",INDIRECT("'"&amp;A6&amp;"'"&amp;"!D:D"))</f>
        <v>0</v>
      </c>
    </row>
    <row r="7" spans="1:5" ht="15.75">
      <c r="A7" s="2904"/>
      <c r="B7" s="2900" t="e">
        <f ca="1">SUMIF(INDIRECT("'"&amp;A7&amp;"'"&amp;"!A:A"),"总价",INDIRECT("'"&amp;A7&amp;"'"&amp;"!B:B"))</f>
        <v>#REF!</v>
      </c>
      <c r="C7" s="2899" t="s">
        <v>2998</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2998</v>
      </c>
      <c r="D8" s="2901"/>
      <c r="E8" s="2572" t="e">
        <f t="shared" ca="1" si="0"/>
        <v>#REF!</v>
      </c>
    </row>
    <row r="9" spans="1:5" ht="15.75">
      <c r="A9" s="2904"/>
      <c r="B9" s="2900" t="e">
        <f t="shared" ca="1" si="1"/>
        <v>#REF!</v>
      </c>
      <c r="C9" s="2899" t="s">
        <v>2998</v>
      </c>
      <c r="D9" s="2901"/>
      <c r="E9" s="2572" t="e">
        <f t="shared" ca="1" si="0"/>
        <v>#REF!</v>
      </c>
    </row>
    <row r="10" spans="1:5" ht="15.75">
      <c r="A10" s="2904"/>
      <c r="B10" s="2900" t="e">
        <f t="shared" ca="1" si="1"/>
        <v>#REF!</v>
      </c>
      <c r="C10" s="2899" t="s">
        <v>2998</v>
      </c>
      <c r="D10" s="2901"/>
      <c r="E10" s="2572" t="e">
        <f t="shared" ca="1" si="0"/>
        <v>#REF!</v>
      </c>
    </row>
    <row r="11" spans="1:5" ht="15.75">
      <c r="A11" s="2904"/>
      <c r="B11" s="2900" t="e">
        <f t="shared" ca="1" si="1"/>
        <v>#REF!</v>
      </c>
      <c r="C11" s="2899" t="s">
        <v>2998</v>
      </c>
      <c r="D11" s="2901"/>
      <c r="E11" s="2572" t="e">
        <f t="shared" ca="1" si="0"/>
        <v>#REF!</v>
      </c>
    </row>
    <row r="12" spans="1:5" ht="15.75">
      <c r="A12" s="2904"/>
      <c r="B12" s="2900" t="e">
        <f t="shared" ca="1" si="1"/>
        <v>#REF!</v>
      </c>
      <c r="C12" s="2899" t="s">
        <v>2998</v>
      </c>
      <c r="D12" s="2901"/>
      <c r="E12" s="2572" t="e">
        <f t="shared" ca="1" si="0"/>
        <v>#REF!</v>
      </c>
    </row>
    <row r="13" spans="1:5" ht="15.75">
      <c r="A13" s="2904"/>
      <c r="B13" s="2900" t="e">
        <f t="shared" ca="1" si="1"/>
        <v>#REF!</v>
      </c>
      <c r="C13" s="2899" t="s">
        <v>2998</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7" t="s">
        <v>1146</v>
      </c>
      <c r="C1" s="3327"/>
      <c r="D1" s="3327"/>
      <c r="E1" s="3327"/>
      <c r="F1" s="3327"/>
      <c r="G1" s="3323" t="s">
        <v>1147</v>
      </c>
      <c r="H1" s="3323"/>
      <c r="I1" s="3323"/>
      <c r="J1" s="3323"/>
      <c r="K1" s="3323"/>
      <c r="L1" s="3323"/>
      <c r="N1" s="3323" t="s">
        <v>1148</v>
      </c>
      <c r="O1" s="3323"/>
      <c r="P1" s="3323"/>
      <c r="Q1" s="3323"/>
      <c r="R1" s="1444"/>
      <c r="S1" s="3323" t="s">
        <v>1149</v>
      </c>
      <c r="T1" s="3323"/>
      <c r="U1" s="3323"/>
      <c r="V1" s="3323"/>
      <c r="X1" s="3322" t="s">
        <v>1150</v>
      </c>
      <c r="Y1" s="3323"/>
      <c r="Z1" s="3323"/>
      <c r="AA1" s="3323"/>
      <c r="AB1" s="3323"/>
      <c r="AD1" s="3322" t="s">
        <v>1151</v>
      </c>
      <c r="AE1" s="3323"/>
      <c r="AF1" s="3323"/>
      <c r="AG1" s="3323"/>
      <c r="AH1" s="3323"/>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3039</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3053</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9">
        <v>2019</v>
      </c>
      <c r="H5" s="1728">
        <v>2</v>
      </c>
      <c r="I5" s="2911">
        <v>0</v>
      </c>
      <c r="J5" s="2911">
        <v>0</v>
      </c>
      <c r="K5" s="2911">
        <v>0</v>
      </c>
      <c r="L5" s="2911">
        <v>0</v>
      </c>
      <c r="N5" s="1465">
        <f>I5/100</f>
        <v>0</v>
      </c>
      <c r="O5" s="1465">
        <f t="shared" ref="O5" si="7">J5/100</f>
        <v>0</v>
      </c>
      <c r="P5" s="1465">
        <f t="shared" ref="P5" si="8">K5/100</f>
        <v>0</v>
      </c>
      <c r="Q5" s="1465">
        <f t="shared" ref="Q5" si="9">L5/100</f>
        <v>0</v>
      </c>
      <c r="R5" s="1730"/>
      <c r="S5" s="1731"/>
      <c r="T5" s="1730"/>
      <c r="U5" s="1730"/>
      <c r="V5" s="1730"/>
      <c r="W5" s="2914" t="s">
        <v>3040</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3054</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8">
        <v>2019</v>
      </c>
      <c r="H6" s="1462">
        <v>1</v>
      </c>
      <c r="I6" s="2930">
        <v>0.6</v>
      </c>
      <c r="J6" s="2930">
        <v>0.37</v>
      </c>
      <c r="K6" s="2930">
        <v>0.63</v>
      </c>
      <c r="L6" s="2931">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3052</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25">
        <v>2018</v>
      </c>
      <c r="H7" s="1462">
        <v>4</v>
      </c>
      <c r="I7" s="2930">
        <v>0.96</v>
      </c>
      <c r="J7" s="2930">
        <v>1.03</v>
      </c>
      <c r="K7" s="2930">
        <v>0.92</v>
      </c>
      <c r="L7" s="2931">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3046</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25"/>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3045</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25"/>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3038</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32"/>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3035</v>
      </c>
      <c r="B11" s="1467">
        <v>439</v>
      </c>
      <c r="C11" s="1467">
        <v>327</v>
      </c>
      <c r="D11" s="1467">
        <f>C11</f>
        <v>327</v>
      </c>
      <c r="E11" s="1467">
        <v>627</v>
      </c>
      <c r="F11" s="1468">
        <v>283</v>
      </c>
      <c r="G11" s="3328">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3036</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25"/>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325"/>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32"/>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28">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25"/>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25"/>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26"/>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24">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25"/>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25"/>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26"/>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24">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25"/>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25"/>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26"/>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29">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30"/>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30"/>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31"/>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24">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25"/>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25"/>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26"/>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24">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25">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25">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26">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24">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25">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25">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26">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24">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25">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25">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26">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24">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25">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25">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26">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24">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25">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25">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26">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24">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25">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25">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26">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24">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25">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25">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26">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24">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25">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25">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26">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24">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25">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25">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26">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24">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25">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25">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26">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48888</v>
      </c>
      <c r="C2" s="2" t="s">
        <v>133</v>
      </c>
      <c r="D2" s="243"/>
      <c r="E2" s="243"/>
      <c r="F2" s="243"/>
      <c r="G2" s="243"/>
    </row>
    <row r="3" spans="1:7" s="244" customFormat="1" ht="18" customHeight="1" thickBot="1">
      <c r="A3" s="247" t="s">
        <v>85</v>
      </c>
      <c r="B3" s="248">
        <f ca="1">ROUND(B2*10000/'数据-汇总表'!E3,0)</f>
        <v>9423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1038</v>
      </c>
      <c r="D10" s="1030">
        <f>'数据-汇总表'!E6</f>
        <v>51884.22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1038</v>
      </c>
      <c r="D19" s="1034">
        <f>'数据-汇总表'!E3</f>
        <v>51884.22</v>
      </c>
      <c r="E19" s="255">
        <f>'数据-取费表'!B31</f>
        <v>200</v>
      </c>
      <c r="F19" s="275"/>
      <c r="G19" s="1" t="s">
        <v>1071</v>
      </c>
    </row>
    <row r="20" spans="1:7" s="258" customFormat="1" ht="13.5" customHeight="1">
      <c r="A20" s="946" t="s">
        <v>1054</v>
      </c>
      <c r="B20" s="254" t="s">
        <v>104</v>
      </c>
      <c r="C20" s="276">
        <f>ROUND((C5+C19)*F20,0)</f>
        <v>433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2126</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101</v>
      </c>
      <c r="D24" s="282"/>
      <c r="E24" s="282"/>
      <c r="F24" s="283"/>
      <c r="G24" s="284" t="s">
        <v>109</v>
      </c>
    </row>
    <row r="25" spans="1:7" s="258" customFormat="1" ht="24">
      <c r="A25" s="949" t="s">
        <v>793</v>
      </c>
      <c r="B25" s="259" t="s">
        <v>1055</v>
      </c>
      <c r="C25" s="1353">
        <f ca="1">ROUND(IF('数据-取费表'!B22&lt;=1,C20*F22*'数据-取费表'!B23/2,C20*(POWER((1+F22),'数据-取费表'!B23/2)-1)),0)</f>
        <v>21</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3533</v>
      </c>
      <c r="D27" s="279">
        <f>C29</f>
        <v>3.2000000000000002E-3</v>
      </c>
      <c r="E27" s="280" t="s">
        <v>126</v>
      </c>
      <c r="F27" s="290">
        <f>'数据-取费表'!Q16</f>
        <v>0.16</v>
      </c>
      <c r="G27" s="291" t="s">
        <v>1066</v>
      </c>
    </row>
    <row r="28" spans="1:7" s="258" customFormat="1" ht="13.5" customHeight="1">
      <c r="A28" s="949" t="s">
        <v>794</v>
      </c>
      <c r="B28" s="292" t="s">
        <v>1059</v>
      </c>
      <c r="C28" s="293">
        <f>ROUND((C5+C19+C20)*F27*'数据-取费表'!B21/'数据-取费表'!B20,0)</f>
        <v>3533</v>
      </c>
      <c r="D28" s="279"/>
      <c r="E28" s="280"/>
      <c r="F28" s="290"/>
      <c r="G28" s="291"/>
    </row>
    <row r="29" spans="1:7" s="258" customFormat="1" ht="13.5" customHeight="1">
      <c r="A29" s="949" t="s">
        <v>792</v>
      </c>
      <c r="B29" s="292" t="s">
        <v>1060</v>
      </c>
      <c r="C29" s="282">
        <f>ROUND(C21*F27*'数据-取费表'!B21/'数据-取费表'!B20,4)</f>
        <v>3.2000000000000002E-3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30041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15194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13547</v>
      </c>
      <c r="D34" s="261"/>
      <c r="E34" s="264"/>
      <c r="F34" s="301">
        <f>IF('数据-取费表'!B24=0,1,'数据-取费表'!N16)</f>
        <v>1</v>
      </c>
      <c r="G34" s="263" t="s">
        <v>116</v>
      </c>
    </row>
    <row r="35" spans="1:7" ht="13.5" customHeight="1">
      <c r="A35" s="949" t="s">
        <v>796</v>
      </c>
      <c r="B35" s="259" t="s">
        <v>60</v>
      </c>
      <c r="C35" s="264">
        <f>ROUND(C34*F35,0)</f>
        <v>406</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1038</v>
      </c>
      <c r="D37" s="261">
        <f>'数据-汇总表'!E3</f>
        <v>51884.22</v>
      </c>
      <c r="E37" s="293">
        <f>'数据-取费表'!B35</f>
        <v>200</v>
      </c>
      <c r="F37" s="303"/>
      <c r="G37" s="305" t="s">
        <v>119</v>
      </c>
    </row>
    <row r="38" spans="1:7" ht="13.5" customHeight="1">
      <c r="A38" s="949" t="s">
        <v>799</v>
      </c>
      <c r="B38" s="259" t="s">
        <v>63</v>
      </c>
      <c r="C38" s="264">
        <f>ROUND(C34*F38,0)</f>
        <v>203</v>
      </c>
      <c r="D38" s="264"/>
      <c r="E38" s="264"/>
      <c r="F38" s="303">
        <f>'数据-取费表'!B36</f>
        <v>1.4999999999999999E-2</v>
      </c>
      <c r="G38" s="263" t="s">
        <v>117</v>
      </c>
    </row>
    <row r="39" spans="1:7" s="258" customFormat="1" ht="13.5" customHeight="1">
      <c r="A39" s="946" t="s">
        <v>783</v>
      </c>
      <c r="B39" s="254" t="s">
        <v>104</v>
      </c>
      <c r="C39" s="276">
        <f>ROUND(C33*F20,0)</f>
        <v>304</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736</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722</v>
      </c>
      <c r="D42" s="282"/>
      <c r="E42" s="282"/>
      <c r="F42" s="283"/>
      <c r="G42" s="3191" t="s">
        <v>121</v>
      </c>
    </row>
    <row r="43" spans="1:7" ht="13.5" customHeight="1">
      <c r="A43" s="949" t="s">
        <v>792</v>
      </c>
      <c r="B43" s="259" t="s">
        <v>1061</v>
      </c>
      <c r="C43" s="282">
        <f ca="1">ROUND(IF('数据-取费表'!B22&lt;=1,C39*F22*'数据-取费表'!B21/2,C39*(POWER((1+F22),'数据-取费表'!B21/2)-1)),0)</f>
        <v>14</v>
      </c>
      <c r="D43" s="282"/>
      <c r="E43" s="282"/>
      <c r="F43" s="283"/>
      <c r="G43" s="3192"/>
    </row>
    <row r="44" spans="1:7" ht="13.5" customHeight="1">
      <c r="A44" s="949" t="s">
        <v>793</v>
      </c>
      <c r="B44" s="259" t="s">
        <v>1063</v>
      </c>
      <c r="C44" s="282">
        <f ca="1">ROUND(IF('数据-取费表'!B22&lt;=1,C40*F22*'数据-取费表'!B21/2,C40*(POWER((1+F22),'数据-取费表'!B21/2)-1)),4)</f>
        <v>1E-3</v>
      </c>
      <c r="D44" s="282"/>
      <c r="E44" s="282"/>
      <c r="F44" s="283"/>
      <c r="G44" s="3193"/>
    </row>
    <row r="45" spans="1:7" s="258" customFormat="1" ht="13.5" customHeight="1">
      <c r="A45" s="946" t="s">
        <v>786</v>
      </c>
      <c r="B45" s="288" t="s">
        <v>112</v>
      </c>
      <c r="C45" s="289">
        <f>C46</f>
        <v>2480</v>
      </c>
      <c r="D45" s="279">
        <f>C47</f>
        <v>3.2000000000000002E-3</v>
      </c>
      <c r="E45" s="280" t="s">
        <v>129</v>
      </c>
      <c r="F45" s="290"/>
      <c r="G45" s="291" t="s">
        <v>1069</v>
      </c>
    </row>
    <row r="46" spans="1:7" s="258" customFormat="1" ht="13.5" customHeight="1">
      <c r="A46" s="949" t="s">
        <v>794</v>
      </c>
      <c r="B46" s="292" t="s">
        <v>1062</v>
      </c>
      <c r="C46" s="293">
        <f>ROUND((C33+C39)*F27,0)</f>
        <v>2480</v>
      </c>
      <c r="D46" s="307"/>
      <c r="E46" s="280"/>
      <c r="F46" s="290"/>
      <c r="G46" s="291"/>
    </row>
    <row r="47" spans="1:7" s="258" customFormat="1" ht="13.5" customHeight="1">
      <c r="A47" s="949" t="s">
        <v>792</v>
      </c>
      <c r="B47" s="292" t="s">
        <v>1064</v>
      </c>
      <c r="C47" s="282">
        <f>ROUND(C40*F27,4)</f>
        <v>3.2000000000000002E-3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20266</v>
      </c>
      <c r="D49" s="276"/>
      <c r="E49" s="276"/>
      <c r="F49" s="308"/>
      <c r="G49" s="278" t="s">
        <v>1070</v>
      </c>
    </row>
    <row r="50" spans="1:7" s="302" customFormat="1" ht="24">
      <c r="A50" s="946" t="s">
        <v>789</v>
      </c>
      <c r="B50" s="254" t="s">
        <v>124</v>
      </c>
      <c r="C50" s="276"/>
      <c r="D50" s="276"/>
      <c r="E50" s="276"/>
      <c r="F50" s="308">
        <f>IF('数据-取费表'!B24=0,'数据-取费表'!N16,1)</f>
        <v>0.93</v>
      </c>
      <c r="G50" s="291" t="s">
        <v>125</v>
      </c>
    </row>
    <row r="51" spans="1:7" ht="16.5" customHeight="1">
      <c r="A51" s="946" t="s">
        <v>790</v>
      </c>
      <c r="B51" s="254" t="s">
        <v>132</v>
      </c>
      <c r="C51" s="276">
        <f ca="1">ROUND(C49*F50,0)</f>
        <v>18847</v>
      </c>
      <c r="D51" s="276"/>
      <c r="E51" s="276"/>
      <c r="F51" s="308"/>
      <c r="G51" s="278" t="s">
        <v>64</v>
      </c>
    </row>
    <row r="52" spans="1:7" s="252" customFormat="1" ht="16.5" thickBot="1">
      <c r="A52" s="309" t="s">
        <v>65</v>
      </c>
      <c r="B52" s="310"/>
      <c r="C52" s="311">
        <f ca="1">C31+C51</f>
        <v>48888</v>
      </c>
      <c r="D52" s="310"/>
      <c r="E52" s="310"/>
      <c r="F52" s="310"/>
      <c r="G52" s="312"/>
    </row>
    <row r="55" spans="1:7" ht="15">
      <c r="B55" s="314" t="s">
        <v>66</v>
      </c>
      <c r="C55" s="315"/>
    </row>
    <row r="56" spans="1:7">
      <c r="B56" s="317" t="s">
        <v>67</v>
      </c>
      <c r="C56" s="318">
        <f ca="1">ROUND(C51/C52,3)</f>
        <v>0.38600000000000001</v>
      </c>
    </row>
    <row r="57" spans="1:7">
      <c r="B57" s="317" t="s">
        <v>68</v>
      </c>
      <c r="C57" s="319">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3" t="s">
        <v>156</v>
      </c>
      <c r="B1" s="3333"/>
      <c r="C1" s="3333"/>
      <c r="D1" s="3333"/>
      <c r="E1" s="3333"/>
      <c r="F1" s="333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4" t="s">
        <v>169</v>
      </c>
      <c r="B2" s="3334"/>
      <c r="C2" s="3334"/>
      <c r="D2" s="3334"/>
      <c r="E2" s="3334"/>
      <c r="F2" s="333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3" t="s">
        <v>868</v>
      </c>
      <c r="B1" s="3333"/>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43602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1637</v>
      </c>
      <c r="B2" s="3017" t="s">
        <v>1638</v>
      </c>
      <c r="C2" s="3017" t="s">
        <v>1639</v>
      </c>
      <c r="D2" s="3017" t="str">
        <f>结果表办公!D116</f>
        <v>出让国有建设用地使用权价值</v>
      </c>
      <c r="E2" s="3017"/>
      <c r="F2" s="3017" t="str">
        <f>结果表办公!F116</f>
        <v>在建建筑物价值</v>
      </c>
      <c r="G2" s="3017"/>
      <c r="H2" s="3017" t="str">
        <f>IF(项目基本情况!B9="房地产市场价值","房地产市场价值","房地产价值")</f>
        <v>房地产价值</v>
      </c>
      <c r="I2" s="3017"/>
    </row>
    <row r="3" spans="1:9" ht="15">
      <c r="A3" s="3018"/>
      <c r="B3" s="3018"/>
      <c r="C3" s="3018"/>
      <c r="D3" s="1042" t="s">
        <v>1634</v>
      </c>
      <c r="E3" s="1042" t="s">
        <v>1640</v>
      </c>
      <c r="F3" s="1042" t="s">
        <v>1634</v>
      </c>
      <c r="G3" s="1042" t="s">
        <v>1635</v>
      </c>
      <c r="H3" s="1042" t="s">
        <v>1634</v>
      </c>
      <c r="I3" s="1042" t="s">
        <v>1635</v>
      </c>
    </row>
    <row r="4" spans="1:9" ht="75">
      <c r="A4" s="1971" t="str">
        <f>项目基本情况!S2</f>
        <v>北京市北京经济技术开发区天华北街11号院1号楼，2号楼，3号楼，4幢等部分办公、商业用房房地产抵押价值评估房地产</v>
      </c>
      <c r="B4" s="1042">
        <f>项目基本情况!C17</f>
        <v>51884.22</v>
      </c>
      <c r="C4" s="1042">
        <f>项目基本情况!C18</f>
        <v>11508.72</v>
      </c>
      <c r="D4" s="1042">
        <f ca="1">结果表办公!D118</f>
        <v>49992</v>
      </c>
      <c r="E4" s="1042">
        <f ca="1">结果表办公!E118</f>
        <v>25329</v>
      </c>
      <c r="F4" s="1042">
        <f ca="1">结果表办公!F118</f>
        <v>14100</v>
      </c>
      <c r="G4" s="1042">
        <f ca="1">结果表办公!G118</f>
        <v>7144</v>
      </c>
      <c r="H4" s="1042">
        <f ca="1">结果表办公!H118</f>
        <v>64092</v>
      </c>
      <c r="I4" s="1042">
        <f ca="1">结果表办公!I118</f>
        <v>32473</v>
      </c>
    </row>
    <row r="5" spans="1:9" ht="30" customHeight="1">
      <c r="A5" s="3018" t="s">
        <v>1636</v>
      </c>
      <c r="B5" s="3018"/>
      <c r="C5" s="3018"/>
      <c r="D5" s="3019" t="str">
        <f ca="1">结果表办公!D119</f>
        <v>肆亿玖仟玖佰玖拾贰万元整</v>
      </c>
      <c r="E5" s="3019"/>
      <c r="F5" s="3019" t="str">
        <f ca="1">结果表办公!F119</f>
        <v>壹亿肆仟壹佰万元整</v>
      </c>
      <c r="G5" s="3019"/>
      <c r="H5" s="3019" t="str">
        <f ca="1">结果表办公!H119</f>
        <v>陆亿肆仟零玖拾贰万元整</v>
      </c>
      <c r="I5" s="3019"/>
    </row>
    <row r="6" spans="1:9" ht="15.75">
      <c r="A6" s="3020" t="str">
        <f>结果表办公!A120</f>
        <v>估价师知悉的法定优先受偿款</v>
      </c>
      <c r="B6" s="3020"/>
      <c r="C6" s="3020"/>
      <c r="D6" s="3020">
        <f>结果表办公!D120</f>
        <v>0</v>
      </c>
      <c r="E6" s="3020"/>
      <c r="F6" s="3020"/>
      <c r="G6" s="3020"/>
      <c r="H6" s="3020"/>
      <c r="I6" s="3020"/>
    </row>
    <row r="7" spans="1:9" ht="15">
      <c r="A7" s="3018" t="s">
        <v>1636</v>
      </c>
      <c r="B7" s="3018"/>
      <c r="C7" s="3018"/>
      <c r="D7" s="3021" t="str">
        <f>结果表办公!D121</f>
        <v>零元整</v>
      </c>
      <c r="E7" s="3022"/>
      <c r="F7" s="3022"/>
      <c r="G7" s="3022"/>
      <c r="H7" s="3022"/>
      <c r="I7" s="3023"/>
    </row>
    <row r="8" spans="1:9" ht="15.75">
      <c r="A8" s="3020" t="str">
        <f>结果表办公!A122</f>
        <v>房地产抵押价值</v>
      </c>
      <c r="B8" s="3020"/>
      <c r="C8" s="3020"/>
      <c r="D8" s="3020">
        <f ca="1">结果表办公!D122</f>
        <v>64092</v>
      </c>
      <c r="E8" s="3020"/>
      <c r="F8" s="3020"/>
      <c r="G8" s="3020"/>
      <c r="H8" s="3020"/>
      <c r="I8" s="3020"/>
    </row>
    <row r="9" spans="1:9" ht="15">
      <c r="A9" s="3018" t="s">
        <v>1636</v>
      </c>
      <c r="B9" s="3018"/>
      <c r="C9" s="3018"/>
      <c r="D9" s="3019" t="str">
        <f ca="1">结果表办公!D123</f>
        <v>陆亿肆仟零玖拾贰万元整</v>
      </c>
      <c r="E9" s="3019"/>
      <c r="F9" s="3019"/>
      <c r="G9" s="3019"/>
      <c r="H9" s="3019"/>
      <c r="I9" s="3019"/>
    </row>
    <row r="10" spans="1:9" ht="15.75">
      <c r="A10" s="3020" t="str">
        <f>结果表办公!A124</f>
        <v/>
      </c>
      <c r="B10" s="3020"/>
      <c r="C10" s="3020"/>
      <c r="D10" s="3020" t="str">
        <f>结果表办公!D124</f>
        <v>——</v>
      </c>
      <c r="E10" s="3020"/>
      <c r="F10" s="3020"/>
      <c r="G10" s="3020"/>
      <c r="H10" s="3020"/>
      <c r="I10" s="3020"/>
    </row>
    <row r="11" spans="1:9" ht="15">
      <c r="A11" s="3018" t="s">
        <v>1636</v>
      </c>
      <c r="B11" s="3018"/>
      <c r="C11" s="3018"/>
      <c r="D11" s="3019" t="e">
        <f>结果表办公!D125</f>
        <v>#VALUE!</v>
      </c>
      <c r="E11" s="3019"/>
      <c r="F11" s="3019"/>
      <c r="G11" s="3019"/>
      <c r="H11" s="3019"/>
      <c r="I11" s="3019"/>
    </row>
    <row r="12" spans="1:9" ht="15.75">
      <c r="A12" s="3020" t="str">
        <f>结果表办公!A126</f>
        <v/>
      </c>
      <c r="B12" s="3020"/>
      <c r="C12" s="3020"/>
      <c r="D12" s="3020" t="str">
        <f>结果表办公!D126</f>
        <v>——</v>
      </c>
      <c r="E12" s="3020"/>
      <c r="F12" s="3020"/>
      <c r="G12" s="3020"/>
      <c r="H12" s="3020"/>
      <c r="I12" s="3020"/>
    </row>
    <row r="13" spans="1:9" ht="15.75" thickBot="1">
      <c r="A13" s="3024" t="s">
        <v>1636</v>
      </c>
      <c r="B13" s="3024"/>
      <c r="C13" s="3024"/>
      <c r="D13" s="3025" t="e">
        <f>结果表办公!D127</f>
        <v>#VALUE!</v>
      </c>
      <c r="E13" s="3025"/>
      <c r="F13" s="3025"/>
      <c r="G13" s="3025"/>
      <c r="H13" s="3025"/>
      <c r="I13" s="3025"/>
    </row>
    <row r="14" spans="1:9" ht="15" thickTop="1">
      <c r="A14" s="3026" t="s">
        <v>1641</v>
      </c>
      <c r="B14" s="3026"/>
      <c r="C14" s="3026"/>
      <c r="D14" s="3026"/>
      <c r="E14" s="3026"/>
      <c r="F14" s="3026"/>
      <c r="G14" s="3026"/>
      <c r="H14" s="3026"/>
      <c r="I14" s="3026"/>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I25" sqref="I25"/>
    </sheetView>
  </sheetViews>
  <sheetFormatPr defaultColWidth="9" defaultRowHeight="16.5"/>
  <cols>
    <col min="1" max="1" width="9" style="3000"/>
    <col min="2" max="2" width="9.125" style="3000" customWidth="1"/>
    <col min="3" max="3" width="9" style="3000"/>
    <col min="4" max="4" width="12.5" style="3000" customWidth="1"/>
    <col min="5" max="5" width="9.875" style="3000" customWidth="1"/>
    <col min="6" max="16384" width="9" style="3000"/>
  </cols>
  <sheetData>
    <row r="1" spans="1:17" ht="52.5" thickBot="1">
      <c r="A1" s="2998" t="s">
        <v>3084</v>
      </c>
      <c r="B1" s="2999" t="s">
        <v>3085</v>
      </c>
      <c r="C1" s="2999" t="s">
        <v>1371</v>
      </c>
      <c r="D1" s="2999" t="s">
        <v>3086</v>
      </c>
      <c r="E1" s="2999" t="s">
        <v>3087</v>
      </c>
      <c r="I1" s="3000" t="s">
        <v>3261</v>
      </c>
      <c r="J1" s="3000" t="s">
        <v>3262</v>
      </c>
      <c r="O1" s="3000">
        <f>SUM(K2:K5)+SUM(O9:O14)</f>
        <v>6.5375000000000014</v>
      </c>
    </row>
    <row r="2" spans="1:17" ht="18" thickBot="1">
      <c r="A2" s="3001" t="s">
        <v>3263</v>
      </c>
      <c r="B2" s="3002" t="s">
        <v>3088</v>
      </c>
      <c r="C2" s="3002" t="s">
        <v>27</v>
      </c>
      <c r="D2" s="3002">
        <v>19736.88</v>
      </c>
      <c r="E2" s="3002">
        <v>4377.9440000000004</v>
      </c>
      <c r="I2" s="3000">
        <v>1</v>
      </c>
      <c r="J2" s="3000">
        <f>G3+G4+D5+D6+D7+D9+D11+G19+G20</f>
        <v>1762.47</v>
      </c>
      <c r="K2" s="3000">
        <v>1</v>
      </c>
      <c r="L2" s="3000">
        <v>7</v>
      </c>
      <c r="M2" s="3000">
        <f>N15*10000/(K2*J2+K3*J3+K4*J4+K5*J5+O9*J9+O10*J10+O11*J11*O12*J12+O13*J13+O14*J14)</f>
        <v>2043.4683699203895</v>
      </c>
      <c r="P2" s="3000">
        <f>Q2*J2/10000</f>
        <v>7790.1174000000001</v>
      </c>
      <c r="Q2" s="3000">
        <v>44200</v>
      </c>
    </row>
    <row r="3" spans="1:17" ht="18" thickBot="1">
      <c r="A3" s="3337" t="s">
        <v>3264</v>
      </c>
      <c r="B3" s="3002">
        <v>101</v>
      </c>
      <c r="C3" s="3002" t="s">
        <v>1373</v>
      </c>
      <c r="D3" s="3002">
        <v>696.41</v>
      </c>
      <c r="E3" s="3002">
        <v>154.471</v>
      </c>
      <c r="F3" s="3000" t="s">
        <v>3265</v>
      </c>
      <c r="G3" s="3000">
        <f>D3/2</f>
        <v>348.20499999999998</v>
      </c>
      <c r="I3" s="3000">
        <v>2</v>
      </c>
      <c r="J3" s="3000">
        <f>G3+G4+G19+G20</f>
        <v>1295.3800000000001</v>
      </c>
      <c r="K3" s="3000">
        <v>0.75</v>
      </c>
      <c r="L3" s="3000">
        <f>L2*K3</f>
        <v>5.25</v>
      </c>
      <c r="P3" s="3000">
        <f t="shared" ref="P3:P5" si="0">Q3*J3/10000</f>
        <v>4294.1846999999998</v>
      </c>
      <c r="Q3" s="3000">
        <f>$Q$2*K3</f>
        <v>33150</v>
      </c>
    </row>
    <row r="4" spans="1:17" ht="18" thickBot="1">
      <c r="A4" s="3338"/>
      <c r="B4" s="3002">
        <v>102</v>
      </c>
      <c r="C4" s="3002" t="s">
        <v>1373</v>
      </c>
      <c r="D4" s="3002">
        <v>855.05</v>
      </c>
      <c r="E4" s="3002">
        <v>189.66300000000001</v>
      </c>
      <c r="F4" s="3000" t="s">
        <v>3266</v>
      </c>
      <c r="G4" s="3000">
        <f>D4/2</f>
        <v>427.52499999999998</v>
      </c>
      <c r="I4" s="3000">
        <v>3</v>
      </c>
      <c r="J4" s="3000">
        <f>D12+D13+D21</f>
        <v>1975.7799999999997</v>
      </c>
      <c r="K4" s="3000">
        <v>0.7</v>
      </c>
      <c r="L4" s="3000">
        <f>L2*K4</f>
        <v>4.8999999999999995</v>
      </c>
      <c r="P4" s="3000">
        <f t="shared" si="0"/>
        <v>6113.0633199999984</v>
      </c>
      <c r="Q4" s="3000">
        <f t="shared" ref="Q4:Q5" si="1">$Q$2*K4</f>
        <v>30939.999999999996</v>
      </c>
    </row>
    <row r="5" spans="1:17" ht="18" thickBot="1">
      <c r="A5" s="3338"/>
      <c r="B5" s="3002">
        <v>103</v>
      </c>
      <c r="C5" s="3002" t="s">
        <v>1373</v>
      </c>
      <c r="D5" s="3002">
        <v>67.11</v>
      </c>
      <c r="E5" s="3002">
        <v>14.885999999999999</v>
      </c>
      <c r="F5" s="3000">
        <v>1</v>
      </c>
      <c r="I5" s="3000">
        <v>4</v>
      </c>
      <c r="J5" s="3000">
        <f>D22</f>
        <v>640.91999999999996</v>
      </c>
      <c r="K5" s="3000">
        <v>0.6</v>
      </c>
      <c r="L5" s="3000">
        <f>L2*K5</f>
        <v>4.2</v>
      </c>
      <c r="P5" s="3000">
        <f t="shared" si="0"/>
        <v>1699.7198399999997</v>
      </c>
      <c r="Q5" s="3000">
        <f t="shared" si="1"/>
        <v>26520</v>
      </c>
    </row>
    <row r="6" spans="1:17" ht="18" thickBot="1">
      <c r="A6" s="3338"/>
      <c r="B6" s="3002">
        <v>105</v>
      </c>
      <c r="C6" s="3002" t="s">
        <v>1373</v>
      </c>
      <c r="D6" s="3002">
        <v>96.32</v>
      </c>
      <c r="E6" s="3002">
        <v>21.364999999999998</v>
      </c>
      <c r="F6" s="3000">
        <v>1</v>
      </c>
    </row>
    <row r="7" spans="1:17" ht="18" thickBot="1">
      <c r="A7" s="3338"/>
      <c r="B7" s="3002">
        <v>106</v>
      </c>
      <c r="C7" s="3002" t="s">
        <v>1373</v>
      </c>
      <c r="D7" s="3002">
        <v>97.46</v>
      </c>
      <c r="E7" s="3002">
        <v>21.617999999999999</v>
      </c>
      <c r="F7" s="3000">
        <v>1</v>
      </c>
    </row>
    <row r="8" spans="1:17" ht="18" thickBot="1">
      <c r="A8" s="3338"/>
      <c r="B8" s="3002" t="s">
        <v>3267</v>
      </c>
      <c r="C8" s="3002" t="s">
        <v>1373</v>
      </c>
      <c r="D8" s="3002">
        <v>394.42</v>
      </c>
      <c r="E8" s="3002">
        <v>87.488</v>
      </c>
      <c r="F8" s="3000" t="s">
        <v>3266</v>
      </c>
      <c r="G8" s="3000">
        <f>D8/2</f>
        <v>197.21</v>
      </c>
      <c r="J8" s="3000" t="s">
        <v>3268</v>
      </c>
    </row>
    <row r="9" spans="1:17" ht="18" thickBot="1">
      <c r="A9" s="3338"/>
      <c r="B9" s="3002">
        <v>107</v>
      </c>
      <c r="C9" s="3002" t="s">
        <v>1373</v>
      </c>
      <c r="D9" s="3002">
        <v>50.24</v>
      </c>
      <c r="E9" s="3002">
        <v>11.144</v>
      </c>
      <c r="F9" s="3000">
        <v>1</v>
      </c>
      <c r="I9" s="3000">
        <v>1</v>
      </c>
      <c r="J9" s="3000">
        <f>G8+G10</f>
        <v>449.22500000000002</v>
      </c>
      <c r="K9" s="3000">
        <v>1</v>
      </c>
      <c r="L9" s="3000">
        <f>L2*O9</f>
        <v>5.25</v>
      </c>
      <c r="O9" s="3000">
        <v>0.75</v>
      </c>
      <c r="P9" s="3000">
        <f>Q9*J9/10000</f>
        <v>1489.180875</v>
      </c>
      <c r="Q9" s="3000">
        <f>$Q$2*O9</f>
        <v>33150</v>
      </c>
    </row>
    <row r="10" spans="1:17" ht="18" thickBot="1">
      <c r="A10" s="3338"/>
      <c r="B10" s="3002" t="s">
        <v>3269</v>
      </c>
      <c r="C10" s="3002" t="s">
        <v>1373</v>
      </c>
      <c r="D10" s="3002">
        <v>504.03</v>
      </c>
      <c r="E10" s="3002">
        <v>111.80200000000001</v>
      </c>
      <c r="F10" s="3000" t="s">
        <v>3266</v>
      </c>
      <c r="G10" s="3000">
        <f>D10/2</f>
        <v>252.01499999999999</v>
      </c>
      <c r="I10" s="3000">
        <v>2</v>
      </c>
      <c r="J10" s="3000">
        <f>G8+G10</f>
        <v>449.22500000000002</v>
      </c>
      <c r="K10" s="3000">
        <v>0.85</v>
      </c>
      <c r="L10" s="3000">
        <f>L9*K10</f>
        <v>4.4624999999999995</v>
      </c>
      <c r="O10" s="3000">
        <f>O9*K10</f>
        <v>0.63749999999999996</v>
      </c>
      <c r="P10" s="3000">
        <f t="shared" ref="P10:P14" si="2">Q10*J10/10000</f>
        <v>1265.8037437499997</v>
      </c>
      <c r="Q10" s="3000">
        <f t="shared" ref="Q10:Q14" si="3">$Q$2*O10</f>
        <v>28177.499999999996</v>
      </c>
    </row>
    <row r="11" spans="1:17" ht="18" thickBot="1">
      <c r="A11" s="3338"/>
      <c r="B11" s="3002">
        <v>108</v>
      </c>
      <c r="C11" s="3002" t="s">
        <v>1373</v>
      </c>
      <c r="D11" s="3002">
        <v>155.96</v>
      </c>
      <c r="E11" s="3002">
        <v>34.594000000000001</v>
      </c>
      <c r="F11" s="3000">
        <v>1</v>
      </c>
      <c r="I11" s="3000">
        <v>3</v>
      </c>
      <c r="J11" s="3000">
        <f>G14+G15+D16</f>
        <v>856.31999999999994</v>
      </c>
      <c r="K11" s="3000">
        <v>0.8</v>
      </c>
      <c r="L11" s="3000">
        <f>L9*K11</f>
        <v>4.2</v>
      </c>
      <c r="O11" s="3000">
        <f>O9*K11</f>
        <v>0.60000000000000009</v>
      </c>
      <c r="P11" s="3000">
        <f t="shared" si="2"/>
        <v>2270.9606400000002</v>
      </c>
      <c r="Q11" s="3000">
        <f t="shared" si="3"/>
        <v>26520.000000000004</v>
      </c>
    </row>
    <row r="12" spans="1:17" ht="18" thickBot="1">
      <c r="A12" s="3338"/>
      <c r="B12" s="3002">
        <v>309</v>
      </c>
      <c r="C12" s="3002" t="s">
        <v>1373</v>
      </c>
      <c r="D12" s="3002">
        <v>655.65</v>
      </c>
      <c r="E12" s="3002">
        <v>145.43299999999999</v>
      </c>
      <c r="F12" s="3000">
        <v>3</v>
      </c>
      <c r="I12" s="3000">
        <v>4</v>
      </c>
      <c r="J12" s="3000">
        <f>G14+G15</f>
        <v>665.02</v>
      </c>
      <c r="K12" s="3000">
        <v>0.8</v>
      </c>
      <c r="L12" s="3000">
        <f>L9*K12</f>
        <v>4.2</v>
      </c>
      <c r="O12" s="3000">
        <f>O9*K12</f>
        <v>0.60000000000000009</v>
      </c>
      <c r="P12" s="3000">
        <f t="shared" si="2"/>
        <v>1763.6330400000002</v>
      </c>
      <c r="Q12" s="3000">
        <f t="shared" si="3"/>
        <v>26520.000000000004</v>
      </c>
    </row>
    <row r="13" spans="1:17" ht="18" thickBot="1">
      <c r="A13" s="3338"/>
      <c r="B13" s="3002">
        <v>310</v>
      </c>
      <c r="C13" s="3002" t="s">
        <v>1373</v>
      </c>
      <c r="D13" s="3002">
        <v>688.28</v>
      </c>
      <c r="E13" s="3002">
        <v>152.67099999999999</v>
      </c>
      <c r="F13" s="3000">
        <v>3</v>
      </c>
      <c r="I13" s="3000">
        <v>5</v>
      </c>
      <c r="J13" s="3000">
        <f>D17</f>
        <v>212.06</v>
      </c>
      <c r="K13" s="3000">
        <v>0.8</v>
      </c>
      <c r="L13" s="3000">
        <f>L9*K13</f>
        <v>4.2</v>
      </c>
      <c r="O13" s="3000">
        <f>O9*K13</f>
        <v>0.60000000000000009</v>
      </c>
      <c r="P13" s="3000">
        <f t="shared" si="2"/>
        <v>562.38312000000008</v>
      </c>
      <c r="Q13" s="3000">
        <f t="shared" si="3"/>
        <v>26520.000000000004</v>
      </c>
    </row>
    <row r="14" spans="1:17" ht="18" thickBot="1">
      <c r="A14" s="3338"/>
      <c r="B14" s="3002" t="s">
        <v>3168</v>
      </c>
      <c r="C14" s="3002" t="s">
        <v>1373</v>
      </c>
      <c r="D14" s="3002">
        <v>583.51</v>
      </c>
      <c r="E14" s="3002">
        <v>129.43199999999999</v>
      </c>
      <c r="F14" s="3000" t="s">
        <v>3270</v>
      </c>
      <c r="G14" s="3000">
        <f>D14/2</f>
        <v>291.755</v>
      </c>
      <c r="I14" s="3000" t="s">
        <v>3271</v>
      </c>
      <c r="J14" s="3000">
        <f>D24</f>
        <v>11594.11</v>
      </c>
      <c r="K14" s="3000">
        <v>0.4</v>
      </c>
      <c r="L14" s="3000">
        <f>L9*K14</f>
        <v>2.1</v>
      </c>
      <c r="O14" s="3000">
        <f>O9*K14</f>
        <v>0.30000000000000004</v>
      </c>
      <c r="P14" s="3000">
        <f t="shared" si="2"/>
        <v>15373.789860000003</v>
      </c>
      <c r="Q14" s="3000">
        <f t="shared" si="3"/>
        <v>13260.000000000002</v>
      </c>
    </row>
    <row r="15" spans="1:17" ht="18" thickBot="1">
      <c r="A15" s="3338"/>
      <c r="B15" s="3002" t="s">
        <v>3169</v>
      </c>
      <c r="C15" s="3002" t="s">
        <v>1373</v>
      </c>
      <c r="D15" s="3002">
        <v>746.53</v>
      </c>
      <c r="E15" s="3002">
        <v>165.59200000000001</v>
      </c>
      <c r="F15" s="3000" t="s">
        <v>3272</v>
      </c>
      <c r="G15" s="3000">
        <f>D15/2</f>
        <v>373.26499999999999</v>
      </c>
      <c r="J15" s="3000">
        <f>J2+J3+J4+J5+J9+J10+J11+J12+J13+J14</f>
        <v>19900.510000000002</v>
      </c>
      <c r="M15" s="3000">
        <f>[3]结果表!H102</f>
        <v>21948</v>
      </c>
      <c r="N15" s="3000">
        <f>[3]结果表!G19</f>
        <v>43677</v>
      </c>
      <c r="P15" s="3000">
        <f>SUM(P2:P14)</f>
        <v>42622.836538750002</v>
      </c>
    </row>
    <row r="16" spans="1:17" ht="18" thickBot="1">
      <c r="A16" s="3338"/>
      <c r="B16" s="3002" t="s">
        <v>3170</v>
      </c>
      <c r="C16" s="3002" t="s">
        <v>1373</v>
      </c>
      <c r="D16" s="3002">
        <v>191.3</v>
      </c>
      <c r="E16" s="3002">
        <v>42.433</v>
      </c>
      <c r="F16" s="3000">
        <v>3</v>
      </c>
    </row>
    <row r="17" spans="1:7" ht="18" thickBot="1">
      <c r="A17" s="3338"/>
      <c r="B17" s="3002" t="s">
        <v>3171</v>
      </c>
      <c r="C17" s="3002" t="s">
        <v>1373</v>
      </c>
      <c r="D17" s="3002">
        <v>212.06</v>
      </c>
      <c r="E17" s="3002">
        <v>47.037999999999997</v>
      </c>
      <c r="F17" s="3000">
        <v>5</v>
      </c>
    </row>
    <row r="18" spans="1:7" ht="18" thickBot="1">
      <c r="A18" s="3339"/>
      <c r="B18" s="3002" t="s">
        <v>40</v>
      </c>
      <c r="C18" s="3002" t="s">
        <v>3089</v>
      </c>
      <c r="D18" s="3002">
        <v>5994.33</v>
      </c>
      <c r="E18" s="3002">
        <v>1329.63</v>
      </c>
    </row>
    <row r="19" spans="1:7" ht="18" thickBot="1">
      <c r="A19" s="3337" t="s">
        <v>3273</v>
      </c>
      <c r="B19" s="3002">
        <v>101</v>
      </c>
      <c r="C19" s="3002" t="s">
        <v>1373</v>
      </c>
      <c r="D19" s="3002">
        <v>490.53</v>
      </c>
      <c r="E19" s="3002">
        <v>108.807</v>
      </c>
      <c r="F19" s="3000" t="s">
        <v>3274</v>
      </c>
      <c r="G19" s="3000">
        <f>D19/2</f>
        <v>245.26499999999999</v>
      </c>
    </row>
    <row r="20" spans="1:7" ht="18" thickBot="1">
      <c r="A20" s="3338"/>
      <c r="B20" s="3002">
        <v>102</v>
      </c>
      <c r="C20" s="3002" t="s">
        <v>1373</v>
      </c>
      <c r="D20" s="3002">
        <v>548.77</v>
      </c>
      <c r="E20" s="3002">
        <v>121.726</v>
      </c>
      <c r="F20" s="3000" t="s">
        <v>3275</v>
      </c>
      <c r="G20" s="3000">
        <f>D20/2</f>
        <v>274.38499999999999</v>
      </c>
    </row>
    <row r="21" spans="1:7" ht="18" thickBot="1">
      <c r="A21" s="3338"/>
      <c r="B21" s="3002">
        <v>303</v>
      </c>
      <c r="C21" s="3002" t="s">
        <v>1373</v>
      </c>
      <c r="D21" s="3002">
        <v>631.85</v>
      </c>
      <c r="E21" s="3002">
        <v>140.154</v>
      </c>
      <c r="F21" s="3000">
        <v>3</v>
      </c>
    </row>
    <row r="22" spans="1:7" ht="18" thickBot="1">
      <c r="A22" s="3338"/>
      <c r="B22" s="3002">
        <v>405</v>
      </c>
      <c r="C22" s="3002" t="s">
        <v>1373</v>
      </c>
      <c r="D22" s="3002">
        <v>640.91999999999996</v>
      </c>
      <c r="E22" s="3002">
        <v>142.166</v>
      </c>
      <c r="F22" s="3000">
        <v>4</v>
      </c>
    </row>
    <row r="23" spans="1:7" ht="18" thickBot="1">
      <c r="A23" s="3339"/>
      <c r="B23" s="3002" t="s">
        <v>37</v>
      </c>
      <c r="C23" s="3002" t="s">
        <v>3089</v>
      </c>
      <c r="D23" s="3002">
        <v>2312.0700000000002</v>
      </c>
      <c r="E23" s="3002">
        <v>512.85299999999995</v>
      </c>
    </row>
    <row r="24" spans="1:7" ht="18" thickBot="1">
      <c r="A24" s="3337" t="s">
        <v>3276</v>
      </c>
      <c r="B24" s="3002" t="s">
        <v>3090</v>
      </c>
      <c r="C24" s="3002" t="s">
        <v>3091</v>
      </c>
      <c r="D24" s="3002">
        <v>11594.11</v>
      </c>
      <c r="E24" s="3002">
        <v>2571.752</v>
      </c>
    </row>
    <row r="25" spans="1:7" ht="18" thickBot="1">
      <c r="A25" s="3339"/>
      <c r="B25" s="3002" t="s">
        <v>3092</v>
      </c>
      <c r="C25" s="3002" t="s">
        <v>48</v>
      </c>
      <c r="D25" s="3002">
        <v>12246.83</v>
      </c>
      <c r="E25" s="3002">
        <v>2716.5360000000001</v>
      </c>
    </row>
    <row r="26" spans="1:7" ht="18" thickBot="1">
      <c r="A26" s="3001" t="s">
        <v>37</v>
      </c>
      <c r="B26" s="3002" t="s">
        <v>3089</v>
      </c>
      <c r="C26" s="3002" t="s">
        <v>3089</v>
      </c>
      <c r="D26" s="3002">
        <v>51884.22</v>
      </c>
      <c r="E26" s="3002">
        <v>11508.715</v>
      </c>
    </row>
  </sheetData>
  <mergeCells count="3">
    <mergeCell ref="A3:A18"/>
    <mergeCell ref="A19:A23"/>
    <mergeCell ref="A24:A25"/>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topLeftCell="A7" workbookViewId="0">
      <selection activeCell="E39" sqref="E39"/>
    </sheetView>
  </sheetViews>
  <sheetFormatPr defaultRowHeight="14.25"/>
  <cols>
    <col min="1" max="1" width="16.125" style="2972" bestFit="1" customWidth="1"/>
    <col min="2" max="2" width="10.5" style="2973" bestFit="1" customWidth="1"/>
    <col min="3" max="3" width="40.5" style="2973" customWidth="1"/>
    <col min="4" max="4" width="9.875" style="2973" customWidth="1"/>
    <col min="5" max="5" width="17.125" style="2973" customWidth="1"/>
    <col min="6" max="7" width="14.125" style="2973" customWidth="1"/>
    <col min="8" max="8" width="6.75" style="2973" customWidth="1"/>
    <col min="9" max="9" width="23" style="2973" customWidth="1"/>
    <col min="10" max="10" width="11.625" style="2973" bestFit="1" customWidth="1"/>
    <col min="11" max="11" width="13.875" style="2973" bestFit="1" customWidth="1"/>
    <col min="12" max="256" width="9" style="2973"/>
    <col min="257" max="257" width="16.125" style="2973" bestFit="1" customWidth="1"/>
    <col min="258" max="258" width="10.5" style="2973" bestFit="1" customWidth="1"/>
    <col min="259" max="259" width="40.5" style="2973" customWidth="1"/>
    <col min="260" max="260" width="9.875" style="2973" customWidth="1"/>
    <col min="261" max="261" width="17.125" style="2973" customWidth="1"/>
    <col min="262" max="263" width="14.125" style="2973" customWidth="1"/>
    <col min="264" max="264" width="6.75" style="2973" customWidth="1"/>
    <col min="265" max="265" width="23" style="2973" customWidth="1"/>
    <col min="266" max="266" width="11.625" style="2973" bestFit="1" customWidth="1"/>
    <col min="267" max="267" width="13.875" style="2973" bestFit="1" customWidth="1"/>
    <col min="268" max="512" width="9" style="2973"/>
    <col min="513" max="513" width="16.125" style="2973" bestFit="1" customWidth="1"/>
    <col min="514" max="514" width="10.5" style="2973" bestFit="1" customWidth="1"/>
    <col min="515" max="515" width="40.5" style="2973" customWidth="1"/>
    <col min="516" max="516" width="9.875" style="2973" customWidth="1"/>
    <col min="517" max="517" width="17.125" style="2973" customWidth="1"/>
    <col min="518" max="519" width="14.125" style="2973" customWidth="1"/>
    <col min="520" max="520" width="6.75" style="2973" customWidth="1"/>
    <col min="521" max="521" width="23" style="2973" customWidth="1"/>
    <col min="522" max="522" width="11.625" style="2973" bestFit="1" customWidth="1"/>
    <col min="523" max="523" width="13.875" style="2973" bestFit="1" customWidth="1"/>
    <col min="524" max="768" width="9" style="2973"/>
    <col min="769" max="769" width="16.125" style="2973" bestFit="1" customWidth="1"/>
    <col min="770" max="770" width="10.5" style="2973" bestFit="1" customWidth="1"/>
    <col min="771" max="771" width="40.5" style="2973" customWidth="1"/>
    <col min="772" max="772" width="9.875" style="2973" customWidth="1"/>
    <col min="773" max="773" width="17.125" style="2973" customWidth="1"/>
    <col min="774" max="775" width="14.125" style="2973" customWidth="1"/>
    <col min="776" max="776" width="6.75" style="2973" customWidth="1"/>
    <col min="777" max="777" width="23" style="2973" customWidth="1"/>
    <col min="778" max="778" width="11.625" style="2973" bestFit="1" customWidth="1"/>
    <col min="779" max="779" width="13.875" style="2973" bestFit="1" customWidth="1"/>
    <col min="780" max="1024" width="9" style="2973"/>
    <col min="1025" max="1025" width="16.125" style="2973" bestFit="1" customWidth="1"/>
    <col min="1026" max="1026" width="10.5" style="2973" bestFit="1" customWidth="1"/>
    <col min="1027" max="1027" width="40.5" style="2973" customWidth="1"/>
    <col min="1028" max="1028" width="9.875" style="2973" customWidth="1"/>
    <col min="1029" max="1029" width="17.125" style="2973" customWidth="1"/>
    <col min="1030" max="1031" width="14.125" style="2973" customWidth="1"/>
    <col min="1032" max="1032" width="6.75" style="2973" customWidth="1"/>
    <col min="1033" max="1033" width="23" style="2973" customWidth="1"/>
    <col min="1034" max="1034" width="11.625" style="2973" bestFit="1" customWidth="1"/>
    <col min="1035" max="1035" width="13.875" style="2973" bestFit="1" customWidth="1"/>
    <col min="1036" max="1280" width="9" style="2973"/>
    <col min="1281" max="1281" width="16.125" style="2973" bestFit="1" customWidth="1"/>
    <col min="1282" max="1282" width="10.5" style="2973" bestFit="1" customWidth="1"/>
    <col min="1283" max="1283" width="40.5" style="2973" customWidth="1"/>
    <col min="1284" max="1284" width="9.875" style="2973" customWidth="1"/>
    <col min="1285" max="1285" width="17.125" style="2973" customWidth="1"/>
    <col min="1286" max="1287" width="14.125" style="2973" customWidth="1"/>
    <col min="1288" max="1288" width="6.75" style="2973" customWidth="1"/>
    <col min="1289" max="1289" width="23" style="2973" customWidth="1"/>
    <col min="1290" max="1290" width="11.625" style="2973" bestFit="1" customWidth="1"/>
    <col min="1291" max="1291" width="13.875" style="2973" bestFit="1" customWidth="1"/>
    <col min="1292" max="1536" width="9" style="2973"/>
    <col min="1537" max="1537" width="16.125" style="2973" bestFit="1" customWidth="1"/>
    <col min="1538" max="1538" width="10.5" style="2973" bestFit="1" customWidth="1"/>
    <col min="1539" max="1539" width="40.5" style="2973" customWidth="1"/>
    <col min="1540" max="1540" width="9.875" style="2973" customWidth="1"/>
    <col min="1541" max="1541" width="17.125" style="2973" customWidth="1"/>
    <col min="1542" max="1543" width="14.125" style="2973" customWidth="1"/>
    <col min="1544" max="1544" width="6.75" style="2973" customWidth="1"/>
    <col min="1545" max="1545" width="23" style="2973" customWidth="1"/>
    <col min="1546" max="1546" width="11.625" style="2973" bestFit="1" customWidth="1"/>
    <col min="1547" max="1547" width="13.875" style="2973" bestFit="1" customWidth="1"/>
    <col min="1548" max="1792" width="9" style="2973"/>
    <col min="1793" max="1793" width="16.125" style="2973" bestFit="1" customWidth="1"/>
    <col min="1794" max="1794" width="10.5" style="2973" bestFit="1" customWidth="1"/>
    <col min="1795" max="1795" width="40.5" style="2973" customWidth="1"/>
    <col min="1796" max="1796" width="9.875" style="2973" customWidth="1"/>
    <col min="1797" max="1797" width="17.125" style="2973" customWidth="1"/>
    <col min="1798" max="1799" width="14.125" style="2973" customWidth="1"/>
    <col min="1800" max="1800" width="6.75" style="2973" customWidth="1"/>
    <col min="1801" max="1801" width="23" style="2973" customWidth="1"/>
    <col min="1802" max="1802" width="11.625" style="2973" bestFit="1" customWidth="1"/>
    <col min="1803" max="1803" width="13.875" style="2973" bestFit="1" customWidth="1"/>
    <col min="1804" max="2048" width="9" style="2973"/>
    <col min="2049" max="2049" width="16.125" style="2973" bestFit="1" customWidth="1"/>
    <col min="2050" max="2050" width="10.5" style="2973" bestFit="1" customWidth="1"/>
    <col min="2051" max="2051" width="40.5" style="2973" customWidth="1"/>
    <col min="2052" max="2052" width="9.875" style="2973" customWidth="1"/>
    <col min="2053" max="2053" width="17.125" style="2973" customWidth="1"/>
    <col min="2054" max="2055" width="14.125" style="2973" customWidth="1"/>
    <col min="2056" max="2056" width="6.75" style="2973" customWidth="1"/>
    <col min="2057" max="2057" width="23" style="2973" customWidth="1"/>
    <col min="2058" max="2058" width="11.625" style="2973" bestFit="1" customWidth="1"/>
    <col min="2059" max="2059" width="13.875" style="2973" bestFit="1" customWidth="1"/>
    <col min="2060" max="2304" width="9" style="2973"/>
    <col min="2305" max="2305" width="16.125" style="2973" bestFit="1" customWidth="1"/>
    <col min="2306" max="2306" width="10.5" style="2973" bestFit="1" customWidth="1"/>
    <col min="2307" max="2307" width="40.5" style="2973" customWidth="1"/>
    <col min="2308" max="2308" width="9.875" style="2973" customWidth="1"/>
    <col min="2309" max="2309" width="17.125" style="2973" customWidth="1"/>
    <col min="2310" max="2311" width="14.125" style="2973" customWidth="1"/>
    <col min="2312" max="2312" width="6.75" style="2973" customWidth="1"/>
    <col min="2313" max="2313" width="23" style="2973" customWidth="1"/>
    <col min="2314" max="2314" width="11.625" style="2973" bestFit="1" customWidth="1"/>
    <col min="2315" max="2315" width="13.875" style="2973" bestFit="1" customWidth="1"/>
    <col min="2316" max="2560" width="9" style="2973"/>
    <col min="2561" max="2561" width="16.125" style="2973" bestFit="1" customWidth="1"/>
    <col min="2562" max="2562" width="10.5" style="2973" bestFit="1" customWidth="1"/>
    <col min="2563" max="2563" width="40.5" style="2973" customWidth="1"/>
    <col min="2564" max="2564" width="9.875" style="2973" customWidth="1"/>
    <col min="2565" max="2565" width="17.125" style="2973" customWidth="1"/>
    <col min="2566" max="2567" width="14.125" style="2973" customWidth="1"/>
    <col min="2568" max="2568" width="6.75" style="2973" customWidth="1"/>
    <col min="2569" max="2569" width="23" style="2973" customWidth="1"/>
    <col min="2570" max="2570" width="11.625" style="2973" bestFit="1" customWidth="1"/>
    <col min="2571" max="2571" width="13.875" style="2973" bestFit="1" customWidth="1"/>
    <col min="2572" max="2816" width="9" style="2973"/>
    <col min="2817" max="2817" width="16.125" style="2973" bestFit="1" customWidth="1"/>
    <col min="2818" max="2818" width="10.5" style="2973" bestFit="1" customWidth="1"/>
    <col min="2819" max="2819" width="40.5" style="2973" customWidth="1"/>
    <col min="2820" max="2820" width="9.875" style="2973" customWidth="1"/>
    <col min="2821" max="2821" width="17.125" style="2973" customWidth="1"/>
    <col min="2822" max="2823" width="14.125" style="2973" customWidth="1"/>
    <col min="2824" max="2824" width="6.75" style="2973" customWidth="1"/>
    <col min="2825" max="2825" width="23" style="2973" customWidth="1"/>
    <col min="2826" max="2826" width="11.625" style="2973" bestFit="1" customWidth="1"/>
    <col min="2827" max="2827" width="13.875" style="2973" bestFit="1" customWidth="1"/>
    <col min="2828" max="3072" width="9" style="2973"/>
    <col min="3073" max="3073" width="16.125" style="2973" bestFit="1" customWidth="1"/>
    <col min="3074" max="3074" width="10.5" style="2973" bestFit="1" customWidth="1"/>
    <col min="3075" max="3075" width="40.5" style="2973" customWidth="1"/>
    <col min="3076" max="3076" width="9.875" style="2973" customWidth="1"/>
    <col min="3077" max="3077" width="17.125" style="2973" customWidth="1"/>
    <col min="3078" max="3079" width="14.125" style="2973" customWidth="1"/>
    <col min="3080" max="3080" width="6.75" style="2973" customWidth="1"/>
    <col min="3081" max="3081" width="23" style="2973" customWidth="1"/>
    <col min="3082" max="3082" width="11.625" style="2973" bestFit="1" customWidth="1"/>
    <col min="3083" max="3083" width="13.875" style="2973" bestFit="1" customWidth="1"/>
    <col min="3084" max="3328" width="9" style="2973"/>
    <col min="3329" max="3329" width="16.125" style="2973" bestFit="1" customWidth="1"/>
    <col min="3330" max="3330" width="10.5" style="2973" bestFit="1" customWidth="1"/>
    <col min="3331" max="3331" width="40.5" style="2973" customWidth="1"/>
    <col min="3332" max="3332" width="9.875" style="2973" customWidth="1"/>
    <col min="3333" max="3333" width="17.125" style="2973" customWidth="1"/>
    <col min="3334" max="3335" width="14.125" style="2973" customWidth="1"/>
    <col min="3336" max="3336" width="6.75" style="2973" customWidth="1"/>
    <col min="3337" max="3337" width="23" style="2973" customWidth="1"/>
    <col min="3338" max="3338" width="11.625" style="2973" bestFit="1" customWidth="1"/>
    <col min="3339" max="3339" width="13.875" style="2973" bestFit="1" customWidth="1"/>
    <col min="3340" max="3584" width="9" style="2973"/>
    <col min="3585" max="3585" width="16.125" style="2973" bestFit="1" customWidth="1"/>
    <col min="3586" max="3586" width="10.5" style="2973" bestFit="1" customWidth="1"/>
    <col min="3587" max="3587" width="40.5" style="2973" customWidth="1"/>
    <col min="3588" max="3588" width="9.875" style="2973" customWidth="1"/>
    <col min="3589" max="3589" width="17.125" style="2973" customWidth="1"/>
    <col min="3590" max="3591" width="14.125" style="2973" customWidth="1"/>
    <col min="3592" max="3592" width="6.75" style="2973" customWidth="1"/>
    <col min="3593" max="3593" width="23" style="2973" customWidth="1"/>
    <col min="3594" max="3594" width="11.625" style="2973" bestFit="1" customWidth="1"/>
    <col min="3595" max="3595" width="13.875" style="2973" bestFit="1" customWidth="1"/>
    <col min="3596" max="3840" width="9" style="2973"/>
    <col min="3841" max="3841" width="16.125" style="2973" bestFit="1" customWidth="1"/>
    <col min="3842" max="3842" width="10.5" style="2973" bestFit="1" customWidth="1"/>
    <col min="3843" max="3843" width="40.5" style="2973" customWidth="1"/>
    <col min="3844" max="3844" width="9.875" style="2973" customWidth="1"/>
    <col min="3845" max="3845" width="17.125" style="2973" customWidth="1"/>
    <col min="3846" max="3847" width="14.125" style="2973" customWidth="1"/>
    <col min="3848" max="3848" width="6.75" style="2973" customWidth="1"/>
    <col min="3849" max="3849" width="23" style="2973" customWidth="1"/>
    <col min="3850" max="3850" width="11.625" style="2973" bestFit="1" customWidth="1"/>
    <col min="3851" max="3851" width="13.875" style="2973" bestFit="1" customWidth="1"/>
    <col min="3852" max="4096" width="9" style="2973"/>
    <col min="4097" max="4097" width="16.125" style="2973" bestFit="1" customWidth="1"/>
    <col min="4098" max="4098" width="10.5" style="2973" bestFit="1" customWidth="1"/>
    <col min="4099" max="4099" width="40.5" style="2973" customWidth="1"/>
    <col min="4100" max="4100" width="9.875" style="2973" customWidth="1"/>
    <col min="4101" max="4101" width="17.125" style="2973" customWidth="1"/>
    <col min="4102" max="4103" width="14.125" style="2973" customWidth="1"/>
    <col min="4104" max="4104" width="6.75" style="2973" customWidth="1"/>
    <col min="4105" max="4105" width="23" style="2973" customWidth="1"/>
    <col min="4106" max="4106" width="11.625" style="2973" bestFit="1" customWidth="1"/>
    <col min="4107" max="4107" width="13.875" style="2973" bestFit="1" customWidth="1"/>
    <col min="4108" max="4352" width="9" style="2973"/>
    <col min="4353" max="4353" width="16.125" style="2973" bestFit="1" customWidth="1"/>
    <col min="4354" max="4354" width="10.5" style="2973" bestFit="1" customWidth="1"/>
    <col min="4355" max="4355" width="40.5" style="2973" customWidth="1"/>
    <col min="4356" max="4356" width="9.875" style="2973" customWidth="1"/>
    <col min="4357" max="4357" width="17.125" style="2973" customWidth="1"/>
    <col min="4358" max="4359" width="14.125" style="2973" customWidth="1"/>
    <col min="4360" max="4360" width="6.75" style="2973" customWidth="1"/>
    <col min="4361" max="4361" width="23" style="2973" customWidth="1"/>
    <col min="4362" max="4362" width="11.625" style="2973" bestFit="1" customWidth="1"/>
    <col min="4363" max="4363" width="13.875" style="2973" bestFit="1" customWidth="1"/>
    <col min="4364" max="4608" width="9" style="2973"/>
    <col min="4609" max="4609" width="16.125" style="2973" bestFit="1" customWidth="1"/>
    <col min="4610" max="4610" width="10.5" style="2973" bestFit="1" customWidth="1"/>
    <col min="4611" max="4611" width="40.5" style="2973" customWidth="1"/>
    <col min="4612" max="4612" width="9.875" style="2973" customWidth="1"/>
    <col min="4613" max="4613" width="17.125" style="2973" customWidth="1"/>
    <col min="4614" max="4615" width="14.125" style="2973" customWidth="1"/>
    <col min="4616" max="4616" width="6.75" style="2973" customWidth="1"/>
    <col min="4617" max="4617" width="23" style="2973" customWidth="1"/>
    <col min="4618" max="4618" width="11.625" style="2973" bestFit="1" customWidth="1"/>
    <col min="4619" max="4619" width="13.875" style="2973" bestFit="1" customWidth="1"/>
    <col min="4620" max="4864" width="9" style="2973"/>
    <col min="4865" max="4865" width="16.125" style="2973" bestFit="1" customWidth="1"/>
    <col min="4866" max="4866" width="10.5" style="2973" bestFit="1" customWidth="1"/>
    <col min="4867" max="4867" width="40.5" style="2973" customWidth="1"/>
    <col min="4868" max="4868" width="9.875" style="2973" customWidth="1"/>
    <col min="4869" max="4869" width="17.125" style="2973" customWidth="1"/>
    <col min="4870" max="4871" width="14.125" style="2973" customWidth="1"/>
    <col min="4872" max="4872" width="6.75" style="2973" customWidth="1"/>
    <col min="4873" max="4873" width="23" style="2973" customWidth="1"/>
    <col min="4874" max="4874" width="11.625" style="2973" bestFit="1" customWidth="1"/>
    <col min="4875" max="4875" width="13.875" style="2973" bestFit="1" customWidth="1"/>
    <col min="4876" max="5120" width="9" style="2973"/>
    <col min="5121" max="5121" width="16.125" style="2973" bestFit="1" customWidth="1"/>
    <col min="5122" max="5122" width="10.5" style="2973" bestFit="1" customWidth="1"/>
    <col min="5123" max="5123" width="40.5" style="2973" customWidth="1"/>
    <col min="5124" max="5124" width="9.875" style="2973" customWidth="1"/>
    <col min="5125" max="5125" width="17.125" style="2973" customWidth="1"/>
    <col min="5126" max="5127" width="14.125" style="2973" customWidth="1"/>
    <col min="5128" max="5128" width="6.75" style="2973" customWidth="1"/>
    <col min="5129" max="5129" width="23" style="2973" customWidth="1"/>
    <col min="5130" max="5130" width="11.625" style="2973" bestFit="1" customWidth="1"/>
    <col min="5131" max="5131" width="13.875" style="2973" bestFit="1" customWidth="1"/>
    <col min="5132" max="5376" width="9" style="2973"/>
    <col min="5377" max="5377" width="16.125" style="2973" bestFit="1" customWidth="1"/>
    <col min="5378" max="5378" width="10.5" style="2973" bestFit="1" customWidth="1"/>
    <col min="5379" max="5379" width="40.5" style="2973" customWidth="1"/>
    <col min="5380" max="5380" width="9.875" style="2973" customWidth="1"/>
    <col min="5381" max="5381" width="17.125" style="2973" customWidth="1"/>
    <col min="5382" max="5383" width="14.125" style="2973" customWidth="1"/>
    <col min="5384" max="5384" width="6.75" style="2973" customWidth="1"/>
    <col min="5385" max="5385" width="23" style="2973" customWidth="1"/>
    <col min="5386" max="5386" width="11.625" style="2973" bestFit="1" customWidth="1"/>
    <col min="5387" max="5387" width="13.875" style="2973" bestFit="1" customWidth="1"/>
    <col min="5388" max="5632" width="9" style="2973"/>
    <col min="5633" max="5633" width="16.125" style="2973" bestFit="1" customWidth="1"/>
    <col min="5634" max="5634" width="10.5" style="2973" bestFit="1" customWidth="1"/>
    <col min="5635" max="5635" width="40.5" style="2973" customWidth="1"/>
    <col min="5636" max="5636" width="9.875" style="2973" customWidth="1"/>
    <col min="5637" max="5637" width="17.125" style="2973" customWidth="1"/>
    <col min="5638" max="5639" width="14.125" style="2973" customWidth="1"/>
    <col min="5640" max="5640" width="6.75" style="2973" customWidth="1"/>
    <col min="5641" max="5641" width="23" style="2973" customWidth="1"/>
    <col min="5642" max="5642" width="11.625" style="2973" bestFit="1" customWidth="1"/>
    <col min="5643" max="5643" width="13.875" style="2973" bestFit="1" customWidth="1"/>
    <col min="5644" max="5888" width="9" style="2973"/>
    <col min="5889" max="5889" width="16.125" style="2973" bestFit="1" customWidth="1"/>
    <col min="5890" max="5890" width="10.5" style="2973" bestFit="1" customWidth="1"/>
    <col min="5891" max="5891" width="40.5" style="2973" customWidth="1"/>
    <col min="5892" max="5892" width="9.875" style="2973" customWidth="1"/>
    <col min="5893" max="5893" width="17.125" style="2973" customWidth="1"/>
    <col min="5894" max="5895" width="14.125" style="2973" customWidth="1"/>
    <col min="5896" max="5896" width="6.75" style="2973" customWidth="1"/>
    <col min="5897" max="5897" width="23" style="2973" customWidth="1"/>
    <col min="5898" max="5898" width="11.625" style="2973" bestFit="1" customWidth="1"/>
    <col min="5899" max="5899" width="13.875" style="2973" bestFit="1" customWidth="1"/>
    <col min="5900" max="6144" width="9" style="2973"/>
    <col min="6145" max="6145" width="16.125" style="2973" bestFit="1" customWidth="1"/>
    <col min="6146" max="6146" width="10.5" style="2973" bestFit="1" customWidth="1"/>
    <col min="6147" max="6147" width="40.5" style="2973" customWidth="1"/>
    <col min="6148" max="6148" width="9.875" style="2973" customWidth="1"/>
    <col min="6149" max="6149" width="17.125" style="2973" customWidth="1"/>
    <col min="6150" max="6151" width="14.125" style="2973" customWidth="1"/>
    <col min="6152" max="6152" width="6.75" style="2973" customWidth="1"/>
    <col min="6153" max="6153" width="23" style="2973" customWidth="1"/>
    <col min="6154" max="6154" width="11.625" style="2973" bestFit="1" customWidth="1"/>
    <col min="6155" max="6155" width="13.875" style="2973" bestFit="1" customWidth="1"/>
    <col min="6156" max="6400" width="9" style="2973"/>
    <col min="6401" max="6401" width="16.125" style="2973" bestFit="1" customWidth="1"/>
    <col min="6402" max="6402" width="10.5" style="2973" bestFit="1" customWidth="1"/>
    <col min="6403" max="6403" width="40.5" style="2973" customWidth="1"/>
    <col min="6404" max="6404" width="9.875" style="2973" customWidth="1"/>
    <col min="6405" max="6405" width="17.125" style="2973" customWidth="1"/>
    <col min="6406" max="6407" width="14.125" style="2973" customWidth="1"/>
    <col min="6408" max="6408" width="6.75" style="2973" customWidth="1"/>
    <col min="6409" max="6409" width="23" style="2973" customWidth="1"/>
    <col min="6410" max="6410" width="11.625" style="2973" bestFit="1" customWidth="1"/>
    <col min="6411" max="6411" width="13.875" style="2973" bestFit="1" customWidth="1"/>
    <col min="6412" max="6656" width="9" style="2973"/>
    <col min="6657" max="6657" width="16.125" style="2973" bestFit="1" customWidth="1"/>
    <col min="6658" max="6658" width="10.5" style="2973" bestFit="1" customWidth="1"/>
    <col min="6659" max="6659" width="40.5" style="2973" customWidth="1"/>
    <col min="6660" max="6660" width="9.875" style="2973" customWidth="1"/>
    <col min="6661" max="6661" width="17.125" style="2973" customWidth="1"/>
    <col min="6662" max="6663" width="14.125" style="2973" customWidth="1"/>
    <col min="6664" max="6664" width="6.75" style="2973" customWidth="1"/>
    <col min="6665" max="6665" width="23" style="2973" customWidth="1"/>
    <col min="6666" max="6666" width="11.625" style="2973" bestFit="1" customWidth="1"/>
    <col min="6667" max="6667" width="13.875" style="2973" bestFit="1" customWidth="1"/>
    <col min="6668" max="6912" width="9" style="2973"/>
    <col min="6913" max="6913" width="16.125" style="2973" bestFit="1" customWidth="1"/>
    <col min="6914" max="6914" width="10.5" style="2973" bestFit="1" customWidth="1"/>
    <col min="6915" max="6915" width="40.5" style="2973" customWidth="1"/>
    <col min="6916" max="6916" width="9.875" style="2973" customWidth="1"/>
    <col min="6917" max="6917" width="17.125" style="2973" customWidth="1"/>
    <col min="6918" max="6919" width="14.125" style="2973" customWidth="1"/>
    <col min="6920" max="6920" width="6.75" style="2973" customWidth="1"/>
    <col min="6921" max="6921" width="23" style="2973" customWidth="1"/>
    <col min="6922" max="6922" width="11.625" style="2973" bestFit="1" customWidth="1"/>
    <col min="6923" max="6923" width="13.875" style="2973" bestFit="1" customWidth="1"/>
    <col min="6924" max="7168" width="9" style="2973"/>
    <col min="7169" max="7169" width="16.125" style="2973" bestFit="1" customWidth="1"/>
    <col min="7170" max="7170" width="10.5" style="2973" bestFit="1" customWidth="1"/>
    <col min="7171" max="7171" width="40.5" style="2973" customWidth="1"/>
    <col min="7172" max="7172" width="9.875" style="2973" customWidth="1"/>
    <col min="7173" max="7173" width="17.125" style="2973" customWidth="1"/>
    <col min="7174" max="7175" width="14.125" style="2973" customWidth="1"/>
    <col min="7176" max="7176" width="6.75" style="2973" customWidth="1"/>
    <col min="7177" max="7177" width="23" style="2973" customWidth="1"/>
    <col min="7178" max="7178" width="11.625" style="2973" bestFit="1" customWidth="1"/>
    <col min="7179" max="7179" width="13.875" style="2973" bestFit="1" customWidth="1"/>
    <col min="7180" max="7424" width="9" style="2973"/>
    <col min="7425" max="7425" width="16.125" style="2973" bestFit="1" customWidth="1"/>
    <col min="7426" max="7426" width="10.5" style="2973" bestFit="1" customWidth="1"/>
    <col min="7427" max="7427" width="40.5" style="2973" customWidth="1"/>
    <col min="7428" max="7428" width="9.875" style="2973" customWidth="1"/>
    <col min="7429" max="7429" width="17.125" style="2973" customWidth="1"/>
    <col min="7430" max="7431" width="14.125" style="2973" customWidth="1"/>
    <col min="7432" max="7432" width="6.75" style="2973" customWidth="1"/>
    <col min="7433" max="7433" width="23" style="2973" customWidth="1"/>
    <col min="7434" max="7434" width="11.625" style="2973" bestFit="1" customWidth="1"/>
    <col min="7435" max="7435" width="13.875" style="2973" bestFit="1" customWidth="1"/>
    <col min="7436" max="7680" width="9" style="2973"/>
    <col min="7681" max="7681" width="16.125" style="2973" bestFit="1" customWidth="1"/>
    <col min="7682" max="7682" width="10.5" style="2973" bestFit="1" customWidth="1"/>
    <col min="7683" max="7683" width="40.5" style="2973" customWidth="1"/>
    <col min="7684" max="7684" width="9.875" style="2973" customWidth="1"/>
    <col min="7685" max="7685" width="17.125" style="2973" customWidth="1"/>
    <col min="7686" max="7687" width="14.125" style="2973" customWidth="1"/>
    <col min="7688" max="7688" width="6.75" style="2973" customWidth="1"/>
    <col min="7689" max="7689" width="23" style="2973" customWidth="1"/>
    <col min="7690" max="7690" width="11.625" style="2973" bestFit="1" customWidth="1"/>
    <col min="7691" max="7691" width="13.875" style="2973" bestFit="1" customWidth="1"/>
    <col min="7692" max="7936" width="9" style="2973"/>
    <col min="7937" max="7937" width="16.125" style="2973" bestFit="1" customWidth="1"/>
    <col min="7938" max="7938" width="10.5" style="2973" bestFit="1" customWidth="1"/>
    <col min="7939" max="7939" width="40.5" style="2973" customWidth="1"/>
    <col min="7940" max="7940" width="9.875" style="2973" customWidth="1"/>
    <col min="7941" max="7941" width="17.125" style="2973" customWidth="1"/>
    <col min="7942" max="7943" width="14.125" style="2973" customWidth="1"/>
    <col min="7944" max="7944" width="6.75" style="2973" customWidth="1"/>
    <col min="7945" max="7945" width="23" style="2973" customWidth="1"/>
    <col min="7946" max="7946" width="11.625" style="2973" bestFit="1" customWidth="1"/>
    <col min="7947" max="7947" width="13.875" style="2973" bestFit="1" customWidth="1"/>
    <col min="7948" max="8192" width="9" style="2973"/>
    <col min="8193" max="8193" width="16.125" style="2973" bestFit="1" customWidth="1"/>
    <col min="8194" max="8194" width="10.5" style="2973" bestFit="1" customWidth="1"/>
    <col min="8195" max="8195" width="40.5" style="2973" customWidth="1"/>
    <col min="8196" max="8196" width="9.875" style="2973" customWidth="1"/>
    <col min="8197" max="8197" width="17.125" style="2973" customWidth="1"/>
    <col min="8198" max="8199" width="14.125" style="2973" customWidth="1"/>
    <col min="8200" max="8200" width="6.75" style="2973" customWidth="1"/>
    <col min="8201" max="8201" width="23" style="2973" customWidth="1"/>
    <col min="8202" max="8202" width="11.625" style="2973" bestFit="1" customWidth="1"/>
    <col min="8203" max="8203" width="13.875" style="2973" bestFit="1" customWidth="1"/>
    <col min="8204" max="8448" width="9" style="2973"/>
    <col min="8449" max="8449" width="16.125" style="2973" bestFit="1" customWidth="1"/>
    <col min="8450" max="8450" width="10.5" style="2973" bestFit="1" customWidth="1"/>
    <col min="8451" max="8451" width="40.5" style="2973" customWidth="1"/>
    <col min="8452" max="8452" width="9.875" style="2973" customWidth="1"/>
    <col min="8453" max="8453" width="17.125" style="2973" customWidth="1"/>
    <col min="8454" max="8455" width="14.125" style="2973" customWidth="1"/>
    <col min="8456" max="8456" width="6.75" style="2973" customWidth="1"/>
    <col min="8457" max="8457" width="23" style="2973" customWidth="1"/>
    <col min="8458" max="8458" width="11.625" style="2973" bestFit="1" customWidth="1"/>
    <col min="8459" max="8459" width="13.875" style="2973" bestFit="1" customWidth="1"/>
    <col min="8460" max="8704" width="9" style="2973"/>
    <col min="8705" max="8705" width="16.125" style="2973" bestFit="1" customWidth="1"/>
    <col min="8706" max="8706" width="10.5" style="2973" bestFit="1" customWidth="1"/>
    <col min="8707" max="8707" width="40.5" style="2973" customWidth="1"/>
    <col min="8708" max="8708" width="9.875" style="2973" customWidth="1"/>
    <col min="8709" max="8709" width="17.125" style="2973" customWidth="1"/>
    <col min="8710" max="8711" width="14.125" style="2973" customWidth="1"/>
    <col min="8712" max="8712" width="6.75" style="2973" customWidth="1"/>
    <col min="8713" max="8713" width="23" style="2973" customWidth="1"/>
    <col min="8714" max="8714" width="11.625" style="2973" bestFit="1" customWidth="1"/>
    <col min="8715" max="8715" width="13.875" style="2973" bestFit="1" customWidth="1"/>
    <col min="8716" max="8960" width="9" style="2973"/>
    <col min="8961" max="8961" width="16.125" style="2973" bestFit="1" customWidth="1"/>
    <col min="8962" max="8962" width="10.5" style="2973" bestFit="1" customWidth="1"/>
    <col min="8963" max="8963" width="40.5" style="2973" customWidth="1"/>
    <col min="8964" max="8964" width="9.875" style="2973" customWidth="1"/>
    <col min="8965" max="8965" width="17.125" style="2973" customWidth="1"/>
    <col min="8966" max="8967" width="14.125" style="2973" customWidth="1"/>
    <col min="8968" max="8968" width="6.75" style="2973" customWidth="1"/>
    <col min="8969" max="8969" width="23" style="2973" customWidth="1"/>
    <col min="8970" max="8970" width="11.625" style="2973" bestFit="1" customWidth="1"/>
    <col min="8971" max="8971" width="13.875" style="2973" bestFit="1" customWidth="1"/>
    <col min="8972" max="9216" width="9" style="2973"/>
    <col min="9217" max="9217" width="16.125" style="2973" bestFit="1" customWidth="1"/>
    <col min="9218" max="9218" width="10.5" style="2973" bestFit="1" customWidth="1"/>
    <col min="9219" max="9219" width="40.5" style="2973" customWidth="1"/>
    <col min="9220" max="9220" width="9.875" style="2973" customWidth="1"/>
    <col min="9221" max="9221" width="17.125" style="2973" customWidth="1"/>
    <col min="9222" max="9223" width="14.125" style="2973" customWidth="1"/>
    <col min="9224" max="9224" width="6.75" style="2973" customWidth="1"/>
    <col min="9225" max="9225" width="23" style="2973" customWidth="1"/>
    <col min="9226" max="9226" width="11.625" style="2973" bestFit="1" customWidth="1"/>
    <col min="9227" max="9227" width="13.875" style="2973" bestFit="1" customWidth="1"/>
    <col min="9228" max="9472" width="9" style="2973"/>
    <col min="9473" max="9473" width="16.125" style="2973" bestFit="1" customWidth="1"/>
    <col min="9474" max="9474" width="10.5" style="2973" bestFit="1" customWidth="1"/>
    <col min="9475" max="9475" width="40.5" style="2973" customWidth="1"/>
    <col min="9476" max="9476" width="9.875" style="2973" customWidth="1"/>
    <col min="9477" max="9477" width="17.125" style="2973" customWidth="1"/>
    <col min="9478" max="9479" width="14.125" style="2973" customWidth="1"/>
    <col min="9480" max="9480" width="6.75" style="2973" customWidth="1"/>
    <col min="9481" max="9481" width="23" style="2973" customWidth="1"/>
    <col min="9482" max="9482" width="11.625" style="2973" bestFit="1" customWidth="1"/>
    <col min="9483" max="9483" width="13.875" style="2973" bestFit="1" customWidth="1"/>
    <col min="9484" max="9728" width="9" style="2973"/>
    <col min="9729" max="9729" width="16.125" style="2973" bestFit="1" customWidth="1"/>
    <col min="9730" max="9730" width="10.5" style="2973" bestFit="1" customWidth="1"/>
    <col min="9731" max="9731" width="40.5" style="2973" customWidth="1"/>
    <col min="9732" max="9732" width="9.875" style="2973" customWidth="1"/>
    <col min="9733" max="9733" width="17.125" style="2973" customWidth="1"/>
    <col min="9734" max="9735" width="14.125" style="2973" customWidth="1"/>
    <col min="9736" max="9736" width="6.75" style="2973" customWidth="1"/>
    <col min="9737" max="9737" width="23" style="2973" customWidth="1"/>
    <col min="9738" max="9738" width="11.625" style="2973" bestFit="1" customWidth="1"/>
    <col min="9739" max="9739" width="13.875" style="2973" bestFit="1" customWidth="1"/>
    <col min="9740" max="9984" width="9" style="2973"/>
    <col min="9985" max="9985" width="16.125" style="2973" bestFit="1" customWidth="1"/>
    <col min="9986" max="9986" width="10.5" style="2973" bestFit="1" customWidth="1"/>
    <col min="9987" max="9987" width="40.5" style="2973" customWidth="1"/>
    <col min="9988" max="9988" width="9.875" style="2973" customWidth="1"/>
    <col min="9989" max="9989" width="17.125" style="2973" customWidth="1"/>
    <col min="9990" max="9991" width="14.125" style="2973" customWidth="1"/>
    <col min="9992" max="9992" width="6.75" style="2973" customWidth="1"/>
    <col min="9993" max="9993" width="23" style="2973" customWidth="1"/>
    <col min="9994" max="9994" width="11.625" style="2973" bestFit="1" customWidth="1"/>
    <col min="9995" max="9995" width="13.875" style="2973" bestFit="1" customWidth="1"/>
    <col min="9996" max="10240" width="9" style="2973"/>
    <col min="10241" max="10241" width="16.125" style="2973" bestFit="1" customWidth="1"/>
    <col min="10242" max="10242" width="10.5" style="2973" bestFit="1" customWidth="1"/>
    <col min="10243" max="10243" width="40.5" style="2973" customWidth="1"/>
    <col min="10244" max="10244" width="9.875" style="2973" customWidth="1"/>
    <col min="10245" max="10245" width="17.125" style="2973" customWidth="1"/>
    <col min="10246" max="10247" width="14.125" style="2973" customWidth="1"/>
    <col min="10248" max="10248" width="6.75" style="2973" customWidth="1"/>
    <col min="10249" max="10249" width="23" style="2973" customWidth="1"/>
    <col min="10250" max="10250" width="11.625" style="2973" bestFit="1" customWidth="1"/>
    <col min="10251" max="10251" width="13.875" style="2973" bestFit="1" customWidth="1"/>
    <col min="10252" max="10496" width="9" style="2973"/>
    <col min="10497" max="10497" width="16.125" style="2973" bestFit="1" customWidth="1"/>
    <col min="10498" max="10498" width="10.5" style="2973" bestFit="1" customWidth="1"/>
    <col min="10499" max="10499" width="40.5" style="2973" customWidth="1"/>
    <col min="10500" max="10500" width="9.875" style="2973" customWidth="1"/>
    <col min="10501" max="10501" width="17.125" style="2973" customWidth="1"/>
    <col min="10502" max="10503" width="14.125" style="2973" customWidth="1"/>
    <col min="10504" max="10504" width="6.75" style="2973" customWidth="1"/>
    <col min="10505" max="10505" width="23" style="2973" customWidth="1"/>
    <col min="10506" max="10506" width="11.625" style="2973" bestFit="1" customWidth="1"/>
    <col min="10507" max="10507" width="13.875" style="2973" bestFit="1" customWidth="1"/>
    <col min="10508" max="10752" width="9" style="2973"/>
    <col min="10753" max="10753" width="16.125" style="2973" bestFit="1" customWidth="1"/>
    <col min="10754" max="10754" width="10.5" style="2973" bestFit="1" customWidth="1"/>
    <col min="10755" max="10755" width="40.5" style="2973" customWidth="1"/>
    <col min="10756" max="10756" width="9.875" style="2973" customWidth="1"/>
    <col min="10757" max="10757" width="17.125" style="2973" customWidth="1"/>
    <col min="10758" max="10759" width="14.125" style="2973" customWidth="1"/>
    <col min="10760" max="10760" width="6.75" style="2973" customWidth="1"/>
    <col min="10761" max="10761" width="23" style="2973" customWidth="1"/>
    <col min="10762" max="10762" width="11.625" style="2973" bestFit="1" customWidth="1"/>
    <col min="10763" max="10763" width="13.875" style="2973" bestFit="1" customWidth="1"/>
    <col min="10764" max="11008" width="9" style="2973"/>
    <col min="11009" max="11009" width="16.125" style="2973" bestFit="1" customWidth="1"/>
    <col min="11010" max="11010" width="10.5" style="2973" bestFit="1" customWidth="1"/>
    <col min="11011" max="11011" width="40.5" style="2973" customWidth="1"/>
    <col min="11012" max="11012" width="9.875" style="2973" customWidth="1"/>
    <col min="11013" max="11013" width="17.125" style="2973" customWidth="1"/>
    <col min="11014" max="11015" width="14.125" style="2973" customWidth="1"/>
    <col min="11016" max="11016" width="6.75" style="2973" customWidth="1"/>
    <col min="11017" max="11017" width="23" style="2973" customWidth="1"/>
    <col min="11018" max="11018" width="11.625" style="2973" bestFit="1" customWidth="1"/>
    <col min="11019" max="11019" width="13.875" style="2973" bestFit="1" customWidth="1"/>
    <col min="11020" max="11264" width="9" style="2973"/>
    <col min="11265" max="11265" width="16.125" style="2973" bestFit="1" customWidth="1"/>
    <col min="11266" max="11266" width="10.5" style="2973" bestFit="1" customWidth="1"/>
    <col min="11267" max="11267" width="40.5" style="2973" customWidth="1"/>
    <col min="11268" max="11268" width="9.875" style="2973" customWidth="1"/>
    <col min="11269" max="11269" width="17.125" style="2973" customWidth="1"/>
    <col min="11270" max="11271" width="14.125" style="2973" customWidth="1"/>
    <col min="11272" max="11272" width="6.75" style="2973" customWidth="1"/>
    <col min="11273" max="11273" width="23" style="2973" customWidth="1"/>
    <col min="11274" max="11274" width="11.625" style="2973" bestFit="1" customWidth="1"/>
    <col min="11275" max="11275" width="13.875" style="2973" bestFit="1" customWidth="1"/>
    <col min="11276" max="11520" width="9" style="2973"/>
    <col min="11521" max="11521" width="16.125" style="2973" bestFit="1" customWidth="1"/>
    <col min="11522" max="11522" width="10.5" style="2973" bestFit="1" customWidth="1"/>
    <col min="11523" max="11523" width="40.5" style="2973" customWidth="1"/>
    <col min="11524" max="11524" width="9.875" style="2973" customWidth="1"/>
    <col min="11525" max="11525" width="17.125" style="2973" customWidth="1"/>
    <col min="11526" max="11527" width="14.125" style="2973" customWidth="1"/>
    <col min="11528" max="11528" width="6.75" style="2973" customWidth="1"/>
    <col min="11529" max="11529" width="23" style="2973" customWidth="1"/>
    <col min="11530" max="11530" width="11.625" style="2973" bestFit="1" customWidth="1"/>
    <col min="11531" max="11531" width="13.875" style="2973" bestFit="1" customWidth="1"/>
    <col min="11532" max="11776" width="9" style="2973"/>
    <col min="11777" max="11777" width="16.125" style="2973" bestFit="1" customWidth="1"/>
    <col min="11778" max="11778" width="10.5" style="2973" bestFit="1" customWidth="1"/>
    <col min="11779" max="11779" width="40.5" style="2973" customWidth="1"/>
    <col min="11780" max="11780" width="9.875" style="2973" customWidth="1"/>
    <col min="11781" max="11781" width="17.125" style="2973" customWidth="1"/>
    <col min="11782" max="11783" width="14.125" style="2973" customWidth="1"/>
    <col min="11784" max="11784" width="6.75" style="2973" customWidth="1"/>
    <col min="11785" max="11785" width="23" style="2973" customWidth="1"/>
    <col min="11786" max="11786" width="11.625" style="2973" bestFit="1" customWidth="1"/>
    <col min="11787" max="11787" width="13.875" style="2973" bestFit="1" customWidth="1"/>
    <col min="11788" max="12032" width="9" style="2973"/>
    <col min="12033" max="12033" width="16.125" style="2973" bestFit="1" customWidth="1"/>
    <col min="12034" max="12034" width="10.5" style="2973" bestFit="1" customWidth="1"/>
    <col min="12035" max="12035" width="40.5" style="2973" customWidth="1"/>
    <col min="12036" max="12036" width="9.875" style="2973" customWidth="1"/>
    <col min="12037" max="12037" width="17.125" style="2973" customWidth="1"/>
    <col min="12038" max="12039" width="14.125" style="2973" customWidth="1"/>
    <col min="12040" max="12040" width="6.75" style="2973" customWidth="1"/>
    <col min="12041" max="12041" width="23" style="2973" customWidth="1"/>
    <col min="12042" max="12042" width="11.625" style="2973" bestFit="1" customWidth="1"/>
    <col min="12043" max="12043" width="13.875" style="2973" bestFit="1" customWidth="1"/>
    <col min="12044" max="12288" width="9" style="2973"/>
    <col min="12289" max="12289" width="16.125" style="2973" bestFit="1" customWidth="1"/>
    <col min="12290" max="12290" width="10.5" style="2973" bestFit="1" customWidth="1"/>
    <col min="12291" max="12291" width="40.5" style="2973" customWidth="1"/>
    <col min="12292" max="12292" width="9.875" style="2973" customWidth="1"/>
    <col min="12293" max="12293" width="17.125" style="2973" customWidth="1"/>
    <col min="12294" max="12295" width="14.125" style="2973" customWidth="1"/>
    <col min="12296" max="12296" width="6.75" style="2973" customWidth="1"/>
    <col min="12297" max="12297" width="23" style="2973" customWidth="1"/>
    <col min="12298" max="12298" width="11.625" style="2973" bestFit="1" customWidth="1"/>
    <col min="12299" max="12299" width="13.875" style="2973" bestFit="1" customWidth="1"/>
    <col min="12300" max="12544" width="9" style="2973"/>
    <col min="12545" max="12545" width="16.125" style="2973" bestFit="1" customWidth="1"/>
    <col min="12546" max="12546" width="10.5" style="2973" bestFit="1" customWidth="1"/>
    <col min="12547" max="12547" width="40.5" style="2973" customWidth="1"/>
    <col min="12548" max="12548" width="9.875" style="2973" customWidth="1"/>
    <col min="12549" max="12549" width="17.125" style="2973" customWidth="1"/>
    <col min="12550" max="12551" width="14.125" style="2973" customWidth="1"/>
    <col min="12552" max="12552" width="6.75" style="2973" customWidth="1"/>
    <col min="12553" max="12553" width="23" style="2973" customWidth="1"/>
    <col min="12554" max="12554" width="11.625" style="2973" bestFit="1" customWidth="1"/>
    <col min="12555" max="12555" width="13.875" style="2973" bestFit="1" customWidth="1"/>
    <col min="12556" max="12800" width="9" style="2973"/>
    <col min="12801" max="12801" width="16.125" style="2973" bestFit="1" customWidth="1"/>
    <col min="12802" max="12802" width="10.5" style="2973" bestFit="1" customWidth="1"/>
    <col min="12803" max="12803" width="40.5" style="2973" customWidth="1"/>
    <col min="12804" max="12804" width="9.875" style="2973" customWidth="1"/>
    <col min="12805" max="12805" width="17.125" style="2973" customWidth="1"/>
    <col min="12806" max="12807" width="14.125" style="2973" customWidth="1"/>
    <col min="12808" max="12808" width="6.75" style="2973" customWidth="1"/>
    <col min="12809" max="12809" width="23" style="2973" customWidth="1"/>
    <col min="12810" max="12810" width="11.625" style="2973" bestFit="1" customWidth="1"/>
    <col min="12811" max="12811" width="13.875" style="2973" bestFit="1" customWidth="1"/>
    <col min="12812" max="13056" width="9" style="2973"/>
    <col min="13057" max="13057" width="16.125" style="2973" bestFit="1" customWidth="1"/>
    <col min="13058" max="13058" width="10.5" style="2973" bestFit="1" customWidth="1"/>
    <col min="13059" max="13059" width="40.5" style="2973" customWidth="1"/>
    <col min="13060" max="13060" width="9.875" style="2973" customWidth="1"/>
    <col min="13061" max="13061" width="17.125" style="2973" customWidth="1"/>
    <col min="13062" max="13063" width="14.125" style="2973" customWidth="1"/>
    <col min="13064" max="13064" width="6.75" style="2973" customWidth="1"/>
    <col min="13065" max="13065" width="23" style="2973" customWidth="1"/>
    <col min="13066" max="13066" width="11.625" style="2973" bestFit="1" customWidth="1"/>
    <col min="13067" max="13067" width="13.875" style="2973" bestFit="1" customWidth="1"/>
    <col min="13068" max="13312" width="9" style="2973"/>
    <col min="13313" max="13313" width="16.125" style="2973" bestFit="1" customWidth="1"/>
    <col min="13314" max="13314" width="10.5" style="2973" bestFit="1" customWidth="1"/>
    <col min="13315" max="13315" width="40.5" style="2973" customWidth="1"/>
    <col min="13316" max="13316" width="9.875" style="2973" customWidth="1"/>
    <col min="13317" max="13317" width="17.125" style="2973" customWidth="1"/>
    <col min="13318" max="13319" width="14.125" style="2973" customWidth="1"/>
    <col min="13320" max="13320" width="6.75" style="2973" customWidth="1"/>
    <col min="13321" max="13321" width="23" style="2973" customWidth="1"/>
    <col min="13322" max="13322" width="11.625" style="2973" bestFit="1" customWidth="1"/>
    <col min="13323" max="13323" width="13.875" style="2973" bestFit="1" customWidth="1"/>
    <col min="13324" max="13568" width="9" style="2973"/>
    <col min="13569" max="13569" width="16.125" style="2973" bestFit="1" customWidth="1"/>
    <col min="13570" max="13570" width="10.5" style="2973" bestFit="1" customWidth="1"/>
    <col min="13571" max="13571" width="40.5" style="2973" customWidth="1"/>
    <col min="13572" max="13572" width="9.875" style="2973" customWidth="1"/>
    <col min="13573" max="13573" width="17.125" style="2973" customWidth="1"/>
    <col min="13574" max="13575" width="14.125" style="2973" customWidth="1"/>
    <col min="13576" max="13576" width="6.75" style="2973" customWidth="1"/>
    <col min="13577" max="13577" width="23" style="2973" customWidth="1"/>
    <col min="13578" max="13578" width="11.625" style="2973" bestFit="1" customWidth="1"/>
    <col min="13579" max="13579" width="13.875" style="2973" bestFit="1" customWidth="1"/>
    <col min="13580" max="13824" width="9" style="2973"/>
    <col min="13825" max="13825" width="16.125" style="2973" bestFit="1" customWidth="1"/>
    <col min="13826" max="13826" width="10.5" style="2973" bestFit="1" customWidth="1"/>
    <col min="13827" max="13827" width="40.5" style="2973" customWidth="1"/>
    <col min="13828" max="13828" width="9.875" style="2973" customWidth="1"/>
    <col min="13829" max="13829" width="17.125" style="2973" customWidth="1"/>
    <col min="13830" max="13831" width="14.125" style="2973" customWidth="1"/>
    <col min="13832" max="13832" width="6.75" style="2973" customWidth="1"/>
    <col min="13833" max="13833" width="23" style="2973" customWidth="1"/>
    <col min="13834" max="13834" width="11.625" style="2973" bestFit="1" customWidth="1"/>
    <col min="13835" max="13835" width="13.875" style="2973" bestFit="1" customWidth="1"/>
    <col min="13836" max="14080" width="9" style="2973"/>
    <col min="14081" max="14081" width="16.125" style="2973" bestFit="1" customWidth="1"/>
    <col min="14082" max="14082" width="10.5" style="2973" bestFit="1" customWidth="1"/>
    <col min="14083" max="14083" width="40.5" style="2973" customWidth="1"/>
    <col min="14084" max="14084" width="9.875" style="2973" customWidth="1"/>
    <col min="14085" max="14085" width="17.125" style="2973" customWidth="1"/>
    <col min="14086" max="14087" width="14.125" style="2973" customWidth="1"/>
    <col min="14088" max="14088" width="6.75" style="2973" customWidth="1"/>
    <col min="14089" max="14089" width="23" style="2973" customWidth="1"/>
    <col min="14090" max="14090" width="11.625" style="2973" bestFit="1" customWidth="1"/>
    <col min="14091" max="14091" width="13.875" style="2973" bestFit="1" customWidth="1"/>
    <col min="14092" max="14336" width="9" style="2973"/>
    <col min="14337" max="14337" width="16.125" style="2973" bestFit="1" customWidth="1"/>
    <col min="14338" max="14338" width="10.5" style="2973" bestFit="1" customWidth="1"/>
    <col min="14339" max="14339" width="40.5" style="2973" customWidth="1"/>
    <col min="14340" max="14340" width="9.875" style="2973" customWidth="1"/>
    <col min="14341" max="14341" width="17.125" style="2973" customWidth="1"/>
    <col min="14342" max="14343" width="14.125" style="2973" customWidth="1"/>
    <col min="14344" max="14344" width="6.75" style="2973" customWidth="1"/>
    <col min="14345" max="14345" width="23" style="2973" customWidth="1"/>
    <col min="14346" max="14346" width="11.625" style="2973" bestFit="1" customWidth="1"/>
    <col min="14347" max="14347" width="13.875" style="2973" bestFit="1" customWidth="1"/>
    <col min="14348" max="14592" width="9" style="2973"/>
    <col min="14593" max="14593" width="16.125" style="2973" bestFit="1" customWidth="1"/>
    <col min="14594" max="14594" width="10.5" style="2973" bestFit="1" customWidth="1"/>
    <col min="14595" max="14595" width="40.5" style="2973" customWidth="1"/>
    <col min="14596" max="14596" width="9.875" style="2973" customWidth="1"/>
    <col min="14597" max="14597" width="17.125" style="2973" customWidth="1"/>
    <col min="14598" max="14599" width="14.125" style="2973" customWidth="1"/>
    <col min="14600" max="14600" width="6.75" style="2973" customWidth="1"/>
    <col min="14601" max="14601" width="23" style="2973" customWidth="1"/>
    <col min="14602" max="14602" width="11.625" style="2973" bestFit="1" customWidth="1"/>
    <col min="14603" max="14603" width="13.875" style="2973" bestFit="1" customWidth="1"/>
    <col min="14604" max="14848" width="9" style="2973"/>
    <col min="14849" max="14849" width="16.125" style="2973" bestFit="1" customWidth="1"/>
    <col min="14850" max="14850" width="10.5" style="2973" bestFit="1" customWidth="1"/>
    <col min="14851" max="14851" width="40.5" style="2973" customWidth="1"/>
    <col min="14852" max="14852" width="9.875" style="2973" customWidth="1"/>
    <col min="14853" max="14853" width="17.125" style="2973" customWidth="1"/>
    <col min="14854" max="14855" width="14.125" style="2973" customWidth="1"/>
    <col min="14856" max="14856" width="6.75" style="2973" customWidth="1"/>
    <col min="14857" max="14857" width="23" style="2973" customWidth="1"/>
    <col min="14858" max="14858" width="11.625" style="2973" bestFit="1" customWidth="1"/>
    <col min="14859" max="14859" width="13.875" style="2973" bestFit="1" customWidth="1"/>
    <col min="14860" max="15104" width="9" style="2973"/>
    <col min="15105" max="15105" width="16.125" style="2973" bestFit="1" customWidth="1"/>
    <col min="15106" max="15106" width="10.5" style="2973" bestFit="1" customWidth="1"/>
    <col min="15107" max="15107" width="40.5" style="2973" customWidth="1"/>
    <col min="15108" max="15108" width="9.875" style="2973" customWidth="1"/>
    <col min="15109" max="15109" width="17.125" style="2973" customWidth="1"/>
    <col min="15110" max="15111" width="14.125" style="2973" customWidth="1"/>
    <col min="15112" max="15112" width="6.75" style="2973" customWidth="1"/>
    <col min="15113" max="15113" width="23" style="2973" customWidth="1"/>
    <col min="15114" max="15114" width="11.625" style="2973" bestFit="1" customWidth="1"/>
    <col min="15115" max="15115" width="13.875" style="2973" bestFit="1" customWidth="1"/>
    <col min="15116" max="15360" width="9" style="2973"/>
    <col min="15361" max="15361" width="16.125" style="2973" bestFit="1" customWidth="1"/>
    <col min="15362" max="15362" width="10.5" style="2973" bestFit="1" customWidth="1"/>
    <col min="15363" max="15363" width="40.5" style="2973" customWidth="1"/>
    <col min="15364" max="15364" width="9.875" style="2973" customWidth="1"/>
    <col min="15365" max="15365" width="17.125" style="2973" customWidth="1"/>
    <col min="15366" max="15367" width="14.125" style="2973" customWidth="1"/>
    <col min="15368" max="15368" width="6.75" style="2973" customWidth="1"/>
    <col min="15369" max="15369" width="23" style="2973" customWidth="1"/>
    <col min="15370" max="15370" width="11.625" style="2973" bestFit="1" customWidth="1"/>
    <col min="15371" max="15371" width="13.875" style="2973" bestFit="1" customWidth="1"/>
    <col min="15372" max="15616" width="9" style="2973"/>
    <col min="15617" max="15617" width="16.125" style="2973" bestFit="1" customWidth="1"/>
    <col min="15618" max="15618" width="10.5" style="2973" bestFit="1" customWidth="1"/>
    <col min="15619" max="15619" width="40.5" style="2973" customWidth="1"/>
    <col min="15620" max="15620" width="9.875" style="2973" customWidth="1"/>
    <col min="15621" max="15621" width="17.125" style="2973" customWidth="1"/>
    <col min="15622" max="15623" width="14.125" style="2973" customWidth="1"/>
    <col min="15624" max="15624" width="6.75" style="2973" customWidth="1"/>
    <col min="15625" max="15625" width="23" style="2973" customWidth="1"/>
    <col min="15626" max="15626" width="11.625" style="2973" bestFit="1" customWidth="1"/>
    <col min="15627" max="15627" width="13.875" style="2973" bestFit="1" customWidth="1"/>
    <col min="15628" max="15872" width="9" style="2973"/>
    <col min="15873" max="15873" width="16.125" style="2973" bestFit="1" customWidth="1"/>
    <col min="15874" max="15874" width="10.5" style="2973" bestFit="1" customWidth="1"/>
    <col min="15875" max="15875" width="40.5" style="2973" customWidth="1"/>
    <col min="15876" max="15876" width="9.875" style="2973" customWidth="1"/>
    <col min="15877" max="15877" width="17.125" style="2973" customWidth="1"/>
    <col min="15878" max="15879" width="14.125" style="2973" customWidth="1"/>
    <col min="15880" max="15880" width="6.75" style="2973" customWidth="1"/>
    <col min="15881" max="15881" width="23" style="2973" customWidth="1"/>
    <col min="15882" max="15882" width="11.625" style="2973" bestFit="1" customWidth="1"/>
    <col min="15883" max="15883" width="13.875" style="2973" bestFit="1" customWidth="1"/>
    <col min="15884" max="16128" width="9" style="2973"/>
    <col min="16129" max="16129" width="16.125" style="2973" bestFit="1" customWidth="1"/>
    <col min="16130" max="16130" width="10.5" style="2973" bestFit="1" customWidth="1"/>
    <col min="16131" max="16131" width="40.5" style="2973" customWidth="1"/>
    <col min="16132" max="16132" width="9.875" style="2973" customWidth="1"/>
    <col min="16133" max="16133" width="17.125" style="2973" customWidth="1"/>
    <col min="16134" max="16135" width="14.125" style="2973" customWidth="1"/>
    <col min="16136" max="16136" width="6.75" style="2973" customWidth="1"/>
    <col min="16137" max="16137" width="23" style="2973" customWidth="1"/>
    <col min="16138" max="16138" width="11.625" style="2973" bestFit="1" customWidth="1"/>
    <col min="16139" max="16139" width="13.875" style="2973" bestFit="1" customWidth="1"/>
    <col min="16140" max="16384" width="9" style="2973"/>
  </cols>
  <sheetData>
    <row r="1" spans="1:9" ht="1.5" customHeight="1"/>
    <row r="2" spans="1:9">
      <c r="A2" s="2974"/>
      <c r="B2" s="2975" t="s">
        <v>3109</v>
      </c>
      <c r="C2" s="2975" t="s">
        <v>3101</v>
      </c>
      <c r="D2" s="2975" t="s">
        <v>3102</v>
      </c>
      <c r="E2" s="2975" t="s">
        <v>3103</v>
      </c>
      <c r="F2" s="2975" t="s">
        <v>3104</v>
      </c>
      <c r="G2" s="2975" t="s">
        <v>3105</v>
      </c>
      <c r="H2" s="2975" t="s">
        <v>3106</v>
      </c>
      <c r="I2" s="2975" t="s">
        <v>3107</v>
      </c>
    </row>
    <row r="3" spans="1:9">
      <c r="A3" s="2974" t="s">
        <v>3108</v>
      </c>
      <c r="B3" s="2975">
        <v>19736.88</v>
      </c>
      <c r="C3" s="2975" t="s">
        <v>3110</v>
      </c>
      <c r="D3" s="2975">
        <v>19842.759999999998</v>
      </c>
      <c r="E3" s="2975" t="s">
        <v>3111</v>
      </c>
      <c r="F3" s="2975">
        <f>5.2*365*19842.76</f>
        <v>37661558.479999997</v>
      </c>
      <c r="G3" s="2975" t="s">
        <v>3112</v>
      </c>
      <c r="H3" s="2975" t="s">
        <v>3113</v>
      </c>
      <c r="I3" s="2975" t="s">
        <v>3114</v>
      </c>
    </row>
    <row r="4" spans="1:9">
      <c r="A4" s="2974" t="s">
        <v>3115</v>
      </c>
      <c r="B4" s="2975"/>
      <c r="C4" s="2975"/>
      <c r="D4" s="2975"/>
      <c r="E4" s="2975"/>
      <c r="F4" s="2975"/>
      <c r="G4" s="2975"/>
      <c r="H4" s="2975"/>
      <c r="I4" s="2975"/>
    </row>
    <row r="5" spans="1:9">
      <c r="A5" s="2974">
        <v>101</v>
      </c>
      <c r="B5" s="2975">
        <v>696.41</v>
      </c>
      <c r="C5" s="3342" t="s">
        <v>3116</v>
      </c>
      <c r="D5" s="3342">
        <v>871.67</v>
      </c>
      <c r="E5" s="3340" t="s">
        <v>3117</v>
      </c>
      <c r="F5" s="3340">
        <f>D5*271.49*12</f>
        <v>2839796.2596</v>
      </c>
      <c r="G5" s="3340" t="s">
        <v>3118</v>
      </c>
      <c r="H5" s="3340" t="s">
        <v>3119</v>
      </c>
      <c r="I5" s="3340" t="s">
        <v>3120</v>
      </c>
    </row>
    <row r="6" spans="1:9">
      <c r="A6" s="2974">
        <v>108</v>
      </c>
      <c r="B6" s="2975">
        <v>155.96</v>
      </c>
      <c r="C6" s="3342"/>
      <c r="D6" s="3342"/>
      <c r="E6" s="3341"/>
      <c r="F6" s="3341"/>
      <c r="G6" s="3341"/>
      <c r="H6" s="3341"/>
      <c r="I6" s="3341"/>
    </row>
    <row r="7" spans="1:9">
      <c r="A7" s="2974">
        <v>102</v>
      </c>
      <c r="B7" s="2975">
        <v>855.05</v>
      </c>
      <c r="C7" s="3342" t="s">
        <v>3121</v>
      </c>
      <c r="D7" s="3342">
        <v>1166.18</v>
      </c>
      <c r="E7" s="3340" t="s">
        <v>3122</v>
      </c>
      <c r="F7" s="3340">
        <f>D7*239*12</f>
        <v>3344604.24</v>
      </c>
      <c r="G7" s="3340" t="s">
        <v>3118</v>
      </c>
      <c r="H7" s="3340" t="s">
        <v>3123</v>
      </c>
      <c r="I7" s="3340" t="s">
        <v>3124</v>
      </c>
    </row>
    <row r="8" spans="1:9">
      <c r="A8" s="2974">
        <v>103</v>
      </c>
      <c r="B8" s="2975">
        <v>67.11</v>
      </c>
      <c r="C8" s="3342"/>
      <c r="D8" s="3342"/>
      <c r="E8" s="3343"/>
      <c r="F8" s="3343"/>
      <c r="G8" s="3343"/>
      <c r="H8" s="3343"/>
      <c r="I8" s="3343"/>
    </row>
    <row r="9" spans="1:9">
      <c r="A9" s="2974">
        <v>105</v>
      </c>
      <c r="B9" s="2975">
        <v>96.32</v>
      </c>
      <c r="C9" s="3342"/>
      <c r="D9" s="3342"/>
      <c r="E9" s="3343"/>
      <c r="F9" s="3343"/>
      <c r="G9" s="3343"/>
      <c r="H9" s="3343"/>
      <c r="I9" s="3343"/>
    </row>
    <row r="10" spans="1:9">
      <c r="A10" s="2974">
        <v>106</v>
      </c>
      <c r="B10" s="2975">
        <v>97.46</v>
      </c>
      <c r="C10" s="3342"/>
      <c r="D10" s="3342"/>
      <c r="E10" s="3343"/>
      <c r="F10" s="3343"/>
      <c r="G10" s="3343"/>
      <c r="H10" s="3343"/>
      <c r="I10" s="3343"/>
    </row>
    <row r="11" spans="1:9">
      <c r="A11" s="2974">
        <v>107</v>
      </c>
      <c r="B11" s="2975">
        <v>50.24</v>
      </c>
      <c r="C11" s="3342"/>
      <c r="D11" s="3342"/>
      <c r="E11" s="3341"/>
      <c r="F11" s="3341"/>
      <c r="G11" s="3341"/>
      <c r="H11" s="3341"/>
      <c r="I11" s="3341"/>
    </row>
    <row r="12" spans="1:9">
      <c r="A12" s="2976" t="s">
        <v>3125</v>
      </c>
      <c r="B12" s="2975">
        <v>394.42</v>
      </c>
      <c r="C12" s="3340" t="s">
        <v>3126</v>
      </c>
      <c r="D12" s="3340">
        <v>898.45</v>
      </c>
      <c r="E12" s="3340" t="s">
        <v>3127</v>
      </c>
      <c r="F12" s="3340">
        <f>D12*147*12</f>
        <v>1584865.7999999998</v>
      </c>
      <c r="G12" s="3340" t="s">
        <v>3128</v>
      </c>
      <c r="H12" s="3340" t="s">
        <v>3129</v>
      </c>
      <c r="I12" s="3340" t="s">
        <v>3130</v>
      </c>
    </row>
    <row r="13" spans="1:9">
      <c r="A13" s="2974" t="s">
        <v>3131</v>
      </c>
      <c r="B13" s="2975">
        <v>504.03</v>
      </c>
      <c r="C13" s="3341"/>
      <c r="D13" s="3341"/>
      <c r="E13" s="3341"/>
      <c r="F13" s="3341"/>
      <c r="G13" s="3341"/>
      <c r="H13" s="3341"/>
      <c r="I13" s="3341"/>
    </row>
    <row r="14" spans="1:9">
      <c r="A14" s="2974">
        <v>309</v>
      </c>
      <c r="B14" s="2975">
        <v>655.65</v>
      </c>
      <c r="C14" s="2975" t="s">
        <v>3132</v>
      </c>
      <c r="D14" s="2975">
        <v>655.65</v>
      </c>
      <c r="E14" s="2975" t="s">
        <v>3133</v>
      </c>
      <c r="F14" s="2975">
        <f>147.96*12*D14</f>
        <v>1164119.6879999998</v>
      </c>
      <c r="G14" s="2975" t="s">
        <v>3134</v>
      </c>
      <c r="H14" s="2975" t="s">
        <v>3129</v>
      </c>
      <c r="I14" s="2975" t="s">
        <v>3135</v>
      </c>
    </row>
    <row r="15" spans="1:9">
      <c r="A15" s="2974">
        <v>310</v>
      </c>
      <c r="B15" s="2975">
        <v>688.28</v>
      </c>
      <c r="C15" s="2975" t="s">
        <v>3097</v>
      </c>
      <c r="D15" s="2975">
        <v>688.28</v>
      </c>
      <c r="E15" s="2975" t="s">
        <v>3136</v>
      </c>
      <c r="F15" s="2975">
        <f>157.5*12*D15</f>
        <v>1300849.2</v>
      </c>
      <c r="G15" s="2975" t="s">
        <v>3098</v>
      </c>
      <c r="H15" s="2975" t="s">
        <v>3099</v>
      </c>
      <c r="I15" s="2975" t="s">
        <v>3100</v>
      </c>
    </row>
    <row r="16" spans="1:9">
      <c r="A16" s="2974" t="s">
        <v>3137</v>
      </c>
      <c r="B16" s="2975">
        <v>583.51</v>
      </c>
      <c r="C16" s="2975" t="s">
        <v>3138</v>
      </c>
      <c r="D16" s="2975">
        <v>922.59</v>
      </c>
      <c r="E16" s="2975" t="s">
        <v>3139</v>
      </c>
      <c r="F16" s="2975">
        <f>127.75*12*D16</f>
        <v>1414330.47</v>
      </c>
      <c r="G16" s="2975" t="s">
        <v>3118</v>
      </c>
      <c r="H16" s="2975" t="s">
        <v>3140</v>
      </c>
      <c r="I16" s="2975" t="s">
        <v>3141</v>
      </c>
    </row>
    <row r="17" spans="1:9">
      <c r="A17" s="2974" t="s">
        <v>3142</v>
      </c>
      <c r="B17" s="2975">
        <v>746.53</v>
      </c>
      <c r="C17" s="3342" t="s">
        <v>3143</v>
      </c>
      <c r="D17" s="3342">
        <v>940.83</v>
      </c>
      <c r="E17" s="3340" t="s">
        <v>3144</v>
      </c>
      <c r="F17" s="3340">
        <f>137.35*12*D17</f>
        <v>1550676.0059999998</v>
      </c>
      <c r="G17" s="3340" t="s">
        <v>3145</v>
      </c>
      <c r="H17" s="3340" t="s">
        <v>3140</v>
      </c>
      <c r="I17" s="3340" t="s">
        <v>3146</v>
      </c>
    </row>
    <row r="18" spans="1:9">
      <c r="A18" s="2974" t="s">
        <v>3147</v>
      </c>
      <c r="B18" s="2975">
        <v>191.3</v>
      </c>
      <c r="C18" s="3342"/>
      <c r="D18" s="3342"/>
      <c r="E18" s="3341"/>
      <c r="F18" s="3341"/>
      <c r="G18" s="3341"/>
      <c r="H18" s="3341"/>
      <c r="I18" s="3341"/>
    </row>
    <row r="19" spans="1:9">
      <c r="A19" s="2974" t="s">
        <v>3148</v>
      </c>
      <c r="B19" s="2975">
        <v>212.06</v>
      </c>
      <c r="C19" s="2975" t="s">
        <v>3149</v>
      </c>
      <c r="D19" s="2975">
        <v>629.64</v>
      </c>
      <c r="E19" s="2975" t="s">
        <v>3150</v>
      </c>
      <c r="F19" s="2975">
        <f>68.25*12*D19</f>
        <v>515675.16</v>
      </c>
      <c r="G19" s="2977" t="s">
        <v>3118</v>
      </c>
      <c r="H19" s="2975" t="s">
        <v>3119</v>
      </c>
      <c r="I19" s="2975" t="s">
        <v>3151</v>
      </c>
    </row>
    <row r="20" spans="1:9">
      <c r="A20" s="2974" t="s">
        <v>3152</v>
      </c>
      <c r="B20" s="2975">
        <f>SUM(B5:B19)</f>
        <v>5994.3300000000008</v>
      </c>
      <c r="C20" s="2975"/>
      <c r="D20" s="2975"/>
      <c r="E20" s="2975"/>
      <c r="F20" s="2975"/>
      <c r="G20" s="2975"/>
      <c r="H20" s="2975"/>
      <c r="I20" s="2975"/>
    </row>
    <row r="21" spans="1:9">
      <c r="A21" s="2974" t="s">
        <v>3153</v>
      </c>
      <c r="B21" s="2975"/>
      <c r="C21" s="2975"/>
      <c r="D21" s="2975"/>
      <c r="E21" s="2975"/>
      <c r="F21" s="2975"/>
      <c r="G21" s="2975"/>
      <c r="H21" s="2975"/>
      <c r="I21" s="2975"/>
    </row>
    <row r="22" spans="1:9" ht="15" customHeight="1">
      <c r="A22" s="2974">
        <v>101</v>
      </c>
      <c r="B22" s="2975">
        <v>490.53</v>
      </c>
      <c r="C22" s="3342" t="s">
        <v>3154</v>
      </c>
      <c r="D22" s="3342">
        <v>2327.1</v>
      </c>
      <c r="E22" s="3344" t="s">
        <v>3155</v>
      </c>
      <c r="F22" s="3340">
        <v>4146277.08</v>
      </c>
      <c r="G22" s="3347" t="s">
        <v>3156</v>
      </c>
      <c r="H22" s="3340" t="s">
        <v>3157</v>
      </c>
      <c r="I22" s="3340" t="s">
        <v>3158</v>
      </c>
    </row>
    <row r="23" spans="1:9">
      <c r="A23" s="2974">
        <v>102</v>
      </c>
      <c r="B23" s="2975">
        <v>548.77</v>
      </c>
      <c r="C23" s="3342"/>
      <c r="D23" s="3342"/>
      <c r="E23" s="3345"/>
      <c r="F23" s="3343"/>
      <c r="G23" s="3348"/>
      <c r="H23" s="3343"/>
      <c r="I23" s="3343"/>
    </row>
    <row r="24" spans="1:9">
      <c r="A24" s="2974">
        <v>303</v>
      </c>
      <c r="B24" s="2975">
        <v>631.85</v>
      </c>
      <c r="C24" s="3342"/>
      <c r="D24" s="3342"/>
      <c r="E24" s="3345"/>
      <c r="F24" s="3343"/>
      <c r="G24" s="3348"/>
      <c r="H24" s="3343"/>
      <c r="I24" s="3343"/>
    </row>
    <row r="25" spans="1:9">
      <c r="A25" s="2974">
        <v>405</v>
      </c>
      <c r="B25" s="2975">
        <v>640.91999999999996</v>
      </c>
      <c r="C25" s="3342"/>
      <c r="D25" s="3342"/>
      <c r="E25" s="3346"/>
      <c r="F25" s="3341"/>
      <c r="G25" s="3349"/>
      <c r="H25" s="3341"/>
      <c r="I25" s="3341"/>
    </row>
    <row r="26" spans="1:9">
      <c r="A26" s="2974" t="s">
        <v>3152</v>
      </c>
      <c r="B26" s="2975">
        <f>SUM(B22:B25)</f>
        <v>2312.0700000000002</v>
      </c>
      <c r="C26" s="2975"/>
      <c r="D26" s="2975"/>
      <c r="E26" s="2975"/>
      <c r="F26" s="2975"/>
      <c r="G26" s="2975"/>
      <c r="H26" s="2975"/>
      <c r="I26" s="2975"/>
    </row>
    <row r="27" spans="1:9">
      <c r="A27" s="2974" t="s">
        <v>3159</v>
      </c>
      <c r="B27" s="2975">
        <v>11594.11</v>
      </c>
      <c r="C27" s="2975" t="s">
        <v>3160</v>
      </c>
      <c r="D27" s="2975">
        <v>12500</v>
      </c>
      <c r="E27" s="2975" t="s">
        <v>3161</v>
      </c>
      <c r="F27" s="2975">
        <v>10265625</v>
      </c>
      <c r="G27" s="2975" t="s">
        <v>3145</v>
      </c>
      <c r="H27" s="2975" t="s">
        <v>3162</v>
      </c>
      <c r="I27" s="2975" t="s">
        <v>3163</v>
      </c>
    </row>
    <row r="28" spans="1:9">
      <c r="A28" s="2974" t="s">
        <v>3164</v>
      </c>
      <c r="B28" s="2975">
        <v>12246.83</v>
      </c>
      <c r="C28" s="2975" t="s">
        <v>3165</v>
      </c>
      <c r="D28" s="2975">
        <v>12246.83</v>
      </c>
      <c r="E28" s="2975" t="s">
        <v>3166</v>
      </c>
      <c r="F28" s="2975">
        <f>32*12246.83*12</f>
        <v>4702782.72</v>
      </c>
      <c r="G28" s="2975" t="s">
        <v>3112</v>
      </c>
      <c r="H28" s="2975" t="s">
        <v>3129</v>
      </c>
      <c r="I28" s="2975" t="s">
        <v>3167</v>
      </c>
    </row>
    <row r="29" spans="1:9">
      <c r="B29" s="2973">
        <f>B3+B20+B26+B27+B28</f>
        <v>51884.22</v>
      </c>
      <c r="F29" s="2973">
        <f>SUM(F5:F27)</f>
        <v>28126818.9036</v>
      </c>
    </row>
    <row r="30" spans="1:9">
      <c r="B30" s="2973">
        <f>B20+B26+B27</f>
        <v>19900.510000000002</v>
      </c>
      <c r="F30" s="2973">
        <f>ROUND(F29/B30/365,1)</f>
        <v>3.9</v>
      </c>
    </row>
  </sheetData>
  <mergeCells count="35">
    <mergeCell ref="I22:I25"/>
    <mergeCell ref="C22:C25"/>
    <mergeCell ref="D22:D25"/>
    <mergeCell ref="E22:E25"/>
    <mergeCell ref="F22:F25"/>
    <mergeCell ref="G22:G25"/>
    <mergeCell ref="H22:H25"/>
    <mergeCell ref="I12:I13"/>
    <mergeCell ref="C17:C18"/>
    <mergeCell ref="D17:D18"/>
    <mergeCell ref="E17:E18"/>
    <mergeCell ref="F17:F18"/>
    <mergeCell ref="G17:G18"/>
    <mergeCell ref="H17:H18"/>
    <mergeCell ref="I17:I18"/>
    <mergeCell ref="C12:C13"/>
    <mergeCell ref="D12:D13"/>
    <mergeCell ref="E12:E13"/>
    <mergeCell ref="F12:F13"/>
    <mergeCell ref="G12:G13"/>
    <mergeCell ref="H12:H13"/>
    <mergeCell ref="I5:I6"/>
    <mergeCell ref="C7:C11"/>
    <mergeCell ref="D7:D11"/>
    <mergeCell ref="E7:E11"/>
    <mergeCell ref="F7:F11"/>
    <mergeCell ref="G7:G11"/>
    <mergeCell ref="H7:H11"/>
    <mergeCell ref="I7:I11"/>
    <mergeCell ref="C5:C6"/>
    <mergeCell ref="D5:D6"/>
    <mergeCell ref="E5:E6"/>
    <mergeCell ref="F5:F6"/>
    <mergeCell ref="G5:G6"/>
    <mergeCell ref="H5:H6"/>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workbookViewId="0">
      <selection activeCell="F10" sqref="F10:F15"/>
    </sheetView>
  </sheetViews>
  <sheetFormatPr defaultColWidth="9" defaultRowHeight="13.5"/>
  <cols>
    <col min="1" max="16384" width="9" style="2982"/>
  </cols>
  <sheetData>
    <row r="1" spans="1:6" ht="15.75" customHeight="1" thickBot="1">
      <c r="A1" s="3350" t="s">
        <v>3222</v>
      </c>
      <c r="B1" s="3350"/>
      <c r="C1" s="3350"/>
      <c r="D1" s="3350"/>
    </row>
    <row r="2" spans="1:6" ht="29.25" thickBot="1">
      <c r="A2" s="2983" t="s">
        <v>3223</v>
      </c>
      <c r="B2" s="2984" t="s">
        <v>3224</v>
      </c>
      <c r="C2" s="2984" t="s">
        <v>3225</v>
      </c>
      <c r="D2" s="2984" t="s">
        <v>3226</v>
      </c>
    </row>
    <row r="3" spans="1:6" ht="15" thickBot="1">
      <c r="A3" s="2983">
        <v>1</v>
      </c>
      <c r="B3" s="2984">
        <v>-101</v>
      </c>
      <c r="C3" s="2984">
        <v>246.12</v>
      </c>
      <c r="D3" s="2985">
        <v>54.593000000000004</v>
      </c>
      <c r="F3" s="2982">
        <f>E10</f>
        <v>1394.4399999999998</v>
      </c>
    </row>
    <row r="4" spans="1:6" ht="15" thickBot="1">
      <c r="A4" s="2983">
        <v>2</v>
      </c>
      <c r="B4" s="2984">
        <v>-102</v>
      </c>
      <c r="C4" s="2984">
        <v>99.15</v>
      </c>
      <c r="D4" s="2985">
        <v>21.992999999999999</v>
      </c>
      <c r="F4" s="2982">
        <f>E17</f>
        <v>1559.3</v>
      </c>
    </row>
    <row r="5" spans="1:6" ht="15" thickBot="1">
      <c r="A5" s="2983">
        <v>3</v>
      </c>
      <c r="B5" s="2984">
        <v>-103</v>
      </c>
      <c r="C5" s="2984">
        <v>36.47</v>
      </c>
      <c r="D5" s="2985">
        <v>8.09</v>
      </c>
      <c r="F5" s="2982">
        <f t="shared" ref="F5:F14" si="0">F4</f>
        <v>1559.3</v>
      </c>
    </row>
    <row r="6" spans="1:6" ht="15" thickBot="1">
      <c r="A6" s="2983">
        <v>4</v>
      </c>
      <c r="B6" s="2984">
        <v>-105</v>
      </c>
      <c r="C6" s="2984">
        <v>36.47</v>
      </c>
      <c r="D6" s="2985">
        <v>8.09</v>
      </c>
      <c r="F6" s="2982">
        <f t="shared" si="0"/>
        <v>1559.3</v>
      </c>
    </row>
    <row r="7" spans="1:6" ht="15" thickBot="1">
      <c r="A7" s="2983">
        <v>5</v>
      </c>
      <c r="B7" s="2984">
        <v>-106</v>
      </c>
      <c r="C7" s="2984">
        <v>99.15</v>
      </c>
      <c r="D7" s="2985">
        <v>21.992999999999999</v>
      </c>
      <c r="F7" s="2982">
        <f t="shared" si="0"/>
        <v>1559.3</v>
      </c>
    </row>
    <row r="8" spans="1:6" ht="15" thickBot="1">
      <c r="A8" s="2983">
        <v>6</v>
      </c>
      <c r="B8" s="2984">
        <v>-107</v>
      </c>
      <c r="C8" s="2984">
        <v>241.9</v>
      </c>
      <c r="D8" s="2985">
        <v>53.656999999999996</v>
      </c>
      <c r="F8" s="2982">
        <f t="shared" si="0"/>
        <v>1559.3</v>
      </c>
    </row>
    <row r="9" spans="1:6" ht="15" thickBot="1">
      <c r="A9" s="2983">
        <v>7</v>
      </c>
      <c r="B9" s="2984">
        <v>-108</v>
      </c>
      <c r="C9" s="2984">
        <v>317.58999999999997</v>
      </c>
      <c r="D9" s="2985">
        <v>70.445999999999998</v>
      </c>
      <c r="F9" s="2982">
        <f t="shared" si="0"/>
        <v>1559.3</v>
      </c>
    </row>
    <row r="10" spans="1:6" ht="15" thickBot="1">
      <c r="A10" s="2983">
        <v>8</v>
      </c>
      <c r="B10" s="2984">
        <v>-109</v>
      </c>
      <c r="C10" s="2984">
        <v>317.58999999999997</v>
      </c>
      <c r="D10" s="2985">
        <v>70.445999999999998</v>
      </c>
      <c r="E10" s="2982">
        <f>C3+C4+C5+C6+C7+C8+C9+C10</f>
        <v>1394.4399999999998</v>
      </c>
      <c r="F10" s="2982">
        <f t="shared" si="0"/>
        <v>1559.3</v>
      </c>
    </row>
    <row r="11" spans="1:6" ht="15" thickBot="1">
      <c r="A11" s="2983">
        <v>9</v>
      </c>
      <c r="B11" s="2984">
        <v>201</v>
      </c>
      <c r="C11" s="2984">
        <v>246.76</v>
      </c>
      <c r="D11" s="2985">
        <v>54.734999999999999</v>
      </c>
      <c r="F11" s="2982">
        <f t="shared" si="0"/>
        <v>1559.3</v>
      </c>
    </row>
    <row r="12" spans="1:6" ht="15" thickBot="1">
      <c r="A12" s="2983">
        <v>10</v>
      </c>
      <c r="B12" s="2984">
        <v>202</v>
      </c>
      <c r="C12" s="2984">
        <v>142.02000000000001</v>
      </c>
      <c r="D12" s="2985">
        <v>31.501999999999999</v>
      </c>
      <c r="F12" s="2982">
        <f t="shared" si="0"/>
        <v>1559.3</v>
      </c>
    </row>
    <row r="13" spans="1:6" ht="15" thickBot="1">
      <c r="A13" s="2983">
        <v>11</v>
      </c>
      <c r="B13" s="2984">
        <v>203</v>
      </c>
      <c r="C13" s="2984">
        <v>137.91999999999999</v>
      </c>
      <c r="D13" s="2985">
        <v>30.593</v>
      </c>
      <c r="F13" s="2982">
        <f t="shared" si="0"/>
        <v>1559.3</v>
      </c>
    </row>
    <row r="14" spans="1:6" ht="15" thickBot="1">
      <c r="A14" s="2983">
        <v>12</v>
      </c>
      <c r="B14" s="2984">
        <v>205</v>
      </c>
      <c r="C14" s="2984">
        <v>142.02000000000001</v>
      </c>
      <c r="D14" s="2985">
        <v>31.501999999999999</v>
      </c>
      <c r="F14" s="2982">
        <f t="shared" si="0"/>
        <v>1559.3</v>
      </c>
    </row>
    <row r="15" spans="1:6" ht="15" thickBot="1">
      <c r="A15" s="2983">
        <v>13</v>
      </c>
      <c r="B15" s="2984">
        <v>206</v>
      </c>
      <c r="C15" s="2984">
        <v>246.76</v>
      </c>
      <c r="D15" s="2985">
        <v>54.734999999999999</v>
      </c>
      <c r="F15" s="2982">
        <f>E93</f>
        <v>1190.1399999999999</v>
      </c>
    </row>
    <row r="16" spans="1:6" ht="15" thickBot="1">
      <c r="A16" s="2983">
        <v>14</v>
      </c>
      <c r="B16" s="2984">
        <v>207</v>
      </c>
      <c r="C16" s="2984">
        <v>321.91000000000003</v>
      </c>
      <c r="D16" s="2985">
        <v>71.405000000000001</v>
      </c>
      <c r="F16" s="2982">
        <f>SUM(F3:F15)</f>
        <v>19736.879999999997</v>
      </c>
    </row>
    <row r="17" spans="1:5" ht="15" thickBot="1">
      <c r="A17" s="2983">
        <v>15</v>
      </c>
      <c r="B17" s="2984">
        <v>208</v>
      </c>
      <c r="C17" s="2984">
        <v>321.91000000000003</v>
      </c>
      <c r="D17" s="2985">
        <v>71.405000000000001</v>
      </c>
      <c r="E17" s="2982">
        <f>C11+C12+C13+C14+C15+C16+C17</f>
        <v>1559.3</v>
      </c>
    </row>
    <row r="18" spans="1:5" ht="15" thickBot="1">
      <c r="A18" s="2983">
        <v>16</v>
      </c>
      <c r="B18" s="2984">
        <v>301</v>
      </c>
      <c r="C18" s="2984">
        <v>246.76</v>
      </c>
      <c r="D18" s="2985">
        <v>54.734999999999999</v>
      </c>
    </row>
    <row r="19" spans="1:5" ht="15" thickBot="1">
      <c r="A19" s="2983">
        <v>17</v>
      </c>
      <c r="B19" s="2984">
        <v>302</v>
      </c>
      <c r="C19" s="2984">
        <v>142.02000000000001</v>
      </c>
      <c r="D19" s="2985">
        <v>31.501999999999999</v>
      </c>
    </row>
    <row r="20" spans="1:5" ht="15" thickBot="1">
      <c r="A20" s="2983">
        <v>18</v>
      </c>
      <c r="B20" s="2984">
        <v>303</v>
      </c>
      <c r="C20" s="2984">
        <v>137.91999999999999</v>
      </c>
      <c r="D20" s="2985">
        <v>30.593</v>
      </c>
    </row>
    <row r="21" spans="1:5" ht="15" thickBot="1">
      <c r="A21" s="2983">
        <v>19</v>
      </c>
      <c r="B21" s="2984">
        <v>305</v>
      </c>
      <c r="C21" s="2984">
        <v>142.02000000000001</v>
      </c>
      <c r="D21" s="2985">
        <v>31.501999999999999</v>
      </c>
    </row>
    <row r="22" spans="1:5" ht="15" thickBot="1">
      <c r="A22" s="2983">
        <v>20</v>
      </c>
      <c r="B22" s="2984">
        <v>306</v>
      </c>
      <c r="C22" s="2984">
        <v>246.76</v>
      </c>
      <c r="D22" s="2985">
        <v>54.734999999999999</v>
      </c>
    </row>
    <row r="23" spans="1:5" ht="15" thickBot="1">
      <c r="A23" s="2983">
        <v>21</v>
      </c>
      <c r="B23" s="2984">
        <v>307</v>
      </c>
      <c r="C23" s="2984">
        <v>321.91000000000003</v>
      </c>
      <c r="D23" s="2985">
        <v>71.405000000000001</v>
      </c>
    </row>
    <row r="24" spans="1:5" ht="15" thickBot="1">
      <c r="A24" s="2983">
        <v>22</v>
      </c>
      <c r="B24" s="2984">
        <v>308</v>
      </c>
      <c r="C24" s="2984">
        <v>321.91000000000003</v>
      </c>
      <c r="D24" s="2985">
        <v>71.405000000000001</v>
      </c>
      <c r="E24" s="2982">
        <f>C18+C19+C20+C21+C22+C23+C24</f>
        <v>1559.3</v>
      </c>
    </row>
    <row r="25" spans="1:5" ht="15" thickBot="1">
      <c r="A25" s="2983">
        <v>23</v>
      </c>
      <c r="B25" s="2984">
        <v>401</v>
      </c>
      <c r="C25" s="2984">
        <v>246.76</v>
      </c>
      <c r="D25" s="2985">
        <v>54.734999999999999</v>
      </c>
    </row>
    <row r="26" spans="1:5" ht="15" thickBot="1">
      <c r="A26" s="2983">
        <v>24</v>
      </c>
      <c r="B26" s="2984">
        <v>402</v>
      </c>
      <c r="C26" s="2984">
        <v>142.02000000000001</v>
      </c>
      <c r="D26" s="2985">
        <v>31.501999999999999</v>
      </c>
    </row>
    <row r="27" spans="1:5" ht="15" thickBot="1">
      <c r="A27" s="2983">
        <v>25</v>
      </c>
      <c r="B27" s="2984">
        <v>403</v>
      </c>
      <c r="C27" s="2984">
        <v>137.91999999999999</v>
      </c>
      <c r="D27" s="2985">
        <v>30.593</v>
      </c>
    </row>
    <row r="28" spans="1:5" ht="15" thickBot="1">
      <c r="A28" s="2983">
        <v>26</v>
      </c>
      <c r="B28" s="2984">
        <v>405</v>
      </c>
      <c r="C28" s="2984">
        <v>142.02000000000001</v>
      </c>
      <c r="D28" s="2985">
        <v>31.501999999999999</v>
      </c>
    </row>
    <row r="29" spans="1:5" ht="15" thickBot="1">
      <c r="A29" s="2983">
        <v>27</v>
      </c>
      <c r="B29" s="2984">
        <v>406</v>
      </c>
      <c r="C29" s="2984">
        <v>246.76</v>
      </c>
      <c r="D29" s="2985">
        <v>54.734999999999999</v>
      </c>
    </row>
    <row r="30" spans="1:5" ht="15" thickBot="1">
      <c r="A30" s="2983">
        <v>28</v>
      </c>
      <c r="B30" s="2984">
        <v>407</v>
      </c>
      <c r="C30" s="2984">
        <v>321.91000000000003</v>
      </c>
      <c r="D30" s="2985">
        <v>71.405000000000001</v>
      </c>
    </row>
    <row r="31" spans="1:5" ht="15" thickBot="1">
      <c r="A31" s="2983">
        <v>29</v>
      </c>
      <c r="B31" s="2984">
        <v>408</v>
      </c>
      <c r="C31" s="2984">
        <v>321.91000000000003</v>
      </c>
      <c r="D31" s="2985">
        <v>71.405000000000001</v>
      </c>
      <c r="E31" s="2982">
        <f>C25+C26+C27+C28+C29+C30+C31</f>
        <v>1559.3</v>
      </c>
    </row>
    <row r="32" spans="1:5" ht="15" thickBot="1">
      <c r="A32" s="2983">
        <v>30</v>
      </c>
      <c r="B32" s="2984">
        <v>501</v>
      </c>
      <c r="C32" s="2984">
        <v>246.76</v>
      </c>
      <c r="D32" s="2985">
        <v>54.734999999999999</v>
      </c>
    </row>
    <row r="33" spans="1:5" ht="15" thickBot="1">
      <c r="A33" s="2983">
        <v>31</v>
      </c>
      <c r="B33" s="2984">
        <v>502</v>
      </c>
      <c r="C33" s="2984">
        <v>142.02000000000001</v>
      </c>
      <c r="D33" s="2985">
        <v>31.501999999999999</v>
      </c>
    </row>
    <row r="34" spans="1:5" ht="15" thickBot="1">
      <c r="A34" s="2983">
        <v>32</v>
      </c>
      <c r="B34" s="2984">
        <v>503</v>
      </c>
      <c r="C34" s="2984">
        <v>137.91999999999999</v>
      </c>
      <c r="D34" s="2985">
        <v>30.593</v>
      </c>
    </row>
    <row r="35" spans="1:5" ht="15" thickBot="1">
      <c r="A35" s="2983">
        <v>33</v>
      </c>
      <c r="B35" s="2984">
        <v>505</v>
      </c>
      <c r="C35" s="2984">
        <v>142.02000000000001</v>
      </c>
      <c r="D35" s="2985">
        <v>31.501999999999999</v>
      </c>
    </row>
    <row r="36" spans="1:5" ht="15" thickBot="1">
      <c r="A36" s="2983">
        <v>34</v>
      </c>
      <c r="B36" s="2984">
        <v>506</v>
      </c>
      <c r="C36" s="2984">
        <v>246.76</v>
      </c>
      <c r="D36" s="2985">
        <v>54.734999999999999</v>
      </c>
    </row>
    <row r="37" spans="1:5" ht="15" thickBot="1">
      <c r="A37" s="2983">
        <v>35</v>
      </c>
      <c r="B37" s="2984">
        <v>507</v>
      </c>
      <c r="C37" s="2984">
        <v>321.91000000000003</v>
      </c>
      <c r="D37" s="2985">
        <v>71.405000000000001</v>
      </c>
    </row>
    <row r="38" spans="1:5" ht="15" thickBot="1">
      <c r="A38" s="2983">
        <v>36</v>
      </c>
      <c r="B38" s="2984">
        <v>508</v>
      </c>
      <c r="C38" s="2984">
        <v>321.91000000000003</v>
      </c>
      <c r="D38" s="2985">
        <v>71.405000000000001</v>
      </c>
      <c r="E38" s="2982">
        <f>C32+C33+C34+C35+C36+C37+C38</f>
        <v>1559.3</v>
      </c>
    </row>
    <row r="39" spans="1:5" ht="15" thickBot="1">
      <c r="A39" s="2983">
        <v>37</v>
      </c>
      <c r="B39" s="2984">
        <v>601</v>
      </c>
      <c r="C39" s="2984">
        <v>246.76</v>
      </c>
      <c r="D39" s="2985">
        <v>54.734999999999999</v>
      </c>
    </row>
    <row r="40" spans="1:5" ht="15" thickBot="1">
      <c r="A40" s="2983">
        <v>38</v>
      </c>
      <c r="B40" s="2984">
        <v>602</v>
      </c>
      <c r="C40" s="2984">
        <v>142.02000000000001</v>
      </c>
      <c r="D40" s="2985">
        <v>31.501999999999999</v>
      </c>
    </row>
    <row r="41" spans="1:5" ht="15" thickBot="1">
      <c r="A41" s="2983">
        <v>39</v>
      </c>
      <c r="B41" s="2984">
        <v>603</v>
      </c>
      <c r="C41" s="2984">
        <v>137.91999999999999</v>
      </c>
      <c r="D41" s="2985">
        <v>30.593</v>
      </c>
    </row>
    <row r="42" spans="1:5" ht="15" thickBot="1">
      <c r="A42" s="2983">
        <v>40</v>
      </c>
      <c r="B42" s="2984">
        <v>605</v>
      </c>
      <c r="C42" s="2984">
        <v>142.02000000000001</v>
      </c>
      <c r="D42" s="2985">
        <v>31.501999999999999</v>
      </c>
    </row>
    <row r="43" spans="1:5" ht="15" thickBot="1">
      <c r="A43" s="2983">
        <v>41</v>
      </c>
      <c r="B43" s="2984">
        <v>606</v>
      </c>
      <c r="C43" s="2984">
        <v>246.76</v>
      </c>
      <c r="D43" s="2985">
        <v>54.734999999999999</v>
      </c>
    </row>
    <row r="44" spans="1:5" ht="15" thickBot="1">
      <c r="A44" s="2983">
        <v>42</v>
      </c>
      <c r="B44" s="2984">
        <v>607</v>
      </c>
      <c r="C44" s="2984">
        <v>321.91000000000003</v>
      </c>
      <c r="D44" s="2985">
        <v>71.405000000000001</v>
      </c>
    </row>
    <row r="45" spans="1:5" ht="15" thickBot="1">
      <c r="A45" s="2983">
        <v>43</v>
      </c>
      <c r="B45" s="2984">
        <v>608</v>
      </c>
      <c r="C45" s="2984">
        <v>321.91000000000003</v>
      </c>
      <c r="D45" s="2985">
        <v>71.405000000000001</v>
      </c>
      <c r="E45" s="2982">
        <f>C39+C40+C41+C42+C43+C44+C45</f>
        <v>1559.3</v>
      </c>
    </row>
    <row r="46" spans="1:5" ht="15" thickBot="1">
      <c r="A46" s="2983">
        <v>44</v>
      </c>
      <c r="B46" s="2984">
        <v>701</v>
      </c>
      <c r="C46" s="2984">
        <v>246.76</v>
      </c>
      <c r="D46" s="2985">
        <v>54.734999999999999</v>
      </c>
    </row>
    <row r="47" spans="1:5" ht="15" thickBot="1">
      <c r="A47" s="2983">
        <v>45</v>
      </c>
      <c r="B47" s="2984">
        <v>702</v>
      </c>
      <c r="C47" s="2984">
        <v>142.02000000000001</v>
      </c>
      <c r="D47" s="2985">
        <v>31.501999999999999</v>
      </c>
    </row>
    <row r="48" spans="1:5" ht="15" thickBot="1">
      <c r="A48" s="2983">
        <v>46</v>
      </c>
      <c r="B48" s="2984">
        <v>703</v>
      </c>
      <c r="C48" s="2984">
        <v>137.91999999999999</v>
      </c>
      <c r="D48" s="2985">
        <v>30.593</v>
      </c>
    </row>
    <row r="49" spans="1:5" ht="15" thickBot="1">
      <c r="A49" s="2983">
        <v>47</v>
      </c>
      <c r="B49" s="2984">
        <v>705</v>
      </c>
      <c r="C49" s="2984">
        <v>142.02000000000001</v>
      </c>
      <c r="D49" s="2985">
        <v>31.501999999999999</v>
      </c>
    </row>
    <row r="50" spans="1:5" ht="15" thickBot="1">
      <c r="A50" s="2983">
        <v>48</v>
      </c>
      <c r="B50" s="2984">
        <v>706</v>
      </c>
      <c r="C50" s="2984">
        <v>246.76</v>
      </c>
      <c r="D50" s="2985">
        <v>54.734999999999999</v>
      </c>
    </row>
    <row r="51" spans="1:5" ht="15" thickBot="1">
      <c r="A51" s="2983">
        <v>49</v>
      </c>
      <c r="B51" s="2984">
        <v>707</v>
      </c>
      <c r="C51" s="2984">
        <v>321.91000000000003</v>
      </c>
      <c r="D51" s="2985">
        <v>71.405000000000001</v>
      </c>
    </row>
    <row r="52" spans="1:5" ht="15" thickBot="1">
      <c r="A52" s="2983">
        <v>50</v>
      </c>
      <c r="B52" s="2984">
        <v>708</v>
      </c>
      <c r="C52" s="2984">
        <v>321.91000000000003</v>
      </c>
      <c r="D52" s="2985">
        <v>71.405000000000001</v>
      </c>
      <c r="E52" s="2982">
        <f>C46+C47+C48+C49+C50+C51+C52</f>
        <v>1559.3</v>
      </c>
    </row>
    <row r="53" spans="1:5" ht="15" thickBot="1">
      <c r="A53" s="2983">
        <v>51</v>
      </c>
      <c r="B53" s="2984">
        <v>801</v>
      </c>
      <c r="C53" s="2984">
        <v>246.76</v>
      </c>
      <c r="D53" s="2985">
        <v>54.734999999999999</v>
      </c>
    </row>
    <row r="54" spans="1:5" ht="15" thickBot="1">
      <c r="A54" s="2983">
        <v>52</v>
      </c>
      <c r="B54" s="2984">
        <v>802</v>
      </c>
      <c r="C54" s="2984">
        <v>142.02000000000001</v>
      </c>
      <c r="D54" s="2985">
        <v>31.501999999999999</v>
      </c>
    </row>
    <row r="55" spans="1:5" ht="15" thickBot="1">
      <c r="A55" s="2983">
        <v>53</v>
      </c>
      <c r="B55" s="2984">
        <v>803</v>
      </c>
      <c r="C55" s="2984">
        <v>137.91999999999999</v>
      </c>
      <c r="D55" s="2985">
        <v>30.593</v>
      </c>
    </row>
    <row r="56" spans="1:5" ht="15" thickBot="1">
      <c r="A56" s="2983">
        <v>54</v>
      </c>
      <c r="B56" s="2984">
        <v>805</v>
      </c>
      <c r="C56" s="2984">
        <v>142.02000000000001</v>
      </c>
      <c r="D56" s="2985">
        <v>31.501999999999999</v>
      </c>
    </row>
    <row r="57" spans="1:5" ht="15" thickBot="1">
      <c r="A57" s="2983">
        <v>55</v>
      </c>
      <c r="B57" s="2984">
        <v>806</v>
      </c>
      <c r="C57" s="2984">
        <v>246.76</v>
      </c>
      <c r="D57" s="2985">
        <v>54.734999999999999</v>
      </c>
    </row>
    <row r="58" spans="1:5" ht="15" thickBot="1">
      <c r="A58" s="2983">
        <v>56</v>
      </c>
      <c r="B58" s="2984">
        <v>807</v>
      </c>
      <c r="C58" s="2984">
        <v>321.91000000000003</v>
      </c>
      <c r="D58" s="2985">
        <v>71.405000000000001</v>
      </c>
    </row>
    <row r="59" spans="1:5" ht="15" thickBot="1">
      <c r="A59" s="2983">
        <v>57</v>
      </c>
      <c r="B59" s="2984">
        <v>808</v>
      </c>
      <c r="C59" s="2984">
        <v>321.91000000000003</v>
      </c>
      <c r="D59" s="2985">
        <v>71.405000000000001</v>
      </c>
      <c r="E59" s="2982">
        <f>C53+C54+C55+C56+C57+C58+C59</f>
        <v>1559.3</v>
      </c>
    </row>
    <row r="60" spans="1:5" ht="15" thickBot="1">
      <c r="A60" s="2983">
        <v>58</v>
      </c>
      <c r="B60" s="2984">
        <v>901</v>
      </c>
      <c r="C60" s="2984">
        <v>246.76</v>
      </c>
      <c r="D60" s="2985">
        <v>54.734999999999999</v>
      </c>
    </row>
    <row r="61" spans="1:5" ht="15" thickBot="1">
      <c r="A61" s="2983">
        <v>59</v>
      </c>
      <c r="B61" s="2984">
        <v>902</v>
      </c>
      <c r="C61" s="2984">
        <v>142.02000000000001</v>
      </c>
      <c r="D61" s="2985">
        <v>31.501999999999999</v>
      </c>
    </row>
    <row r="62" spans="1:5" ht="15" thickBot="1">
      <c r="A62" s="2983">
        <v>60</v>
      </c>
      <c r="B62" s="2984">
        <v>903</v>
      </c>
      <c r="C62" s="2984">
        <v>137.91999999999999</v>
      </c>
      <c r="D62" s="2985">
        <v>30.593</v>
      </c>
    </row>
    <row r="63" spans="1:5" ht="15" thickBot="1">
      <c r="A63" s="2983">
        <v>61</v>
      </c>
      <c r="B63" s="2984">
        <v>905</v>
      </c>
      <c r="C63" s="2984">
        <v>142.02000000000001</v>
      </c>
      <c r="D63" s="2985">
        <v>31.501999999999999</v>
      </c>
    </row>
    <row r="64" spans="1:5" ht="15" thickBot="1">
      <c r="A64" s="2983">
        <v>62</v>
      </c>
      <c r="B64" s="2984">
        <v>906</v>
      </c>
      <c r="C64" s="2984">
        <v>246.76</v>
      </c>
      <c r="D64" s="2985">
        <v>54.734999999999999</v>
      </c>
    </row>
    <row r="65" spans="1:5" ht="15" thickBot="1">
      <c r="A65" s="2983">
        <v>63</v>
      </c>
      <c r="B65" s="2984">
        <v>907</v>
      </c>
      <c r="C65" s="2984">
        <v>321.91000000000003</v>
      </c>
      <c r="D65" s="2985">
        <v>71.405000000000001</v>
      </c>
    </row>
    <row r="66" spans="1:5" ht="15" thickBot="1">
      <c r="A66" s="2983">
        <v>64</v>
      </c>
      <c r="B66" s="2984">
        <v>908</v>
      </c>
      <c r="C66" s="2984">
        <v>321.91000000000003</v>
      </c>
      <c r="D66" s="2985">
        <v>71.405000000000001</v>
      </c>
      <c r="E66" s="2982">
        <f>C60+C62+C61+C63+C64+C65+C66</f>
        <v>1559.3</v>
      </c>
    </row>
    <row r="67" spans="1:5" ht="15" thickBot="1">
      <c r="A67" s="2983">
        <v>65</v>
      </c>
      <c r="B67" s="2984">
        <v>1001</v>
      </c>
      <c r="C67" s="2984">
        <v>246.76</v>
      </c>
      <c r="D67" s="2985">
        <v>54.734999999999999</v>
      </c>
    </row>
    <row r="68" spans="1:5" ht="15" thickBot="1">
      <c r="A68" s="2983">
        <v>66</v>
      </c>
      <c r="B68" s="2984">
        <v>1002</v>
      </c>
      <c r="C68" s="2984">
        <v>142.02000000000001</v>
      </c>
      <c r="D68" s="2985">
        <v>31.501999999999999</v>
      </c>
    </row>
    <row r="69" spans="1:5" ht="15" thickBot="1">
      <c r="A69" s="2983">
        <v>67</v>
      </c>
      <c r="B69" s="2984">
        <v>1003</v>
      </c>
      <c r="C69" s="2984">
        <v>137.91999999999999</v>
      </c>
      <c r="D69" s="2985">
        <v>30.593</v>
      </c>
    </row>
    <row r="70" spans="1:5" ht="15" thickBot="1">
      <c r="A70" s="2983">
        <v>68</v>
      </c>
      <c r="B70" s="2984">
        <v>1005</v>
      </c>
      <c r="C70" s="2984">
        <v>142.02000000000001</v>
      </c>
      <c r="D70" s="2985">
        <v>31.501999999999999</v>
      </c>
    </row>
    <row r="71" spans="1:5" ht="15" thickBot="1">
      <c r="A71" s="2983">
        <v>69</v>
      </c>
      <c r="B71" s="2984">
        <v>1006</v>
      </c>
      <c r="C71" s="2984">
        <v>246.76</v>
      </c>
      <c r="D71" s="2985">
        <v>54.734999999999999</v>
      </c>
    </row>
    <row r="72" spans="1:5" ht="15" thickBot="1">
      <c r="A72" s="2983">
        <v>70</v>
      </c>
      <c r="B72" s="2984">
        <v>1007</v>
      </c>
      <c r="C72" s="2984">
        <v>321.91000000000003</v>
      </c>
      <c r="D72" s="2985">
        <v>71.405000000000001</v>
      </c>
    </row>
    <row r="73" spans="1:5" ht="15" thickBot="1">
      <c r="A73" s="2983">
        <v>71</v>
      </c>
      <c r="B73" s="2984">
        <v>1008</v>
      </c>
      <c r="C73" s="2984">
        <v>321.91000000000003</v>
      </c>
      <c r="D73" s="2985">
        <v>71.405000000000001</v>
      </c>
      <c r="E73" s="2982">
        <f>C67+C68+C69+C70+C71+C72+C73</f>
        <v>1559.3</v>
      </c>
    </row>
    <row r="74" spans="1:5" ht="15" thickBot="1">
      <c r="A74" s="2983">
        <v>72</v>
      </c>
      <c r="B74" s="2984">
        <v>1101</v>
      </c>
      <c r="C74" s="2984">
        <v>246.76</v>
      </c>
      <c r="D74" s="2985">
        <v>54.734999999999999</v>
      </c>
    </row>
    <row r="75" spans="1:5" ht="15" thickBot="1">
      <c r="A75" s="2983">
        <v>73</v>
      </c>
      <c r="B75" s="2984">
        <v>1102</v>
      </c>
      <c r="C75" s="2984">
        <v>142.02000000000001</v>
      </c>
      <c r="D75" s="2985">
        <v>31.501999999999999</v>
      </c>
    </row>
    <row r="76" spans="1:5" ht="15" thickBot="1">
      <c r="A76" s="2983">
        <v>74</v>
      </c>
      <c r="B76" s="2984">
        <v>1103</v>
      </c>
      <c r="C76" s="2984">
        <v>137.91999999999999</v>
      </c>
      <c r="D76" s="2985">
        <v>30.593</v>
      </c>
    </row>
    <row r="77" spans="1:5" ht="15" thickBot="1">
      <c r="A77" s="2983">
        <v>75</v>
      </c>
      <c r="B77" s="2984">
        <v>1105</v>
      </c>
      <c r="C77" s="2984">
        <v>142.02000000000001</v>
      </c>
      <c r="D77" s="2985">
        <v>31.501999999999999</v>
      </c>
    </row>
    <row r="78" spans="1:5" ht="15" thickBot="1">
      <c r="A78" s="2983">
        <v>76</v>
      </c>
      <c r="B78" s="2984">
        <v>1106</v>
      </c>
      <c r="C78" s="2984">
        <v>246.76</v>
      </c>
      <c r="D78" s="2985">
        <v>54.734999999999999</v>
      </c>
    </row>
    <row r="79" spans="1:5" ht="15" thickBot="1">
      <c r="A79" s="2983">
        <v>77</v>
      </c>
      <c r="B79" s="2984">
        <v>1107</v>
      </c>
      <c r="C79" s="2984">
        <v>321.91000000000003</v>
      </c>
      <c r="D79" s="2985">
        <v>71.405000000000001</v>
      </c>
    </row>
    <row r="80" spans="1:5" ht="15" thickBot="1">
      <c r="A80" s="2983">
        <v>78</v>
      </c>
      <c r="B80" s="2985">
        <v>1108</v>
      </c>
      <c r="C80" s="2984">
        <v>321.91000000000003</v>
      </c>
      <c r="D80" s="2985">
        <v>71.405000000000001</v>
      </c>
      <c r="E80" s="2982">
        <f>C74+C75+C76+C77+C78+C79+C80</f>
        <v>1559.3</v>
      </c>
    </row>
    <row r="81" spans="1:5" ht="15" thickBot="1">
      <c r="A81" s="2983">
        <v>79</v>
      </c>
      <c r="B81" s="2985">
        <v>1201</v>
      </c>
      <c r="C81" s="2984">
        <v>246.76</v>
      </c>
      <c r="D81" s="2985">
        <v>54.734999999999999</v>
      </c>
    </row>
    <row r="82" spans="1:5" ht="15" thickBot="1">
      <c r="A82" s="2983">
        <v>80</v>
      </c>
      <c r="B82" s="2985">
        <v>1202</v>
      </c>
      <c r="C82" s="2984">
        <v>142.02000000000001</v>
      </c>
      <c r="D82" s="2985">
        <v>31.501999999999999</v>
      </c>
    </row>
    <row r="83" spans="1:5" ht="15" thickBot="1">
      <c r="A83" s="2983">
        <v>81</v>
      </c>
      <c r="B83" s="2985">
        <v>1203</v>
      </c>
      <c r="C83" s="2984">
        <v>137.91999999999999</v>
      </c>
      <c r="D83" s="2985">
        <v>30.593</v>
      </c>
    </row>
    <row r="84" spans="1:5" ht="15" thickBot="1">
      <c r="A84" s="2983">
        <v>82</v>
      </c>
      <c r="B84" s="2985">
        <v>1205</v>
      </c>
      <c r="C84" s="2984">
        <v>142.02000000000001</v>
      </c>
      <c r="D84" s="2985">
        <v>31.501999999999999</v>
      </c>
    </row>
    <row r="85" spans="1:5" ht="15" thickBot="1">
      <c r="A85" s="2983">
        <v>83</v>
      </c>
      <c r="B85" s="2985">
        <v>1206</v>
      </c>
      <c r="C85" s="2984">
        <v>246.76</v>
      </c>
      <c r="D85" s="2985">
        <v>54.734999999999999</v>
      </c>
    </row>
    <row r="86" spans="1:5" ht="15" thickBot="1">
      <c r="A86" s="2983">
        <v>84</v>
      </c>
      <c r="B86" s="2985">
        <v>1207</v>
      </c>
      <c r="C86" s="2984">
        <v>321.91000000000003</v>
      </c>
      <c r="D86" s="2985">
        <v>71.405000000000001</v>
      </c>
    </row>
    <row r="87" spans="1:5" ht="15" thickBot="1">
      <c r="A87" s="2983">
        <v>85</v>
      </c>
      <c r="B87" s="2985">
        <v>1208</v>
      </c>
      <c r="C87" s="2984">
        <v>321.91000000000003</v>
      </c>
      <c r="D87" s="2985">
        <v>71.405000000000001</v>
      </c>
      <c r="E87" s="2982">
        <f>C81+C82+C83+C84+C85+C86+C87</f>
        <v>1559.3</v>
      </c>
    </row>
    <row r="88" spans="1:5" ht="15" thickBot="1">
      <c r="A88" s="2983">
        <v>86</v>
      </c>
      <c r="B88" s="2985">
        <v>1301</v>
      </c>
      <c r="C88" s="2985">
        <v>157.6</v>
      </c>
      <c r="D88" s="2985">
        <v>34.957999999999998</v>
      </c>
    </row>
    <row r="89" spans="1:5" ht="15" thickBot="1">
      <c r="A89" s="2983">
        <v>87</v>
      </c>
      <c r="B89" s="2985">
        <v>1302</v>
      </c>
      <c r="C89" s="2985">
        <v>142.02000000000001</v>
      </c>
      <c r="D89" s="2985">
        <v>31.501999999999999</v>
      </c>
    </row>
    <row r="90" spans="1:5" ht="15" thickBot="1">
      <c r="A90" s="2983">
        <v>88</v>
      </c>
      <c r="B90" s="2985">
        <v>1303</v>
      </c>
      <c r="C90" s="2985">
        <v>137.91999999999999</v>
      </c>
      <c r="D90" s="2985">
        <v>30.593</v>
      </c>
    </row>
    <row r="91" spans="1:5" ht="15" thickBot="1">
      <c r="A91" s="2983">
        <v>89</v>
      </c>
      <c r="B91" s="2985">
        <v>1305</v>
      </c>
      <c r="C91" s="2985">
        <v>324.04000000000002</v>
      </c>
      <c r="D91" s="2985">
        <v>71.876999999999995</v>
      </c>
    </row>
    <row r="92" spans="1:5" ht="15" thickBot="1">
      <c r="A92" s="2983">
        <v>90</v>
      </c>
      <c r="B92" s="2985">
        <v>1306</v>
      </c>
      <c r="C92" s="2985">
        <v>213.28</v>
      </c>
      <c r="D92" s="2985">
        <v>47.308999999999997</v>
      </c>
    </row>
    <row r="93" spans="1:5" ht="15" thickBot="1">
      <c r="A93" s="2983">
        <v>91</v>
      </c>
      <c r="B93" s="2985">
        <v>1307</v>
      </c>
      <c r="C93" s="2985">
        <v>215.28</v>
      </c>
      <c r="D93" s="2985">
        <v>47.752000000000002</v>
      </c>
      <c r="E93" s="2982">
        <f>C88+C89+C90+C91+C92+C93</f>
        <v>1190.1399999999999</v>
      </c>
    </row>
    <row r="94" spans="1:5" ht="15" thickBot="1">
      <c r="A94" s="2986" t="s">
        <v>3227</v>
      </c>
      <c r="B94" s="2985"/>
      <c r="C94" s="2985">
        <v>19736.88</v>
      </c>
      <c r="D94" s="2985">
        <v>4377.9399999999996</v>
      </c>
      <c r="E94" s="2982">
        <f>SUM(E1:E93)</f>
        <v>19736.879999999997</v>
      </c>
    </row>
  </sheetData>
  <mergeCells count="1">
    <mergeCell ref="A1:D1"/>
  </mergeCells>
  <phoneticPr fontId="143" type="noConversion"/>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9:K334"/>
  <sheetViews>
    <sheetView topLeftCell="A61" workbookViewId="0">
      <selection activeCell="H95" sqref="H95"/>
    </sheetView>
  </sheetViews>
  <sheetFormatPr defaultColWidth="9" defaultRowHeight="13.5"/>
  <cols>
    <col min="1" max="4" width="9" style="2982"/>
    <col min="5" max="5" width="9.5" style="2982" bestFit="1" customWidth="1"/>
    <col min="6" max="16384" width="9" style="2982"/>
  </cols>
  <sheetData>
    <row r="89" spans="1:11">
      <c r="E89" s="2982">
        <f>SUM(E90:E334)/10000</f>
        <v>3611.25</v>
      </c>
      <c r="G89" s="2982">
        <f>[2]结果表!G19</f>
        <v>3638</v>
      </c>
      <c r="H89" s="2982">
        <v>44</v>
      </c>
      <c r="I89" s="2982">
        <v>68</v>
      </c>
      <c r="J89" s="2982">
        <v>89</v>
      </c>
    </row>
    <row r="90" spans="1:11" ht="15" thickBot="1">
      <c r="A90" s="2983">
        <v>1</v>
      </c>
      <c r="B90" s="2984">
        <v>1</v>
      </c>
      <c r="C90" s="2984">
        <v>43.42</v>
      </c>
      <c r="D90" s="2985">
        <v>9.6310000000000002</v>
      </c>
      <c r="E90" s="2982">
        <v>135000</v>
      </c>
      <c r="F90" s="2982">
        <v>1</v>
      </c>
      <c r="G90" s="2982">
        <f>G89/车库测绘报告!E89</f>
        <v>1.0074074074074073</v>
      </c>
      <c r="H90" s="3004">
        <f>E90*G90</f>
        <v>136000</v>
      </c>
      <c r="I90" s="3004">
        <f>H90*1.5</f>
        <v>204000</v>
      </c>
      <c r="J90" s="3004">
        <f>H90*1.7</f>
        <v>231200</v>
      </c>
    </row>
    <row r="91" spans="1:11" ht="15" thickBot="1">
      <c r="A91" s="2983">
        <v>2</v>
      </c>
      <c r="B91" s="2984">
        <v>2</v>
      </c>
      <c r="C91" s="2984">
        <v>43.42</v>
      </c>
      <c r="D91" s="2985">
        <v>9.6310000000000002</v>
      </c>
      <c r="E91" s="2982">
        <f>$E$90*F91</f>
        <v>135000</v>
      </c>
      <c r="F91" s="2982">
        <v>1</v>
      </c>
      <c r="H91" s="2982">
        <f>K91-I91-J91</f>
        <v>210</v>
      </c>
      <c r="I91" s="2982">
        <v>10</v>
      </c>
      <c r="J91" s="2982">
        <v>25</v>
      </c>
      <c r="K91" s="2982">
        <v>245</v>
      </c>
    </row>
    <row r="92" spans="1:11" ht="15" thickBot="1">
      <c r="A92" s="2983">
        <v>3</v>
      </c>
      <c r="B92" s="2984">
        <v>3</v>
      </c>
      <c r="C92" s="2984">
        <v>44.68</v>
      </c>
      <c r="D92" s="2985">
        <v>9.9109999999999996</v>
      </c>
      <c r="E92" s="2982">
        <f t="shared" ref="E92:E155" si="0">$E$90*F92</f>
        <v>135000</v>
      </c>
      <c r="F92" s="2982">
        <v>1</v>
      </c>
      <c r="H92" s="2982">
        <f>H91</f>
        <v>210</v>
      </c>
      <c r="I92" s="2982">
        <f>I91*1.5</f>
        <v>15</v>
      </c>
      <c r="J92" s="2982">
        <f>J91*2</f>
        <v>50</v>
      </c>
      <c r="K92" s="2982">
        <f>SUM(H92:J92)</f>
        <v>275</v>
      </c>
    </row>
    <row r="93" spans="1:11" ht="15" thickBot="1">
      <c r="A93" s="2983">
        <v>4</v>
      </c>
      <c r="B93" s="2984">
        <v>4</v>
      </c>
      <c r="C93" s="2984">
        <v>44.68</v>
      </c>
      <c r="D93" s="2985">
        <v>9.9109999999999996</v>
      </c>
      <c r="E93" s="2982">
        <f t="shared" si="0"/>
        <v>135000</v>
      </c>
      <c r="F93" s="2982">
        <v>1</v>
      </c>
    </row>
    <row r="94" spans="1:11" ht="15" thickBot="1">
      <c r="A94" s="2983">
        <v>5</v>
      </c>
      <c r="B94" s="2984">
        <v>5</v>
      </c>
      <c r="C94" s="2984">
        <v>44.68</v>
      </c>
      <c r="D94" s="2985">
        <v>9.9109999999999996</v>
      </c>
      <c r="E94" s="2982">
        <f t="shared" si="0"/>
        <v>135000</v>
      </c>
      <c r="F94" s="2982">
        <v>1</v>
      </c>
    </row>
    <row r="95" spans="1:11" ht="15" thickBot="1">
      <c r="A95" s="2983">
        <v>6</v>
      </c>
      <c r="B95" s="2984">
        <v>6</v>
      </c>
      <c r="C95" s="2984">
        <v>44.68</v>
      </c>
      <c r="D95" s="2985">
        <v>9.9109999999999996</v>
      </c>
      <c r="E95" s="2982">
        <f t="shared" si="0"/>
        <v>135000</v>
      </c>
      <c r="F95" s="2982">
        <v>1</v>
      </c>
    </row>
    <row r="96" spans="1:11" ht="15" thickBot="1">
      <c r="A96" s="2983">
        <v>7</v>
      </c>
      <c r="B96" s="2984">
        <v>7</v>
      </c>
      <c r="C96" s="2984">
        <v>44.68</v>
      </c>
      <c r="D96" s="2985">
        <v>9.9109999999999996</v>
      </c>
      <c r="E96" s="2982">
        <f t="shared" si="0"/>
        <v>135000</v>
      </c>
      <c r="F96" s="2982">
        <v>1</v>
      </c>
    </row>
    <row r="97" spans="1:6" ht="15" thickBot="1">
      <c r="A97" s="2983">
        <v>8</v>
      </c>
      <c r="B97" s="2984">
        <v>8</v>
      </c>
      <c r="C97" s="2984">
        <v>44.68</v>
      </c>
      <c r="D97" s="2985">
        <v>9.9109999999999996</v>
      </c>
      <c r="E97" s="2982">
        <f t="shared" si="0"/>
        <v>135000</v>
      </c>
      <c r="F97" s="2982">
        <v>1</v>
      </c>
    </row>
    <row r="98" spans="1:6" ht="15" thickBot="1">
      <c r="A98" s="2983">
        <v>9</v>
      </c>
      <c r="B98" s="2984">
        <v>9</v>
      </c>
      <c r="C98" s="2984">
        <v>44.68</v>
      </c>
      <c r="D98" s="2985">
        <v>9.9109999999999996</v>
      </c>
      <c r="E98" s="2982">
        <f t="shared" si="0"/>
        <v>135000</v>
      </c>
      <c r="F98" s="2982">
        <v>1</v>
      </c>
    </row>
    <row r="99" spans="1:6" ht="15" thickBot="1">
      <c r="A99" s="2983">
        <v>10</v>
      </c>
      <c r="B99" s="2984">
        <v>10</v>
      </c>
      <c r="C99" s="2984">
        <v>44.68</v>
      </c>
      <c r="D99" s="2985">
        <v>9.9109999999999996</v>
      </c>
      <c r="E99" s="2982">
        <f t="shared" si="0"/>
        <v>135000</v>
      </c>
      <c r="F99" s="2982">
        <v>1</v>
      </c>
    </row>
    <row r="100" spans="1:6" ht="15" thickBot="1">
      <c r="A100" s="2983">
        <v>11</v>
      </c>
      <c r="B100" s="2984">
        <v>11</v>
      </c>
      <c r="C100" s="2984">
        <v>87.58</v>
      </c>
      <c r="D100" s="2985">
        <v>19.427</v>
      </c>
      <c r="E100" s="2982">
        <f t="shared" si="0"/>
        <v>229500</v>
      </c>
      <c r="F100" s="2982">
        <v>1.7</v>
      </c>
    </row>
    <row r="101" spans="1:6" ht="15" thickBot="1">
      <c r="A101" s="2983">
        <v>12</v>
      </c>
      <c r="B101" s="2984">
        <v>12</v>
      </c>
      <c r="C101" s="2984">
        <v>87.58</v>
      </c>
      <c r="D101" s="2985">
        <v>19.427</v>
      </c>
      <c r="E101" s="2982">
        <f t="shared" si="0"/>
        <v>229500</v>
      </c>
      <c r="F101" s="2982">
        <f>F100</f>
        <v>1.7</v>
      </c>
    </row>
    <row r="102" spans="1:6" ht="15" thickBot="1">
      <c r="A102" s="2983">
        <v>13</v>
      </c>
      <c r="B102" s="2984">
        <v>13</v>
      </c>
      <c r="C102" s="2984">
        <v>87.58</v>
      </c>
      <c r="D102" s="2985">
        <v>19.427</v>
      </c>
      <c r="E102" s="2982">
        <f t="shared" si="0"/>
        <v>229500</v>
      </c>
      <c r="F102" s="2982">
        <f>F100</f>
        <v>1.7</v>
      </c>
    </row>
    <row r="103" spans="1:6" ht="15" thickBot="1">
      <c r="A103" s="2983">
        <v>14</v>
      </c>
      <c r="B103" s="2984">
        <v>14</v>
      </c>
      <c r="C103" s="2984">
        <v>45.58</v>
      </c>
      <c r="D103" s="2985">
        <v>10.11</v>
      </c>
      <c r="E103" s="2982">
        <f t="shared" si="0"/>
        <v>135000</v>
      </c>
      <c r="F103" s="2982">
        <v>1</v>
      </c>
    </row>
    <row r="104" spans="1:6" ht="15" thickBot="1">
      <c r="A104" s="2983">
        <v>15</v>
      </c>
      <c r="B104" s="2984">
        <v>15</v>
      </c>
      <c r="C104" s="2984">
        <v>44.68</v>
      </c>
      <c r="D104" s="2985">
        <v>9.9109999999999996</v>
      </c>
      <c r="E104" s="2982">
        <f t="shared" si="0"/>
        <v>135000</v>
      </c>
      <c r="F104" s="2982">
        <v>1</v>
      </c>
    </row>
    <row r="105" spans="1:6" ht="15" thickBot="1">
      <c r="A105" s="2983">
        <v>16</v>
      </c>
      <c r="B105" s="2984">
        <v>16</v>
      </c>
      <c r="C105" s="2984">
        <v>44.68</v>
      </c>
      <c r="D105" s="2985">
        <v>9.9109999999999996</v>
      </c>
      <c r="E105" s="2982">
        <f t="shared" si="0"/>
        <v>135000</v>
      </c>
      <c r="F105" s="2982">
        <v>1</v>
      </c>
    </row>
    <row r="106" spans="1:6" ht="15" thickBot="1">
      <c r="A106" s="2983">
        <v>17</v>
      </c>
      <c r="B106" s="2984">
        <v>17</v>
      </c>
      <c r="C106" s="2984">
        <v>44.68</v>
      </c>
      <c r="D106" s="2985">
        <v>9.9109999999999996</v>
      </c>
      <c r="E106" s="2982">
        <f t="shared" si="0"/>
        <v>135000</v>
      </c>
      <c r="F106" s="2982">
        <v>1</v>
      </c>
    </row>
    <row r="107" spans="1:6" ht="15" thickBot="1">
      <c r="A107" s="2983">
        <v>18</v>
      </c>
      <c r="B107" s="2984">
        <v>18</v>
      </c>
      <c r="C107" s="2984">
        <v>44.68</v>
      </c>
      <c r="D107" s="2985">
        <v>9.9109999999999996</v>
      </c>
      <c r="E107" s="2982">
        <f t="shared" si="0"/>
        <v>135000</v>
      </c>
      <c r="F107" s="2982">
        <v>1</v>
      </c>
    </row>
    <row r="108" spans="1:6" ht="15" thickBot="1">
      <c r="A108" s="2983">
        <v>19</v>
      </c>
      <c r="B108" s="2984">
        <v>19</v>
      </c>
      <c r="C108" s="2984">
        <v>47.48</v>
      </c>
      <c r="D108" s="2985">
        <v>10.532</v>
      </c>
      <c r="E108" s="2982">
        <f t="shared" si="0"/>
        <v>135000</v>
      </c>
      <c r="F108" s="2982">
        <v>1</v>
      </c>
    </row>
    <row r="109" spans="1:6" ht="15" thickBot="1">
      <c r="A109" s="2983">
        <v>20</v>
      </c>
      <c r="B109" s="2984">
        <v>20</v>
      </c>
      <c r="C109" s="2984">
        <v>43.79</v>
      </c>
      <c r="D109" s="2985">
        <v>9.7129999999999992</v>
      </c>
      <c r="E109" s="2982">
        <f t="shared" si="0"/>
        <v>135000</v>
      </c>
      <c r="F109" s="2982">
        <v>1</v>
      </c>
    </row>
    <row r="110" spans="1:6" ht="15" thickBot="1">
      <c r="A110" s="2983">
        <v>21</v>
      </c>
      <c r="B110" s="2984">
        <v>21</v>
      </c>
      <c r="C110" s="2984">
        <v>43.79</v>
      </c>
      <c r="D110" s="2985">
        <v>9.7129999999999992</v>
      </c>
      <c r="E110" s="2982">
        <f t="shared" si="0"/>
        <v>135000</v>
      </c>
      <c r="F110" s="2982">
        <v>1</v>
      </c>
    </row>
    <row r="111" spans="1:6" ht="15" thickBot="1">
      <c r="A111" s="2983">
        <v>22</v>
      </c>
      <c r="B111" s="2984">
        <v>22</v>
      </c>
      <c r="C111" s="2984">
        <v>43.79</v>
      </c>
      <c r="D111" s="2985">
        <v>9.7129999999999992</v>
      </c>
      <c r="E111" s="2982">
        <f t="shared" si="0"/>
        <v>135000</v>
      </c>
      <c r="F111" s="2982">
        <v>1</v>
      </c>
    </row>
    <row r="112" spans="1:6" ht="15" thickBot="1">
      <c r="A112" s="2983">
        <v>23</v>
      </c>
      <c r="B112" s="2984">
        <v>23</v>
      </c>
      <c r="C112" s="2984">
        <v>43.79</v>
      </c>
      <c r="D112" s="2985">
        <v>9.7129999999999992</v>
      </c>
      <c r="E112" s="2982">
        <f t="shared" si="0"/>
        <v>135000</v>
      </c>
      <c r="F112" s="2982">
        <v>1</v>
      </c>
    </row>
    <row r="113" spans="1:6" ht="15" thickBot="1">
      <c r="A113" s="2983">
        <v>24</v>
      </c>
      <c r="B113" s="2984">
        <v>24</v>
      </c>
      <c r="C113" s="2984">
        <v>43.79</v>
      </c>
      <c r="D113" s="2985">
        <v>9.7129999999999992</v>
      </c>
      <c r="E113" s="2982">
        <f t="shared" si="0"/>
        <v>135000</v>
      </c>
      <c r="F113" s="2982">
        <v>1</v>
      </c>
    </row>
    <row r="114" spans="1:6" ht="15" thickBot="1">
      <c r="A114" s="2983">
        <v>25</v>
      </c>
      <c r="B114" s="2984">
        <v>25</v>
      </c>
      <c r="C114" s="2984">
        <v>43.79</v>
      </c>
      <c r="D114" s="2985">
        <v>9.7129999999999992</v>
      </c>
      <c r="E114" s="2982">
        <f t="shared" si="0"/>
        <v>135000</v>
      </c>
      <c r="F114" s="2982">
        <v>1</v>
      </c>
    </row>
    <row r="115" spans="1:6" ht="15" thickBot="1">
      <c r="A115" s="2983">
        <v>26</v>
      </c>
      <c r="B115" s="2984">
        <v>26</v>
      </c>
      <c r="C115" s="2984">
        <v>43.79</v>
      </c>
      <c r="D115" s="2985">
        <v>9.7129999999999992</v>
      </c>
      <c r="E115" s="2982">
        <f t="shared" si="0"/>
        <v>135000</v>
      </c>
      <c r="F115" s="2982">
        <v>1</v>
      </c>
    </row>
    <row r="116" spans="1:6" ht="15" thickBot="1">
      <c r="A116" s="2983">
        <v>27</v>
      </c>
      <c r="B116" s="2984">
        <v>27</v>
      </c>
      <c r="C116" s="2984">
        <v>43.79</v>
      </c>
      <c r="D116" s="2985">
        <v>9.7129999999999992</v>
      </c>
      <c r="E116" s="2982">
        <f t="shared" si="0"/>
        <v>135000</v>
      </c>
      <c r="F116" s="2982">
        <v>1</v>
      </c>
    </row>
    <row r="117" spans="1:6" ht="15" thickBot="1">
      <c r="A117" s="2983">
        <v>28</v>
      </c>
      <c r="B117" s="2984">
        <v>28</v>
      </c>
      <c r="C117" s="2984">
        <v>43.79</v>
      </c>
      <c r="D117" s="2985">
        <v>9.7129999999999992</v>
      </c>
      <c r="E117" s="2982">
        <f t="shared" si="0"/>
        <v>135000</v>
      </c>
      <c r="F117" s="2982">
        <v>1</v>
      </c>
    </row>
    <row r="118" spans="1:6" ht="15" thickBot="1">
      <c r="A118" s="2983">
        <v>29</v>
      </c>
      <c r="B118" s="2984">
        <v>29</v>
      </c>
      <c r="C118" s="2984">
        <v>43.79</v>
      </c>
      <c r="D118" s="2985">
        <v>9.7129999999999992</v>
      </c>
      <c r="E118" s="2982">
        <f t="shared" si="0"/>
        <v>135000</v>
      </c>
      <c r="F118" s="2982">
        <v>1</v>
      </c>
    </row>
    <row r="119" spans="1:6" ht="15" thickBot="1">
      <c r="A119" s="2983">
        <v>30</v>
      </c>
      <c r="B119" s="2984">
        <v>30</v>
      </c>
      <c r="C119" s="2984">
        <v>43.79</v>
      </c>
      <c r="D119" s="2985">
        <v>9.7129999999999992</v>
      </c>
      <c r="E119" s="2982">
        <f t="shared" si="0"/>
        <v>135000</v>
      </c>
      <c r="F119" s="2982">
        <v>1</v>
      </c>
    </row>
    <row r="120" spans="1:6" ht="15" thickBot="1">
      <c r="A120" s="2983">
        <v>31</v>
      </c>
      <c r="B120" s="2984">
        <v>31</v>
      </c>
      <c r="C120" s="2984">
        <v>43.79</v>
      </c>
      <c r="D120" s="2985">
        <v>9.7129999999999992</v>
      </c>
      <c r="E120" s="2982">
        <f t="shared" si="0"/>
        <v>135000</v>
      </c>
      <c r="F120" s="2982">
        <v>1</v>
      </c>
    </row>
    <row r="121" spans="1:6" ht="15" thickBot="1">
      <c r="A121" s="2983">
        <v>32</v>
      </c>
      <c r="B121" s="2984">
        <v>32</v>
      </c>
      <c r="C121" s="2984">
        <v>43.79</v>
      </c>
      <c r="D121" s="2985">
        <v>9.7129999999999992</v>
      </c>
      <c r="E121" s="2982">
        <f t="shared" si="0"/>
        <v>135000</v>
      </c>
      <c r="F121" s="2982">
        <v>1</v>
      </c>
    </row>
    <row r="122" spans="1:6" ht="15" thickBot="1">
      <c r="A122" s="2983">
        <v>33</v>
      </c>
      <c r="B122" s="2984">
        <v>33</v>
      </c>
      <c r="C122" s="2984">
        <v>43.79</v>
      </c>
      <c r="D122" s="2985">
        <v>9.7129999999999992</v>
      </c>
      <c r="E122" s="2982">
        <f t="shared" si="0"/>
        <v>135000</v>
      </c>
      <c r="F122" s="2982">
        <v>1</v>
      </c>
    </row>
    <row r="123" spans="1:6" ht="15" thickBot="1">
      <c r="A123" s="2983">
        <v>34</v>
      </c>
      <c r="B123" s="2984">
        <v>34</v>
      </c>
      <c r="C123" s="2984">
        <v>43.79</v>
      </c>
      <c r="D123" s="2985">
        <v>9.7129999999999992</v>
      </c>
      <c r="E123" s="2982">
        <f t="shared" si="0"/>
        <v>135000</v>
      </c>
      <c r="F123" s="2982">
        <v>1</v>
      </c>
    </row>
    <row r="124" spans="1:6" ht="15" thickBot="1">
      <c r="A124" s="2983">
        <v>35</v>
      </c>
      <c r="B124" s="2984">
        <v>35</v>
      </c>
      <c r="C124" s="2984">
        <v>43.79</v>
      </c>
      <c r="D124" s="2985">
        <v>9.7129999999999992</v>
      </c>
      <c r="E124" s="2982">
        <f t="shared" si="0"/>
        <v>135000</v>
      </c>
      <c r="F124" s="2982">
        <v>1</v>
      </c>
    </row>
    <row r="125" spans="1:6" ht="15" thickBot="1">
      <c r="A125" s="2983">
        <v>36</v>
      </c>
      <c r="B125" s="2984">
        <v>36</v>
      </c>
      <c r="C125" s="2984">
        <v>43.79</v>
      </c>
      <c r="D125" s="2985">
        <v>9.7129999999999992</v>
      </c>
      <c r="E125" s="2982">
        <f t="shared" si="0"/>
        <v>135000</v>
      </c>
      <c r="F125" s="2982">
        <v>1</v>
      </c>
    </row>
    <row r="126" spans="1:6" ht="15" thickBot="1">
      <c r="A126" s="2983">
        <v>37</v>
      </c>
      <c r="B126" s="2984">
        <v>37</v>
      </c>
      <c r="C126" s="2984">
        <v>43.79</v>
      </c>
      <c r="D126" s="2985">
        <v>9.7129999999999992</v>
      </c>
      <c r="E126" s="2982">
        <f t="shared" si="0"/>
        <v>135000</v>
      </c>
      <c r="F126" s="2982">
        <v>1</v>
      </c>
    </row>
    <row r="127" spans="1:6" ht="15" thickBot="1">
      <c r="A127" s="2983">
        <v>38</v>
      </c>
      <c r="B127" s="2984">
        <v>38</v>
      </c>
      <c r="C127" s="2984">
        <v>43.79</v>
      </c>
      <c r="D127" s="2985">
        <v>9.7129999999999992</v>
      </c>
      <c r="E127" s="2982">
        <f t="shared" si="0"/>
        <v>135000</v>
      </c>
      <c r="F127" s="2982">
        <v>1</v>
      </c>
    </row>
    <row r="128" spans="1:6" ht="15" thickBot="1">
      <c r="A128" s="2983">
        <v>39</v>
      </c>
      <c r="B128" s="2984">
        <v>39</v>
      </c>
      <c r="C128" s="2984">
        <v>43.79</v>
      </c>
      <c r="D128" s="2985">
        <v>9.7129999999999992</v>
      </c>
      <c r="E128" s="2982">
        <f t="shared" si="0"/>
        <v>135000</v>
      </c>
      <c r="F128" s="2982">
        <v>1</v>
      </c>
    </row>
    <row r="129" spans="1:6" ht="15" thickBot="1">
      <c r="A129" s="2983">
        <v>40</v>
      </c>
      <c r="B129" s="2984">
        <v>40</v>
      </c>
      <c r="C129" s="2984">
        <v>43.79</v>
      </c>
      <c r="D129" s="2985">
        <v>9.7129999999999992</v>
      </c>
      <c r="E129" s="2982">
        <f t="shared" si="0"/>
        <v>135000</v>
      </c>
      <c r="F129" s="2982">
        <v>1</v>
      </c>
    </row>
    <row r="130" spans="1:6" ht="15" thickBot="1">
      <c r="A130" s="2983">
        <v>41</v>
      </c>
      <c r="B130" s="2984">
        <v>41</v>
      </c>
      <c r="C130" s="2984">
        <v>43.79</v>
      </c>
      <c r="D130" s="2985">
        <v>9.7129999999999992</v>
      </c>
      <c r="E130" s="2982">
        <f t="shared" si="0"/>
        <v>135000</v>
      </c>
      <c r="F130" s="2982">
        <v>1</v>
      </c>
    </row>
    <row r="131" spans="1:6" ht="15" thickBot="1">
      <c r="A131" s="2983">
        <v>42</v>
      </c>
      <c r="B131" s="2984">
        <v>42</v>
      </c>
      <c r="C131" s="2984">
        <v>43.79</v>
      </c>
      <c r="D131" s="2985">
        <v>9.7129999999999992</v>
      </c>
      <c r="E131" s="2982">
        <f t="shared" si="0"/>
        <v>135000</v>
      </c>
      <c r="F131" s="2982">
        <v>1</v>
      </c>
    </row>
    <row r="132" spans="1:6" ht="15" thickBot="1">
      <c r="A132" s="2983">
        <v>43</v>
      </c>
      <c r="B132" s="2984">
        <v>43</v>
      </c>
      <c r="C132" s="2984">
        <v>43.79</v>
      </c>
      <c r="D132" s="2985">
        <v>9.7129999999999992</v>
      </c>
      <c r="E132" s="2982">
        <f t="shared" si="0"/>
        <v>135000</v>
      </c>
      <c r="F132" s="2982">
        <v>1</v>
      </c>
    </row>
    <row r="133" spans="1:6" ht="15" thickBot="1">
      <c r="A133" s="2983">
        <v>44</v>
      </c>
      <c r="B133" s="2984">
        <v>44</v>
      </c>
      <c r="C133" s="2984">
        <v>43.79</v>
      </c>
      <c r="D133" s="2985">
        <v>9.7129999999999992</v>
      </c>
      <c r="E133" s="2982">
        <f t="shared" si="0"/>
        <v>135000</v>
      </c>
      <c r="F133" s="2982">
        <v>1</v>
      </c>
    </row>
    <row r="134" spans="1:6" ht="15" thickBot="1">
      <c r="A134" s="2983">
        <v>45</v>
      </c>
      <c r="B134" s="2984">
        <v>45</v>
      </c>
      <c r="C134" s="2984">
        <v>44.68</v>
      </c>
      <c r="D134" s="2985">
        <v>9.9109999999999996</v>
      </c>
      <c r="E134" s="2982">
        <f t="shared" si="0"/>
        <v>135000</v>
      </c>
      <c r="F134" s="2982">
        <v>1</v>
      </c>
    </row>
    <row r="135" spans="1:6" ht="15" thickBot="1">
      <c r="A135" s="2983">
        <v>46</v>
      </c>
      <c r="B135" s="2984">
        <v>46</v>
      </c>
      <c r="C135" s="2984">
        <v>44.68</v>
      </c>
      <c r="D135" s="2985">
        <v>9.9109999999999996</v>
      </c>
      <c r="E135" s="2982">
        <f t="shared" si="0"/>
        <v>135000</v>
      </c>
      <c r="F135" s="2982">
        <v>1</v>
      </c>
    </row>
    <row r="136" spans="1:6" ht="15" thickBot="1">
      <c r="A136" s="2983">
        <v>47</v>
      </c>
      <c r="B136" s="2984">
        <v>47</v>
      </c>
      <c r="C136" s="2984">
        <v>43.75</v>
      </c>
      <c r="D136" s="2985">
        <v>9.7040000000000006</v>
      </c>
      <c r="E136" s="2982">
        <f t="shared" si="0"/>
        <v>135000</v>
      </c>
      <c r="F136" s="2982">
        <v>1</v>
      </c>
    </row>
    <row r="137" spans="1:6" ht="15" thickBot="1">
      <c r="A137" s="2983">
        <v>48</v>
      </c>
      <c r="B137" s="2984">
        <v>48</v>
      </c>
      <c r="C137" s="2984">
        <v>43.75</v>
      </c>
      <c r="D137" s="2985">
        <v>9.7040000000000006</v>
      </c>
      <c r="E137" s="2982">
        <f t="shared" si="0"/>
        <v>135000</v>
      </c>
      <c r="F137" s="2982">
        <v>1</v>
      </c>
    </row>
    <row r="138" spans="1:6" ht="15" thickBot="1">
      <c r="A138" s="2983">
        <v>49</v>
      </c>
      <c r="B138" s="2984">
        <v>49</v>
      </c>
      <c r="C138" s="2984">
        <v>43.75</v>
      </c>
      <c r="D138" s="2985">
        <v>9.7040000000000006</v>
      </c>
      <c r="E138" s="2982">
        <f t="shared" si="0"/>
        <v>135000</v>
      </c>
      <c r="F138" s="2982">
        <v>1</v>
      </c>
    </row>
    <row r="139" spans="1:6" ht="15" thickBot="1">
      <c r="A139" s="2983">
        <v>50</v>
      </c>
      <c r="B139" s="2984">
        <v>50</v>
      </c>
      <c r="C139" s="2984">
        <v>44.68</v>
      </c>
      <c r="D139" s="2985">
        <v>9.9109999999999996</v>
      </c>
      <c r="E139" s="2982">
        <f t="shared" si="0"/>
        <v>135000</v>
      </c>
      <c r="F139" s="2982">
        <v>1</v>
      </c>
    </row>
    <row r="140" spans="1:6" ht="15" thickBot="1">
      <c r="A140" s="2983">
        <v>51</v>
      </c>
      <c r="B140" s="2984">
        <v>51</v>
      </c>
      <c r="C140" s="2984">
        <v>89.37</v>
      </c>
      <c r="D140" s="2985">
        <v>19.824000000000002</v>
      </c>
      <c r="E140" s="2982">
        <f t="shared" si="0"/>
        <v>229500</v>
      </c>
      <c r="F140" s="2982">
        <f>F100</f>
        <v>1.7</v>
      </c>
    </row>
    <row r="141" spans="1:6" ht="15" thickBot="1">
      <c r="A141" s="2983">
        <v>52</v>
      </c>
      <c r="B141" s="2984">
        <v>52</v>
      </c>
      <c r="C141" s="2984">
        <v>89.37</v>
      </c>
      <c r="D141" s="2985">
        <v>19.824000000000002</v>
      </c>
      <c r="E141" s="2982">
        <f t="shared" si="0"/>
        <v>229500</v>
      </c>
      <c r="F141" s="2982">
        <f>F100</f>
        <v>1.7</v>
      </c>
    </row>
    <row r="142" spans="1:6" ht="15" thickBot="1">
      <c r="A142" s="2983">
        <v>53</v>
      </c>
      <c r="B142" s="2984">
        <v>53</v>
      </c>
      <c r="C142" s="2984">
        <v>43.75</v>
      </c>
      <c r="D142" s="2985">
        <v>9.7040000000000006</v>
      </c>
      <c r="E142" s="2982">
        <f t="shared" si="0"/>
        <v>135000</v>
      </c>
      <c r="F142" s="2982">
        <v>1</v>
      </c>
    </row>
    <row r="143" spans="1:6" ht="15" thickBot="1">
      <c r="A143" s="2983">
        <v>54</v>
      </c>
      <c r="B143" s="2984">
        <v>54</v>
      </c>
      <c r="C143" s="2984">
        <v>43.75</v>
      </c>
      <c r="D143" s="2985">
        <v>9.7040000000000006</v>
      </c>
      <c r="E143" s="2982">
        <f t="shared" si="0"/>
        <v>135000</v>
      </c>
      <c r="F143" s="2982">
        <v>1</v>
      </c>
    </row>
    <row r="144" spans="1:6" ht="15" thickBot="1">
      <c r="A144" s="2983">
        <v>55</v>
      </c>
      <c r="B144" s="2984">
        <v>55</v>
      </c>
      <c r="C144" s="2984">
        <v>43.75</v>
      </c>
      <c r="D144" s="2985">
        <v>9.7040000000000006</v>
      </c>
      <c r="E144" s="2982">
        <f t="shared" si="0"/>
        <v>135000</v>
      </c>
      <c r="F144" s="2982">
        <v>1</v>
      </c>
    </row>
    <row r="145" spans="1:6" ht="15" thickBot="1">
      <c r="A145" s="2983">
        <v>56</v>
      </c>
      <c r="B145" s="2984">
        <v>56</v>
      </c>
      <c r="C145" s="2984">
        <v>44.68</v>
      </c>
      <c r="D145" s="2985">
        <v>9.9109999999999996</v>
      </c>
      <c r="E145" s="2982">
        <f t="shared" si="0"/>
        <v>135000</v>
      </c>
      <c r="F145" s="2982">
        <v>1</v>
      </c>
    </row>
    <row r="146" spans="1:6" ht="15" thickBot="1">
      <c r="A146" s="2983">
        <v>57</v>
      </c>
      <c r="B146" s="2984">
        <v>57</v>
      </c>
      <c r="C146" s="2984">
        <v>44.68</v>
      </c>
      <c r="D146" s="2985">
        <v>9.9109999999999996</v>
      </c>
      <c r="E146" s="2982">
        <f t="shared" si="0"/>
        <v>135000</v>
      </c>
      <c r="F146" s="2982">
        <v>1</v>
      </c>
    </row>
    <row r="147" spans="1:6" ht="15" thickBot="1">
      <c r="A147" s="2983">
        <v>58</v>
      </c>
      <c r="B147" s="2984">
        <v>58</v>
      </c>
      <c r="C147" s="2984">
        <v>44.68</v>
      </c>
      <c r="D147" s="2985">
        <v>9.9109999999999996</v>
      </c>
      <c r="E147" s="2982">
        <f t="shared" si="0"/>
        <v>135000</v>
      </c>
      <c r="F147" s="2982">
        <v>1</v>
      </c>
    </row>
    <row r="148" spans="1:6" ht="15" thickBot="1">
      <c r="A148" s="2983">
        <v>59</v>
      </c>
      <c r="B148" s="2984">
        <v>59</v>
      </c>
      <c r="C148" s="2984">
        <v>89.37</v>
      </c>
      <c r="D148" s="2985">
        <v>19.824000000000002</v>
      </c>
      <c r="E148" s="2982">
        <f t="shared" si="0"/>
        <v>229500</v>
      </c>
      <c r="F148" s="2982">
        <f>F100</f>
        <v>1.7</v>
      </c>
    </row>
    <row r="149" spans="1:6" ht="15" thickBot="1">
      <c r="A149" s="2983">
        <v>60</v>
      </c>
      <c r="B149" s="2984">
        <v>60</v>
      </c>
      <c r="C149" s="2984">
        <v>89.37</v>
      </c>
      <c r="D149" s="2985">
        <v>19.824000000000002</v>
      </c>
      <c r="E149" s="2982">
        <f t="shared" si="0"/>
        <v>229500</v>
      </c>
      <c r="F149" s="2982">
        <f>F100</f>
        <v>1.7</v>
      </c>
    </row>
    <row r="150" spans="1:6" ht="15" thickBot="1">
      <c r="A150" s="2983">
        <v>61</v>
      </c>
      <c r="B150" s="2984">
        <v>61</v>
      </c>
      <c r="C150" s="2984">
        <v>44.68</v>
      </c>
      <c r="D150" s="2985">
        <v>9.9109999999999996</v>
      </c>
      <c r="E150" s="2982">
        <f t="shared" si="0"/>
        <v>135000</v>
      </c>
      <c r="F150" s="2982">
        <v>1</v>
      </c>
    </row>
    <row r="151" spans="1:6" ht="15" thickBot="1">
      <c r="A151" s="2983">
        <v>62</v>
      </c>
      <c r="B151" s="2984">
        <v>62</v>
      </c>
      <c r="C151" s="2984">
        <v>44.68</v>
      </c>
      <c r="D151" s="2985">
        <v>9.9109999999999996</v>
      </c>
      <c r="E151" s="2982">
        <f t="shared" si="0"/>
        <v>135000</v>
      </c>
      <c r="F151" s="2982">
        <v>1</v>
      </c>
    </row>
    <row r="152" spans="1:6" ht="15" thickBot="1">
      <c r="A152" s="2983">
        <v>63</v>
      </c>
      <c r="B152" s="2984">
        <v>63</v>
      </c>
      <c r="C152" s="2984">
        <v>44.68</v>
      </c>
      <c r="D152" s="2985">
        <v>9.9109999999999996</v>
      </c>
      <c r="E152" s="2982">
        <f t="shared" si="0"/>
        <v>135000</v>
      </c>
      <c r="F152" s="2982">
        <v>1</v>
      </c>
    </row>
    <row r="153" spans="1:6" ht="15" thickBot="1">
      <c r="A153" s="2983">
        <v>64</v>
      </c>
      <c r="B153" s="2984">
        <v>64</v>
      </c>
      <c r="C153" s="2984">
        <v>89.37</v>
      </c>
      <c r="D153" s="2985">
        <v>19.824000000000002</v>
      </c>
      <c r="E153" s="2982">
        <f t="shared" si="0"/>
        <v>229500</v>
      </c>
      <c r="F153" s="2982">
        <f>F149</f>
        <v>1.7</v>
      </c>
    </row>
    <row r="154" spans="1:6" ht="15" thickBot="1">
      <c r="A154" s="2983">
        <v>65</v>
      </c>
      <c r="B154" s="2984">
        <v>65</v>
      </c>
      <c r="C154" s="2984">
        <v>44.68</v>
      </c>
      <c r="D154" s="2985">
        <v>9.9109999999999996</v>
      </c>
      <c r="E154" s="2982">
        <f t="shared" si="0"/>
        <v>135000</v>
      </c>
      <c r="F154" s="2982">
        <v>1</v>
      </c>
    </row>
    <row r="155" spans="1:6" ht="15" thickBot="1">
      <c r="A155" s="2983">
        <v>66</v>
      </c>
      <c r="B155" s="2984">
        <v>66</v>
      </c>
      <c r="C155" s="2984">
        <v>89.37</v>
      </c>
      <c r="D155" s="2985">
        <v>19.824000000000002</v>
      </c>
      <c r="E155" s="2982">
        <f t="shared" si="0"/>
        <v>229500</v>
      </c>
      <c r="F155" s="2982">
        <f>F153</f>
        <v>1.7</v>
      </c>
    </row>
    <row r="156" spans="1:6" ht="15" thickBot="1">
      <c r="A156" s="2983">
        <v>67</v>
      </c>
      <c r="B156" s="2984">
        <v>67</v>
      </c>
      <c r="C156" s="2984">
        <v>89.37</v>
      </c>
      <c r="D156" s="2985">
        <v>19.824000000000002</v>
      </c>
      <c r="E156" s="2982">
        <f t="shared" ref="E156:E219" si="1">$E$90*F156</f>
        <v>229500</v>
      </c>
      <c r="F156" s="2982">
        <f>F155</f>
        <v>1.7</v>
      </c>
    </row>
    <row r="157" spans="1:6" ht="15" thickBot="1">
      <c r="A157" s="2983">
        <v>68</v>
      </c>
      <c r="B157" s="2984">
        <v>68</v>
      </c>
      <c r="C157" s="2984">
        <v>44.68</v>
      </c>
      <c r="D157" s="2985">
        <v>9.9109999999999996</v>
      </c>
      <c r="E157" s="2982">
        <f t="shared" si="1"/>
        <v>135000</v>
      </c>
      <c r="F157" s="2982">
        <v>1</v>
      </c>
    </row>
    <row r="158" spans="1:6" ht="15" thickBot="1">
      <c r="A158" s="2983">
        <v>69</v>
      </c>
      <c r="B158" s="2984">
        <v>69</v>
      </c>
      <c r="C158" s="2984">
        <v>44.68</v>
      </c>
      <c r="D158" s="2985">
        <v>9.9109999999999996</v>
      </c>
      <c r="E158" s="2982">
        <f t="shared" si="1"/>
        <v>135000</v>
      </c>
      <c r="F158" s="2982">
        <v>1</v>
      </c>
    </row>
    <row r="159" spans="1:6" ht="15" thickBot="1">
      <c r="A159" s="2983">
        <v>70</v>
      </c>
      <c r="B159" s="2984">
        <v>70</v>
      </c>
      <c r="C159" s="2984">
        <v>44.68</v>
      </c>
      <c r="D159" s="2985">
        <v>9.9109999999999996</v>
      </c>
      <c r="E159" s="2982">
        <f t="shared" si="1"/>
        <v>135000</v>
      </c>
      <c r="F159" s="2982">
        <v>1</v>
      </c>
    </row>
    <row r="160" spans="1:6" ht="15" thickBot="1">
      <c r="A160" s="2983">
        <v>71</v>
      </c>
      <c r="B160" s="2984">
        <v>71</v>
      </c>
      <c r="C160" s="2984">
        <v>44.68</v>
      </c>
      <c r="D160" s="2985">
        <v>9.9109999999999996</v>
      </c>
      <c r="E160" s="2982">
        <f t="shared" si="1"/>
        <v>135000</v>
      </c>
      <c r="F160" s="2982">
        <v>1</v>
      </c>
    </row>
    <row r="161" spans="1:6" ht="15" thickBot="1">
      <c r="A161" s="2983">
        <v>72</v>
      </c>
      <c r="B161" s="2984">
        <v>72</v>
      </c>
      <c r="C161" s="2984">
        <v>44.68</v>
      </c>
      <c r="D161" s="2985">
        <v>9.9109999999999996</v>
      </c>
      <c r="E161" s="2982">
        <f t="shared" si="1"/>
        <v>135000</v>
      </c>
      <c r="F161" s="2982">
        <v>1</v>
      </c>
    </row>
    <row r="162" spans="1:6" ht="15" thickBot="1">
      <c r="A162" s="2983">
        <v>73</v>
      </c>
      <c r="B162" s="2984">
        <v>73</v>
      </c>
      <c r="C162" s="2984">
        <v>89.37</v>
      </c>
      <c r="D162" s="2985">
        <v>19.824000000000002</v>
      </c>
      <c r="E162" s="2982">
        <f t="shared" si="1"/>
        <v>229500</v>
      </c>
      <c r="F162" s="2982">
        <f>F156</f>
        <v>1.7</v>
      </c>
    </row>
    <row r="163" spans="1:6" ht="15" thickBot="1">
      <c r="A163" s="2983">
        <v>74</v>
      </c>
      <c r="B163" s="2984">
        <v>74</v>
      </c>
      <c r="C163" s="2984">
        <v>89.37</v>
      </c>
      <c r="D163" s="2985">
        <v>19.824000000000002</v>
      </c>
      <c r="E163" s="2982">
        <f t="shared" si="1"/>
        <v>229500</v>
      </c>
      <c r="F163" s="2982">
        <f>F162</f>
        <v>1.7</v>
      </c>
    </row>
    <row r="164" spans="1:6" ht="15" thickBot="1">
      <c r="A164" s="2983">
        <v>75</v>
      </c>
      <c r="B164" s="2984">
        <v>75</v>
      </c>
      <c r="C164" s="2984">
        <v>44.68</v>
      </c>
      <c r="D164" s="2985">
        <v>9.9109999999999996</v>
      </c>
      <c r="E164" s="2982">
        <f t="shared" si="1"/>
        <v>135000</v>
      </c>
      <c r="F164" s="2982">
        <v>1</v>
      </c>
    </row>
    <row r="165" spans="1:6" ht="15" thickBot="1">
      <c r="A165" s="2983">
        <v>76</v>
      </c>
      <c r="B165" s="2984">
        <v>76</v>
      </c>
      <c r="C165" s="2984">
        <v>88.32</v>
      </c>
      <c r="D165" s="2985">
        <v>19.591000000000001</v>
      </c>
      <c r="E165" s="2982">
        <f t="shared" si="1"/>
        <v>229500</v>
      </c>
      <c r="F165" s="2982">
        <f>F163</f>
        <v>1.7</v>
      </c>
    </row>
    <row r="166" spans="1:6" ht="15" thickBot="1">
      <c r="A166" s="2983">
        <v>77</v>
      </c>
      <c r="B166" s="2984">
        <v>77</v>
      </c>
      <c r="C166" s="2984">
        <v>88.32</v>
      </c>
      <c r="D166" s="2985">
        <v>19.591000000000001</v>
      </c>
      <c r="E166" s="2982">
        <f t="shared" si="1"/>
        <v>229500</v>
      </c>
      <c r="F166" s="2982">
        <f>F165</f>
        <v>1.7</v>
      </c>
    </row>
    <row r="167" spans="1:6" ht="15" thickBot="1">
      <c r="A167" s="2983">
        <v>78</v>
      </c>
      <c r="B167" s="2984">
        <v>78</v>
      </c>
      <c r="C167" s="2984">
        <v>44.68</v>
      </c>
      <c r="D167" s="2985">
        <v>9.9109999999999996</v>
      </c>
      <c r="E167" s="2982">
        <f t="shared" si="1"/>
        <v>135000</v>
      </c>
      <c r="F167" s="2982">
        <v>1</v>
      </c>
    </row>
    <row r="168" spans="1:6" ht="15" thickBot="1">
      <c r="A168" s="2983">
        <v>79</v>
      </c>
      <c r="B168" s="2984">
        <v>79</v>
      </c>
      <c r="C168" s="2984">
        <v>44.68</v>
      </c>
      <c r="D168" s="2985">
        <v>9.9109999999999996</v>
      </c>
      <c r="E168" s="2982">
        <f t="shared" si="1"/>
        <v>135000</v>
      </c>
      <c r="F168" s="2982">
        <v>1</v>
      </c>
    </row>
    <row r="169" spans="1:6" ht="15" thickBot="1">
      <c r="A169" s="2983">
        <v>80</v>
      </c>
      <c r="B169" s="2984">
        <v>80</v>
      </c>
      <c r="C169" s="2984">
        <v>44.68</v>
      </c>
      <c r="D169" s="2985">
        <v>9.9109999999999996</v>
      </c>
      <c r="E169" s="2982">
        <f t="shared" si="1"/>
        <v>135000</v>
      </c>
      <c r="F169" s="2982">
        <v>1</v>
      </c>
    </row>
    <row r="170" spans="1:6" ht="15" thickBot="1">
      <c r="A170" s="2983">
        <v>81</v>
      </c>
      <c r="B170" s="2984">
        <v>81</v>
      </c>
      <c r="C170" s="2984">
        <v>89.37</v>
      </c>
      <c r="D170" s="2985">
        <v>19.824000000000002</v>
      </c>
      <c r="E170" s="2982">
        <f t="shared" si="1"/>
        <v>229500</v>
      </c>
      <c r="F170" s="2982">
        <f>F166</f>
        <v>1.7</v>
      </c>
    </row>
    <row r="171" spans="1:6" ht="15" thickBot="1">
      <c r="A171" s="2983">
        <v>82</v>
      </c>
      <c r="B171" s="2984">
        <v>82</v>
      </c>
      <c r="C171" s="2984">
        <v>44.68</v>
      </c>
      <c r="D171" s="2985">
        <v>9.9109999999999996</v>
      </c>
      <c r="E171" s="2982">
        <f t="shared" si="1"/>
        <v>135000</v>
      </c>
      <c r="F171" s="2982">
        <v>1</v>
      </c>
    </row>
    <row r="172" spans="1:6" ht="15" thickBot="1">
      <c r="A172" s="2983">
        <v>83</v>
      </c>
      <c r="B172" s="2984">
        <v>83</v>
      </c>
      <c r="C172" s="2984">
        <v>44.68</v>
      </c>
      <c r="D172" s="2985">
        <v>9.9109999999999996</v>
      </c>
      <c r="E172" s="2982">
        <f t="shared" si="1"/>
        <v>135000</v>
      </c>
      <c r="F172" s="2982">
        <v>1</v>
      </c>
    </row>
    <row r="173" spans="1:6" ht="15" thickBot="1">
      <c r="A173" s="2983">
        <v>84</v>
      </c>
      <c r="B173" s="2984">
        <v>84</v>
      </c>
      <c r="C173" s="2984">
        <v>44.68</v>
      </c>
      <c r="D173" s="2985">
        <v>9.9109999999999996</v>
      </c>
      <c r="E173" s="2982">
        <f t="shared" si="1"/>
        <v>135000</v>
      </c>
      <c r="F173" s="2982">
        <v>1</v>
      </c>
    </row>
    <row r="174" spans="1:6" ht="15" thickBot="1">
      <c r="A174" s="2983">
        <v>85</v>
      </c>
      <c r="B174" s="2984">
        <v>85</v>
      </c>
      <c r="C174" s="2984">
        <v>45.99</v>
      </c>
      <c r="D174" s="2985">
        <v>10.201000000000001</v>
      </c>
      <c r="E174" s="2982">
        <f t="shared" si="1"/>
        <v>135000</v>
      </c>
      <c r="F174" s="2982">
        <v>1</v>
      </c>
    </row>
    <row r="175" spans="1:6" ht="15" thickBot="1">
      <c r="A175" s="2983">
        <v>86</v>
      </c>
      <c r="B175" s="2984">
        <v>86</v>
      </c>
      <c r="C175" s="2984">
        <v>45.99</v>
      </c>
      <c r="D175" s="2985">
        <v>10.201000000000001</v>
      </c>
      <c r="E175" s="2982">
        <f t="shared" si="1"/>
        <v>135000</v>
      </c>
      <c r="F175" s="2982">
        <v>1</v>
      </c>
    </row>
    <row r="176" spans="1:6" ht="15" thickBot="1">
      <c r="A176" s="2983">
        <v>87</v>
      </c>
      <c r="B176" s="2984">
        <v>87</v>
      </c>
      <c r="C176" s="2984">
        <v>45.99</v>
      </c>
      <c r="D176" s="2985">
        <v>10.201000000000001</v>
      </c>
      <c r="E176" s="2982">
        <f t="shared" si="1"/>
        <v>135000</v>
      </c>
      <c r="F176" s="2982">
        <v>1</v>
      </c>
    </row>
    <row r="177" spans="1:6" ht="15" thickBot="1">
      <c r="A177" s="2983">
        <v>88</v>
      </c>
      <c r="B177" s="2984">
        <v>88</v>
      </c>
      <c r="C177" s="2984">
        <v>45.99</v>
      </c>
      <c r="D177" s="2985">
        <v>10.201000000000001</v>
      </c>
      <c r="E177" s="2982">
        <f t="shared" si="1"/>
        <v>135000</v>
      </c>
      <c r="F177" s="2982">
        <v>1</v>
      </c>
    </row>
    <row r="178" spans="1:6" ht="15" thickBot="1">
      <c r="A178" s="2983">
        <v>89</v>
      </c>
      <c r="B178" s="2984">
        <v>89</v>
      </c>
      <c r="C178" s="2984">
        <v>45.99</v>
      </c>
      <c r="D178" s="2985">
        <v>10.201000000000001</v>
      </c>
      <c r="E178" s="2982">
        <f t="shared" si="1"/>
        <v>135000</v>
      </c>
      <c r="F178" s="2982">
        <v>1</v>
      </c>
    </row>
    <row r="179" spans="1:6" ht="15" thickBot="1">
      <c r="A179" s="2983">
        <v>90</v>
      </c>
      <c r="B179" s="2984">
        <v>90</v>
      </c>
      <c r="C179" s="2984">
        <v>45.99</v>
      </c>
      <c r="D179" s="2985">
        <v>10.201000000000001</v>
      </c>
      <c r="E179" s="2982">
        <f t="shared" si="1"/>
        <v>135000</v>
      </c>
      <c r="F179" s="2982">
        <v>1</v>
      </c>
    </row>
    <row r="180" spans="1:6" ht="15" thickBot="1">
      <c r="A180" s="2983">
        <v>91</v>
      </c>
      <c r="B180" s="2984">
        <v>91</v>
      </c>
      <c r="C180" s="2984">
        <v>45.99</v>
      </c>
      <c r="D180" s="2985">
        <v>10.201000000000001</v>
      </c>
      <c r="E180" s="2982">
        <f t="shared" si="1"/>
        <v>135000</v>
      </c>
      <c r="F180" s="2982">
        <v>1</v>
      </c>
    </row>
    <row r="181" spans="1:6" ht="15" thickBot="1">
      <c r="A181" s="2983">
        <v>92</v>
      </c>
      <c r="B181" s="2984">
        <v>92</v>
      </c>
      <c r="C181" s="2984">
        <v>45.99</v>
      </c>
      <c r="D181" s="2985">
        <v>10.201000000000001</v>
      </c>
      <c r="E181" s="2982">
        <f t="shared" si="1"/>
        <v>135000</v>
      </c>
      <c r="F181" s="2982">
        <v>1</v>
      </c>
    </row>
    <row r="182" spans="1:6" ht="15" thickBot="1">
      <c r="A182" s="2983">
        <v>93</v>
      </c>
      <c r="B182" s="2984">
        <v>93</v>
      </c>
      <c r="C182" s="2984">
        <v>45.99</v>
      </c>
      <c r="D182" s="2985">
        <v>10.201000000000001</v>
      </c>
      <c r="E182" s="2982">
        <f t="shared" si="1"/>
        <v>135000</v>
      </c>
      <c r="F182" s="2982">
        <v>1</v>
      </c>
    </row>
    <row r="183" spans="1:6" ht="15" thickBot="1">
      <c r="A183" s="2983">
        <v>94</v>
      </c>
      <c r="B183" s="2984">
        <v>94</v>
      </c>
      <c r="C183" s="2984">
        <v>45.99</v>
      </c>
      <c r="D183" s="2985">
        <v>10.201000000000001</v>
      </c>
      <c r="E183" s="2982">
        <f t="shared" si="1"/>
        <v>135000</v>
      </c>
      <c r="F183" s="2982">
        <v>1</v>
      </c>
    </row>
    <row r="184" spans="1:6" ht="15" thickBot="1">
      <c r="A184" s="2983">
        <v>95</v>
      </c>
      <c r="B184" s="2984">
        <v>95</v>
      </c>
      <c r="C184" s="2984">
        <v>45.99</v>
      </c>
      <c r="D184" s="2985">
        <v>10.201000000000001</v>
      </c>
      <c r="E184" s="2982">
        <f t="shared" si="1"/>
        <v>135000</v>
      </c>
      <c r="F184" s="2982">
        <v>1</v>
      </c>
    </row>
    <row r="185" spans="1:6" ht="15" thickBot="1">
      <c r="A185" s="2983">
        <v>96</v>
      </c>
      <c r="B185" s="2984">
        <v>96</v>
      </c>
      <c r="C185" s="2984">
        <v>45.99</v>
      </c>
      <c r="D185" s="2985">
        <v>10.201000000000001</v>
      </c>
      <c r="E185" s="2982">
        <f t="shared" si="1"/>
        <v>135000</v>
      </c>
      <c r="F185" s="2982">
        <v>1</v>
      </c>
    </row>
    <row r="186" spans="1:6" ht="15" thickBot="1">
      <c r="A186" s="2983">
        <v>97</v>
      </c>
      <c r="B186" s="2984">
        <v>97</v>
      </c>
      <c r="C186" s="2984">
        <v>45.99</v>
      </c>
      <c r="D186" s="2985">
        <v>10.201000000000001</v>
      </c>
      <c r="E186" s="2982">
        <f t="shared" si="1"/>
        <v>135000</v>
      </c>
      <c r="F186" s="2982">
        <v>1</v>
      </c>
    </row>
    <row r="187" spans="1:6" ht="15" thickBot="1">
      <c r="A187" s="2983">
        <v>98</v>
      </c>
      <c r="B187" s="2984">
        <v>98</v>
      </c>
      <c r="C187" s="2984">
        <v>45.99</v>
      </c>
      <c r="D187" s="2985">
        <v>10.201000000000001</v>
      </c>
      <c r="E187" s="2982">
        <f t="shared" si="1"/>
        <v>135000</v>
      </c>
      <c r="F187" s="2982">
        <v>1</v>
      </c>
    </row>
    <row r="188" spans="1:6" ht="15" thickBot="1">
      <c r="A188" s="2983">
        <v>99</v>
      </c>
      <c r="B188" s="2984">
        <v>99</v>
      </c>
      <c r="C188" s="2984">
        <v>45.99</v>
      </c>
      <c r="D188" s="2985">
        <v>10.201000000000001</v>
      </c>
      <c r="E188" s="2982">
        <f t="shared" si="1"/>
        <v>135000</v>
      </c>
      <c r="F188" s="2982">
        <v>1</v>
      </c>
    </row>
    <row r="189" spans="1:6" ht="15" thickBot="1">
      <c r="A189" s="2983">
        <v>100</v>
      </c>
      <c r="B189" s="2984">
        <v>100</v>
      </c>
      <c r="C189" s="2984">
        <v>43.94</v>
      </c>
      <c r="D189" s="2985">
        <v>9.7469999999999999</v>
      </c>
      <c r="E189" s="2982">
        <f t="shared" si="1"/>
        <v>135000</v>
      </c>
      <c r="F189" s="2982">
        <v>1</v>
      </c>
    </row>
    <row r="190" spans="1:6" ht="15" thickBot="1">
      <c r="A190" s="2983">
        <v>101</v>
      </c>
      <c r="B190" s="2984">
        <v>101</v>
      </c>
      <c r="C190" s="2984">
        <v>43.94</v>
      </c>
      <c r="D190" s="2985">
        <v>9.7469999999999999</v>
      </c>
      <c r="E190" s="2982">
        <f t="shared" si="1"/>
        <v>135000</v>
      </c>
      <c r="F190" s="2982">
        <v>1</v>
      </c>
    </row>
    <row r="191" spans="1:6" ht="15" thickBot="1">
      <c r="A191" s="2983">
        <v>102</v>
      </c>
      <c r="B191" s="2984">
        <v>102</v>
      </c>
      <c r="C191" s="2984">
        <v>43.94</v>
      </c>
      <c r="D191" s="2985">
        <v>9.7469999999999999</v>
      </c>
      <c r="E191" s="2982">
        <f t="shared" si="1"/>
        <v>135000</v>
      </c>
      <c r="F191" s="2982">
        <v>1</v>
      </c>
    </row>
    <row r="192" spans="1:6" ht="15" thickBot="1">
      <c r="A192" s="2983">
        <v>103</v>
      </c>
      <c r="B192" s="2984">
        <v>103</v>
      </c>
      <c r="C192" s="2984">
        <v>43.94</v>
      </c>
      <c r="D192" s="2985">
        <v>9.7469999999999999</v>
      </c>
      <c r="E192" s="2982">
        <f t="shared" si="1"/>
        <v>135000</v>
      </c>
      <c r="F192" s="2982">
        <v>1</v>
      </c>
    </row>
    <row r="193" spans="1:6" ht="15" thickBot="1">
      <c r="A193" s="2983">
        <v>104</v>
      </c>
      <c r="B193" s="2984">
        <v>104</v>
      </c>
      <c r="C193" s="2984">
        <v>43.94</v>
      </c>
      <c r="D193" s="2985">
        <v>9.7469999999999999</v>
      </c>
      <c r="E193" s="2982">
        <f t="shared" si="1"/>
        <v>135000</v>
      </c>
      <c r="F193" s="2982">
        <v>1</v>
      </c>
    </row>
    <row r="194" spans="1:6" ht="15" thickBot="1">
      <c r="A194" s="2983">
        <v>105</v>
      </c>
      <c r="B194" s="2984">
        <v>105</v>
      </c>
      <c r="C194" s="2984">
        <v>43.94</v>
      </c>
      <c r="D194" s="2985">
        <v>9.7469999999999999</v>
      </c>
      <c r="E194" s="2982">
        <f t="shared" si="1"/>
        <v>135000</v>
      </c>
      <c r="F194" s="2982">
        <v>1</v>
      </c>
    </row>
    <row r="195" spans="1:6" ht="15" thickBot="1">
      <c r="A195" s="2983">
        <v>106</v>
      </c>
      <c r="B195" s="2984">
        <v>106</v>
      </c>
      <c r="C195" s="2984">
        <v>53.62</v>
      </c>
      <c r="D195" s="2985">
        <v>11.894</v>
      </c>
      <c r="E195" s="2982">
        <f t="shared" si="1"/>
        <v>135000</v>
      </c>
      <c r="F195" s="2982">
        <v>1</v>
      </c>
    </row>
    <row r="196" spans="1:6" ht="15" thickBot="1">
      <c r="A196" s="2983">
        <v>107</v>
      </c>
      <c r="B196" s="2984">
        <v>107</v>
      </c>
      <c r="C196" s="2984">
        <v>88.92</v>
      </c>
      <c r="D196" s="2985">
        <v>19.724</v>
      </c>
      <c r="E196" s="2982">
        <f t="shared" si="1"/>
        <v>229500</v>
      </c>
      <c r="F196" s="2982">
        <f>F170</f>
        <v>1.7</v>
      </c>
    </row>
    <row r="197" spans="1:6" ht="15" thickBot="1">
      <c r="A197" s="2983">
        <v>108</v>
      </c>
      <c r="B197" s="2984">
        <v>108</v>
      </c>
      <c r="C197" s="2984">
        <v>88.92</v>
      </c>
      <c r="D197" s="2985">
        <v>19.724</v>
      </c>
      <c r="E197" s="2982">
        <f t="shared" si="1"/>
        <v>229500</v>
      </c>
      <c r="F197" s="2982">
        <f>F196</f>
        <v>1.7</v>
      </c>
    </row>
    <row r="198" spans="1:6" ht="15" thickBot="1">
      <c r="A198" s="2983">
        <v>109</v>
      </c>
      <c r="B198" s="2984">
        <v>109</v>
      </c>
      <c r="C198" s="2984">
        <v>88.92</v>
      </c>
      <c r="D198" s="2985">
        <v>19.724</v>
      </c>
      <c r="E198" s="2982">
        <f t="shared" si="1"/>
        <v>229500</v>
      </c>
      <c r="F198" s="2982">
        <f>F197</f>
        <v>1.7</v>
      </c>
    </row>
    <row r="199" spans="1:6" ht="15" thickBot="1">
      <c r="A199" s="2983">
        <v>110</v>
      </c>
      <c r="B199" s="2984">
        <v>110</v>
      </c>
      <c r="C199" s="2984">
        <v>88.92</v>
      </c>
      <c r="D199" s="2985">
        <v>19.724</v>
      </c>
      <c r="E199" s="2982">
        <f t="shared" si="1"/>
        <v>229500</v>
      </c>
      <c r="F199" s="2982">
        <f>F198</f>
        <v>1.7</v>
      </c>
    </row>
    <row r="200" spans="1:6" ht="15" thickBot="1">
      <c r="A200" s="2983">
        <v>111</v>
      </c>
      <c r="B200" s="2984">
        <v>111</v>
      </c>
      <c r="C200" s="2984">
        <v>44.68</v>
      </c>
      <c r="D200" s="2985">
        <v>9.9109999999999996</v>
      </c>
      <c r="E200" s="2982">
        <f t="shared" si="1"/>
        <v>135000</v>
      </c>
      <c r="F200" s="2982">
        <v>1</v>
      </c>
    </row>
    <row r="201" spans="1:6" ht="15" thickBot="1">
      <c r="A201" s="2983">
        <v>112</v>
      </c>
      <c r="B201" s="2984">
        <v>112</v>
      </c>
      <c r="C201" s="2984">
        <v>44.68</v>
      </c>
      <c r="D201" s="2985">
        <v>9.9109999999999996</v>
      </c>
      <c r="E201" s="2982">
        <f t="shared" si="1"/>
        <v>135000</v>
      </c>
      <c r="F201" s="2982">
        <v>1</v>
      </c>
    </row>
    <row r="202" spans="1:6" ht="15" thickBot="1">
      <c r="A202" s="2983">
        <v>113</v>
      </c>
      <c r="B202" s="2984">
        <v>113</v>
      </c>
      <c r="C202" s="2984">
        <v>44.68</v>
      </c>
      <c r="D202" s="2985">
        <v>9.9109999999999996</v>
      </c>
      <c r="E202" s="2982">
        <f t="shared" si="1"/>
        <v>135000</v>
      </c>
      <c r="F202" s="2982">
        <v>1</v>
      </c>
    </row>
    <row r="203" spans="1:6" ht="15" thickBot="1">
      <c r="A203" s="2983">
        <v>114</v>
      </c>
      <c r="B203" s="2984">
        <v>114</v>
      </c>
      <c r="C203" s="2984">
        <v>44.68</v>
      </c>
      <c r="D203" s="2985">
        <v>9.9109999999999996</v>
      </c>
      <c r="E203" s="2982">
        <f t="shared" si="1"/>
        <v>135000</v>
      </c>
      <c r="F203" s="2982">
        <v>1</v>
      </c>
    </row>
    <row r="204" spans="1:6" ht="15" thickBot="1">
      <c r="A204" s="2983">
        <v>115</v>
      </c>
      <c r="B204" s="2984">
        <v>115</v>
      </c>
      <c r="C204" s="2984">
        <v>44.68</v>
      </c>
      <c r="D204" s="2985">
        <v>9.9109999999999996</v>
      </c>
      <c r="E204" s="2982">
        <f t="shared" si="1"/>
        <v>135000</v>
      </c>
      <c r="F204" s="2982">
        <v>1</v>
      </c>
    </row>
    <row r="205" spans="1:6" ht="15" thickBot="1">
      <c r="A205" s="2983">
        <v>116</v>
      </c>
      <c r="B205" s="2984">
        <v>116</v>
      </c>
      <c r="C205" s="2984">
        <v>44.68</v>
      </c>
      <c r="D205" s="2985">
        <v>9.9109999999999996</v>
      </c>
      <c r="E205" s="2982">
        <f t="shared" si="1"/>
        <v>135000</v>
      </c>
      <c r="F205" s="2982">
        <v>1</v>
      </c>
    </row>
    <row r="206" spans="1:6" ht="15" thickBot="1">
      <c r="A206" s="2983">
        <v>117</v>
      </c>
      <c r="B206" s="2984">
        <v>117</v>
      </c>
      <c r="C206" s="2984">
        <v>44.68</v>
      </c>
      <c r="D206" s="2985">
        <v>9.9109999999999996</v>
      </c>
      <c r="E206" s="2982">
        <f t="shared" si="1"/>
        <v>135000</v>
      </c>
      <c r="F206" s="2982">
        <v>1</v>
      </c>
    </row>
    <row r="207" spans="1:6" ht="15" thickBot="1">
      <c r="A207" s="2983">
        <v>118</v>
      </c>
      <c r="B207" s="2984">
        <v>118</v>
      </c>
      <c r="C207" s="2984">
        <v>43.57</v>
      </c>
      <c r="D207" s="2985">
        <v>9.6639999999999997</v>
      </c>
      <c r="E207" s="2982">
        <f t="shared" si="1"/>
        <v>135000</v>
      </c>
      <c r="F207" s="2982">
        <v>1</v>
      </c>
    </row>
    <row r="208" spans="1:6" ht="15" thickBot="1">
      <c r="A208" s="2983">
        <v>119</v>
      </c>
      <c r="B208" s="2984">
        <v>119</v>
      </c>
      <c r="C208" s="2984">
        <v>43.57</v>
      </c>
      <c r="D208" s="2985">
        <v>9.6639999999999997</v>
      </c>
      <c r="E208" s="2982">
        <f t="shared" si="1"/>
        <v>135000</v>
      </c>
      <c r="F208" s="2982">
        <v>1</v>
      </c>
    </row>
    <row r="209" spans="1:6" ht="15" thickBot="1">
      <c r="A209" s="2983">
        <v>120</v>
      </c>
      <c r="B209" s="2984">
        <v>120</v>
      </c>
      <c r="C209" s="2984">
        <v>43.57</v>
      </c>
      <c r="D209" s="2985">
        <v>9.6639999999999997</v>
      </c>
      <c r="E209" s="2982">
        <f t="shared" si="1"/>
        <v>135000</v>
      </c>
      <c r="F209" s="2982">
        <v>1</v>
      </c>
    </row>
    <row r="210" spans="1:6" ht="15" thickBot="1">
      <c r="A210" s="2983">
        <v>121</v>
      </c>
      <c r="B210" s="2984">
        <v>121</v>
      </c>
      <c r="C210" s="2984">
        <v>43.79</v>
      </c>
      <c r="D210" s="2985">
        <v>9.7129999999999992</v>
      </c>
      <c r="E210" s="2982">
        <f t="shared" si="1"/>
        <v>135000</v>
      </c>
      <c r="F210" s="2982">
        <v>1</v>
      </c>
    </row>
    <row r="211" spans="1:6" ht="15" thickBot="1">
      <c r="A211" s="2983">
        <v>122</v>
      </c>
      <c r="B211" s="2984">
        <v>122</v>
      </c>
      <c r="C211" s="2984">
        <v>43.79</v>
      </c>
      <c r="D211" s="2985">
        <v>9.7129999999999992</v>
      </c>
      <c r="E211" s="2982">
        <f t="shared" si="1"/>
        <v>135000</v>
      </c>
      <c r="F211" s="2982">
        <v>1</v>
      </c>
    </row>
    <row r="212" spans="1:6" ht="15" thickBot="1">
      <c r="A212" s="2983">
        <v>123</v>
      </c>
      <c r="B212" s="2984">
        <v>123</v>
      </c>
      <c r="C212" s="2984">
        <v>43.79</v>
      </c>
      <c r="D212" s="2985">
        <v>9.7129999999999992</v>
      </c>
      <c r="E212" s="2982">
        <f t="shared" si="1"/>
        <v>135000</v>
      </c>
      <c r="F212" s="2982">
        <v>1</v>
      </c>
    </row>
    <row r="213" spans="1:6" ht="15" thickBot="1">
      <c r="A213" s="2983">
        <v>124</v>
      </c>
      <c r="B213" s="2984">
        <v>124</v>
      </c>
      <c r="C213" s="2984">
        <v>43.79</v>
      </c>
      <c r="D213" s="2985">
        <v>9.7129999999999992</v>
      </c>
      <c r="E213" s="2982">
        <f t="shared" si="1"/>
        <v>135000</v>
      </c>
      <c r="F213" s="2982">
        <v>1</v>
      </c>
    </row>
    <row r="214" spans="1:6" ht="15" thickBot="1">
      <c r="A214" s="2983">
        <v>125</v>
      </c>
      <c r="B214" s="2984">
        <v>125</v>
      </c>
      <c r="C214" s="2984">
        <v>43.79</v>
      </c>
      <c r="D214" s="2985">
        <v>9.7129999999999992</v>
      </c>
      <c r="E214" s="2982">
        <f t="shared" si="1"/>
        <v>135000</v>
      </c>
      <c r="F214" s="2982">
        <v>1</v>
      </c>
    </row>
    <row r="215" spans="1:6" ht="15" thickBot="1">
      <c r="A215" s="2983">
        <v>126</v>
      </c>
      <c r="B215" s="2984">
        <v>126</v>
      </c>
      <c r="C215" s="2984">
        <v>43.79</v>
      </c>
      <c r="D215" s="2985">
        <v>9.7129999999999992</v>
      </c>
      <c r="E215" s="2982">
        <f t="shared" si="1"/>
        <v>135000</v>
      </c>
      <c r="F215" s="2982">
        <v>1</v>
      </c>
    </row>
    <row r="216" spans="1:6" ht="15" thickBot="1">
      <c r="A216" s="2983">
        <v>127</v>
      </c>
      <c r="B216" s="2984">
        <v>127</v>
      </c>
      <c r="C216" s="2984">
        <v>46.62</v>
      </c>
      <c r="D216" s="2985">
        <v>10.340999999999999</v>
      </c>
      <c r="E216" s="2982">
        <f t="shared" si="1"/>
        <v>135000</v>
      </c>
      <c r="F216" s="2982">
        <v>1</v>
      </c>
    </row>
    <row r="217" spans="1:6" ht="15" thickBot="1">
      <c r="A217" s="2983">
        <v>128</v>
      </c>
      <c r="B217" s="2984">
        <v>128</v>
      </c>
      <c r="C217" s="2984">
        <v>43.79</v>
      </c>
      <c r="D217" s="2985">
        <v>9.7129999999999992</v>
      </c>
      <c r="E217" s="2982">
        <f t="shared" si="1"/>
        <v>135000</v>
      </c>
      <c r="F217" s="2982">
        <v>1</v>
      </c>
    </row>
    <row r="218" spans="1:6" ht="15" thickBot="1">
      <c r="A218" s="2983">
        <v>129</v>
      </c>
      <c r="B218" s="2984">
        <v>129</v>
      </c>
      <c r="C218" s="2984">
        <v>43.79</v>
      </c>
      <c r="D218" s="2985">
        <v>9.7129999999999992</v>
      </c>
      <c r="E218" s="2982">
        <f t="shared" si="1"/>
        <v>135000</v>
      </c>
      <c r="F218" s="2982">
        <v>1</v>
      </c>
    </row>
    <row r="219" spans="1:6" ht="15" thickBot="1">
      <c r="A219" s="2983">
        <v>130</v>
      </c>
      <c r="B219" s="2984">
        <v>130</v>
      </c>
      <c r="C219" s="2984">
        <v>43.79</v>
      </c>
      <c r="D219" s="2985">
        <v>9.7129999999999992</v>
      </c>
      <c r="E219" s="2982">
        <f t="shared" si="1"/>
        <v>135000</v>
      </c>
      <c r="F219" s="2982">
        <v>1</v>
      </c>
    </row>
    <row r="220" spans="1:6" ht="15" thickBot="1">
      <c r="A220" s="2983">
        <v>131</v>
      </c>
      <c r="B220" s="2984">
        <v>131</v>
      </c>
      <c r="C220" s="2984">
        <v>43.79</v>
      </c>
      <c r="D220" s="2985">
        <v>9.7129999999999992</v>
      </c>
      <c r="E220" s="2982">
        <f t="shared" ref="E220:E283" si="2">$E$90*F220</f>
        <v>135000</v>
      </c>
      <c r="F220" s="2982">
        <v>1</v>
      </c>
    </row>
    <row r="221" spans="1:6" ht="15" thickBot="1">
      <c r="A221" s="2983">
        <v>132</v>
      </c>
      <c r="B221" s="2984">
        <v>132</v>
      </c>
      <c r="C221" s="2984">
        <v>43.79</v>
      </c>
      <c r="D221" s="2985">
        <v>9.7129999999999992</v>
      </c>
      <c r="E221" s="2982">
        <f t="shared" si="2"/>
        <v>135000</v>
      </c>
      <c r="F221" s="2982">
        <v>1</v>
      </c>
    </row>
    <row r="222" spans="1:6" ht="15" thickBot="1">
      <c r="A222" s="2983">
        <v>133</v>
      </c>
      <c r="B222" s="2984">
        <v>133</v>
      </c>
      <c r="C222" s="2984">
        <v>43.79</v>
      </c>
      <c r="D222" s="2985">
        <v>9.7129999999999992</v>
      </c>
      <c r="E222" s="2982">
        <f t="shared" si="2"/>
        <v>135000</v>
      </c>
      <c r="F222" s="2982">
        <v>1</v>
      </c>
    </row>
    <row r="223" spans="1:6" ht="15" thickBot="1">
      <c r="A223" s="2983">
        <v>134</v>
      </c>
      <c r="B223" s="2984">
        <v>134</v>
      </c>
      <c r="C223" s="2984">
        <v>65.61</v>
      </c>
      <c r="D223" s="2985">
        <v>14.553000000000001</v>
      </c>
      <c r="E223" s="2982">
        <f t="shared" si="2"/>
        <v>202500</v>
      </c>
      <c r="F223" s="2982">
        <v>1.5</v>
      </c>
    </row>
    <row r="224" spans="1:6" ht="15" thickBot="1">
      <c r="A224" s="2983">
        <v>135</v>
      </c>
      <c r="B224" s="2984">
        <v>135</v>
      </c>
      <c r="C224" s="2984">
        <v>65.61</v>
      </c>
      <c r="D224" s="2985">
        <v>14.553000000000001</v>
      </c>
      <c r="E224" s="2982">
        <f t="shared" si="2"/>
        <v>202500</v>
      </c>
      <c r="F224" s="2982">
        <f>F223</f>
        <v>1.5</v>
      </c>
    </row>
    <row r="225" spans="1:6" ht="15" thickBot="1">
      <c r="A225" s="2983">
        <v>136</v>
      </c>
      <c r="B225" s="2984">
        <v>136</v>
      </c>
      <c r="C225" s="2984">
        <v>65.61</v>
      </c>
      <c r="D225" s="2985">
        <v>14.553000000000001</v>
      </c>
      <c r="E225" s="2982">
        <f t="shared" si="2"/>
        <v>202500</v>
      </c>
      <c r="F225" s="2982">
        <f>F224</f>
        <v>1.5</v>
      </c>
    </row>
    <row r="226" spans="1:6" ht="15" thickBot="1">
      <c r="A226" s="2983">
        <v>137</v>
      </c>
      <c r="B226" s="2984">
        <v>137</v>
      </c>
      <c r="C226" s="2984">
        <v>65.61</v>
      </c>
      <c r="D226" s="2985">
        <v>14.553000000000001</v>
      </c>
      <c r="E226" s="2982">
        <f t="shared" si="2"/>
        <v>202500</v>
      </c>
      <c r="F226" s="2982">
        <f>F225</f>
        <v>1.5</v>
      </c>
    </row>
    <row r="227" spans="1:6" ht="15" thickBot="1">
      <c r="A227" s="2983">
        <v>138</v>
      </c>
      <c r="B227" s="2984">
        <v>138</v>
      </c>
      <c r="C227" s="2984">
        <v>65.61</v>
      </c>
      <c r="D227" s="2985">
        <v>14.553000000000001</v>
      </c>
      <c r="E227" s="2982">
        <f t="shared" si="2"/>
        <v>202500</v>
      </c>
      <c r="F227" s="2982">
        <f>F226</f>
        <v>1.5</v>
      </c>
    </row>
    <row r="228" spans="1:6" ht="15" thickBot="1">
      <c r="A228" s="2983">
        <v>139</v>
      </c>
      <c r="B228" s="2984">
        <v>139</v>
      </c>
      <c r="C228" s="2984">
        <v>44.68</v>
      </c>
      <c r="D228" s="2985">
        <v>9.9109999999999996</v>
      </c>
      <c r="E228" s="2982">
        <f t="shared" si="2"/>
        <v>135000</v>
      </c>
      <c r="F228" s="2982">
        <v>1</v>
      </c>
    </row>
    <row r="229" spans="1:6" ht="15" thickBot="1">
      <c r="A229" s="2983">
        <v>140</v>
      </c>
      <c r="B229" s="2984">
        <v>140</v>
      </c>
      <c r="C229" s="2984">
        <v>44.68</v>
      </c>
      <c r="D229" s="2985">
        <v>9.9109999999999996</v>
      </c>
      <c r="E229" s="2982">
        <f t="shared" si="2"/>
        <v>135000</v>
      </c>
      <c r="F229" s="2982">
        <v>1</v>
      </c>
    </row>
    <row r="230" spans="1:6" ht="15" thickBot="1">
      <c r="A230" s="2983">
        <v>141</v>
      </c>
      <c r="B230" s="2984">
        <v>141</v>
      </c>
      <c r="C230" s="2984">
        <v>44.68</v>
      </c>
      <c r="D230" s="2985">
        <v>9.9109999999999996</v>
      </c>
      <c r="E230" s="2982">
        <f t="shared" si="2"/>
        <v>135000</v>
      </c>
      <c r="F230" s="2982">
        <v>1</v>
      </c>
    </row>
    <row r="231" spans="1:6" ht="15" thickBot="1">
      <c r="A231" s="2983">
        <v>142</v>
      </c>
      <c r="B231" s="2984">
        <v>142</v>
      </c>
      <c r="C231" s="2984">
        <v>44.68</v>
      </c>
      <c r="D231" s="2985">
        <v>9.9109999999999996</v>
      </c>
      <c r="E231" s="2982">
        <f t="shared" si="2"/>
        <v>135000</v>
      </c>
      <c r="F231" s="2982">
        <v>1</v>
      </c>
    </row>
    <row r="232" spans="1:6" ht="15" thickBot="1">
      <c r="A232" s="2983">
        <v>143</v>
      </c>
      <c r="B232" s="2984">
        <v>143</v>
      </c>
      <c r="C232" s="2984">
        <v>65.61</v>
      </c>
      <c r="D232" s="2985">
        <v>14.553000000000001</v>
      </c>
      <c r="E232" s="2982">
        <f t="shared" si="2"/>
        <v>202500</v>
      </c>
      <c r="F232" s="2982">
        <f>F227</f>
        <v>1.5</v>
      </c>
    </row>
    <row r="233" spans="1:6" ht="15" thickBot="1">
      <c r="A233" s="2983">
        <v>144</v>
      </c>
      <c r="B233" s="2984">
        <v>144</v>
      </c>
      <c r="C233" s="2984">
        <v>65.61</v>
      </c>
      <c r="D233" s="2985">
        <v>14.553000000000001</v>
      </c>
      <c r="E233" s="2982">
        <f t="shared" si="2"/>
        <v>202500</v>
      </c>
      <c r="F233" s="2982">
        <f>F232</f>
        <v>1.5</v>
      </c>
    </row>
    <row r="234" spans="1:6" ht="15" thickBot="1">
      <c r="A234" s="2983">
        <v>145</v>
      </c>
      <c r="B234" s="2984">
        <v>145</v>
      </c>
      <c r="C234" s="2984">
        <v>65.61</v>
      </c>
      <c r="D234" s="2985">
        <v>14.553000000000001</v>
      </c>
      <c r="E234" s="2982">
        <f t="shared" si="2"/>
        <v>202500</v>
      </c>
      <c r="F234" s="2982">
        <f>F233</f>
        <v>1.5</v>
      </c>
    </row>
    <row r="235" spans="1:6" ht="15" thickBot="1">
      <c r="A235" s="2983">
        <v>146</v>
      </c>
      <c r="B235" s="2984">
        <v>146</v>
      </c>
      <c r="C235" s="2984">
        <v>65.61</v>
      </c>
      <c r="D235" s="2985">
        <v>14.553000000000001</v>
      </c>
      <c r="E235" s="2982">
        <f t="shared" si="2"/>
        <v>202500</v>
      </c>
      <c r="F235" s="2982">
        <f>F234</f>
        <v>1.5</v>
      </c>
    </row>
    <row r="236" spans="1:6" ht="15" thickBot="1">
      <c r="A236" s="2983">
        <v>147</v>
      </c>
      <c r="B236" s="2984">
        <v>147</v>
      </c>
      <c r="C236" s="2984">
        <v>65.61</v>
      </c>
      <c r="D236" s="2985">
        <v>14.553000000000001</v>
      </c>
      <c r="E236" s="2982">
        <f t="shared" si="2"/>
        <v>202500</v>
      </c>
      <c r="F236" s="2982">
        <f>F235</f>
        <v>1.5</v>
      </c>
    </row>
    <row r="237" spans="1:6" ht="15" thickBot="1">
      <c r="A237" s="2983">
        <v>148</v>
      </c>
      <c r="B237" s="2984">
        <v>148</v>
      </c>
      <c r="C237" s="2984">
        <v>87.58</v>
      </c>
      <c r="D237" s="2985">
        <v>19.427</v>
      </c>
      <c r="E237" s="2982">
        <f t="shared" si="2"/>
        <v>229500</v>
      </c>
      <c r="F237" s="2982">
        <f>F100</f>
        <v>1.7</v>
      </c>
    </row>
    <row r="238" spans="1:6" ht="15" thickBot="1">
      <c r="A238" s="2983">
        <v>149</v>
      </c>
      <c r="B238" s="2984">
        <v>149</v>
      </c>
      <c r="C238" s="2984">
        <v>87.58</v>
      </c>
      <c r="D238" s="2985">
        <v>19.427</v>
      </c>
      <c r="E238" s="2982">
        <f t="shared" si="2"/>
        <v>229500</v>
      </c>
      <c r="F238" s="2982">
        <f>F237</f>
        <v>1.7</v>
      </c>
    </row>
    <row r="239" spans="1:6" ht="15" thickBot="1">
      <c r="A239" s="2983">
        <v>150</v>
      </c>
      <c r="B239" s="2984">
        <v>150</v>
      </c>
      <c r="C239" s="2984">
        <v>87.58</v>
      </c>
      <c r="D239" s="2985">
        <v>19.427</v>
      </c>
      <c r="E239" s="2982">
        <f t="shared" si="2"/>
        <v>229500</v>
      </c>
      <c r="F239" s="2982">
        <f>F238</f>
        <v>1.7</v>
      </c>
    </row>
    <row r="240" spans="1:6" ht="15" thickBot="1">
      <c r="A240" s="2983">
        <v>151</v>
      </c>
      <c r="B240" s="2984">
        <v>151</v>
      </c>
      <c r="C240" s="2984">
        <v>44.68</v>
      </c>
      <c r="D240" s="2985">
        <v>9.9109999999999996</v>
      </c>
      <c r="E240" s="2982">
        <f t="shared" si="2"/>
        <v>135000</v>
      </c>
      <c r="F240" s="2982">
        <v>1</v>
      </c>
    </row>
    <row r="241" spans="1:6" ht="15" thickBot="1">
      <c r="A241" s="2983">
        <v>152</v>
      </c>
      <c r="B241" s="2984">
        <v>152</v>
      </c>
      <c r="C241" s="2984">
        <v>38.43</v>
      </c>
      <c r="D241" s="2985">
        <v>8.5239999999999991</v>
      </c>
      <c r="E241" s="2982">
        <f t="shared" si="2"/>
        <v>135000</v>
      </c>
      <c r="F241" s="2982">
        <v>1</v>
      </c>
    </row>
    <row r="242" spans="1:6" ht="15" thickBot="1">
      <c r="A242" s="2983">
        <v>153</v>
      </c>
      <c r="B242" s="2984">
        <v>153</v>
      </c>
      <c r="C242" s="2984">
        <v>38.43</v>
      </c>
      <c r="D242" s="2985">
        <v>8.5239999999999991</v>
      </c>
      <c r="E242" s="2982">
        <f t="shared" si="2"/>
        <v>135000</v>
      </c>
      <c r="F242" s="2982">
        <v>1</v>
      </c>
    </row>
    <row r="243" spans="1:6" ht="15" thickBot="1">
      <c r="A243" s="2983">
        <v>154</v>
      </c>
      <c r="B243" s="2984">
        <v>154</v>
      </c>
      <c r="C243" s="2984">
        <v>89.37</v>
      </c>
      <c r="D243" s="2985">
        <v>19.824000000000002</v>
      </c>
      <c r="E243" s="2982">
        <f t="shared" si="2"/>
        <v>229500</v>
      </c>
      <c r="F243" s="2982">
        <f>F239</f>
        <v>1.7</v>
      </c>
    </row>
    <row r="244" spans="1:6" ht="15" thickBot="1">
      <c r="A244" s="2983">
        <v>155</v>
      </c>
      <c r="B244" s="2984">
        <v>155</v>
      </c>
      <c r="C244" s="2984">
        <v>89.37</v>
      </c>
      <c r="D244" s="2985">
        <v>19.824000000000002</v>
      </c>
      <c r="E244" s="2982">
        <f t="shared" si="2"/>
        <v>229500</v>
      </c>
      <c r="F244" s="2982">
        <f>F243</f>
        <v>1.7</v>
      </c>
    </row>
    <row r="245" spans="1:6" ht="15" thickBot="1">
      <c r="A245" s="2983">
        <v>156</v>
      </c>
      <c r="B245" s="2984">
        <v>156</v>
      </c>
      <c r="C245" s="2984">
        <v>44.68</v>
      </c>
      <c r="D245" s="2985">
        <v>9.9109999999999996</v>
      </c>
      <c r="E245" s="2982">
        <f t="shared" si="2"/>
        <v>135000</v>
      </c>
      <c r="F245" s="2982">
        <v>1</v>
      </c>
    </row>
    <row r="246" spans="1:6" ht="15" thickBot="1">
      <c r="A246" s="2983">
        <v>157</v>
      </c>
      <c r="B246" s="2984">
        <v>157</v>
      </c>
      <c r="C246" s="2984">
        <v>44.68</v>
      </c>
      <c r="D246" s="2985">
        <v>9.9109999999999996</v>
      </c>
      <c r="E246" s="2982">
        <f t="shared" si="2"/>
        <v>135000</v>
      </c>
      <c r="F246" s="2982">
        <v>1</v>
      </c>
    </row>
    <row r="247" spans="1:6" ht="15" thickBot="1">
      <c r="A247" s="2983">
        <v>158</v>
      </c>
      <c r="B247" s="2984">
        <v>158</v>
      </c>
      <c r="C247" s="2984">
        <v>44.68</v>
      </c>
      <c r="D247" s="2985">
        <v>9.9109999999999996</v>
      </c>
      <c r="E247" s="2982">
        <f t="shared" si="2"/>
        <v>135000</v>
      </c>
      <c r="F247" s="2982">
        <v>1</v>
      </c>
    </row>
    <row r="248" spans="1:6" ht="15" thickBot="1">
      <c r="A248" s="2983">
        <v>159</v>
      </c>
      <c r="B248" s="2984">
        <v>159</v>
      </c>
      <c r="C248" s="2984">
        <v>44.68</v>
      </c>
      <c r="D248" s="2985">
        <v>9.9109999999999996</v>
      </c>
      <c r="E248" s="2982">
        <f t="shared" si="2"/>
        <v>135000</v>
      </c>
      <c r="F248" s="2982">
        <v>1</v>
      </c>
    </row>
    <row r="249" spans="1:6" ht="15" thickBot="1">
      <c r="A249" s="2983">
        <v>160</v>
      </c>
      <c r="B249" s="2984">
        <v>160</v>
      </c>
      <c r="C249" s="2984">
        <v>44.68</v>
      </c>
      <c r="D249" s="2985">
        <v>9.9109999999999996</v>
      </c>
      <c r="E249" s="2982">
        <f t="shared" si="2"/>
        <v>135000</v>
      </c>
      <c r="F249" s="2982">
        <v>1</v>
      </c>
    </row>
    <row r="250" spans="1:6" ht="15" thickBot="1">
      <c r="A250" s="2983">
        <v>161</v>
      </c>
      <c r="B250" s="2984">
        <v>161</v>
      </c>
      <c r="C250" s="2984">
        <v>44.68</v>
      </c>
      <c r="D250" s="2985">
        <v>9.9109999999999996</v>
      </c>
      <c r="E250" s="2982">
        <f t="shared" si="2"/>
        <v>135000</v>
      </c>
      <c r="F250" s="2982">
        <v>1</v>
      </c>
    </row>
    <row r="251" spans="1:6" ht="15" thickBot="1">
      <c r="A251" s="2983">
        <v>162</v>
      </c>
      <c r="B251" s="2984">
        <v>162</v>
      </c>
      <c r="C251" s="2984">
        <v>44.68</v>
      </c>
      <c r="D251" s="2985">
        <v>9.9109999999999996</v>
      </c>
      <c r="E251" s="2982">
        <f t="shared" si="2"/>
        <v>135000</v>
      </c>
      <c r="F251" s="2982">
        <v>1</v>
      </c>
    </row>
    <row r="252" spans="1:6" ht="15" thickBot="1">
      <c r="A252" s="2983">
        <v>163</v>
      </c>
      <c r="B252" s="2984">
        <v>163</v>
      </c>
      <c r="C252" s="2984">
        <v>44.68</v>
      </c>
      <c r="D252" s="2985">
        <v>9.9109999999999996</v>
      </c>
      <c r="E252" s="2982">
        <f t="shared" si="2"/>
        <v>135000</v>
      </c>
      <c r="F252" s="2982">
        <v>1</v>
      </c>
    </row>
    <row r="253" spans="1:6" ht="15" thickBot="1">
      <c r="A253" s="2983">
        <v>164</v>
      </c>
      <c r="B253" s="2984">
        <v>164</v>
      </c>
      <c r="C253" s="2984">
        <v>43.79</v>
      </c>
      <c r="D253" s="2985">
        <v>9.7129999999999992</v>
      </c>
      <c r="E253" s="2982">
        <f t="shared" si="2"/>
        <v>135000</v>
      </c>
      <c r="F253" s="2982">
        <v>1</v>
      </c>
    </row>
    <row r="254" spans="1:6" ht="15" thickBot="1">
      <c r="A254" s="2983">
        <v>165</v>
      </c>
      <c r="B254" s="2984">
        <v>165</v>
      </c>
      <c r="C254" s="2984">
        <v>43.79</v>
      </c>
      <c r="D254" s="2985">
        <v>9.7129999999999992</v>
      </c>
      <c r="E254" s="2982">
        <f t="shared" si="2"/>
        <v>135000</v>
      </c>
      <c r="F254" s="2982">
        <v>1</v>
      </c>
    </row>
    <row r="255" spans="1:6" ht="15" thickBot="1">
      <c r="A255" s="2983">
        <v>166</v>
      </c>
      <c r="B255" s="2984">
        <v>166</v>
      </c>
      <c r="C255" s="2984">
        <v>43.79</v>
      </c>
      <c r="D255" s="2985">
        <v>9.7129999999999992</v>
      </c>
      <c r="E255" s="2982">
        <f t="shared" si="2"/>
        <v>135000</v>
      </c>
      <c r="F255" s="2982">
        <v>1</v>
      </c>
    </row>
    <row r="256" spans="1:6" ht="15" thickBot="1">
      <c r="A256" s="2983">
        <v>167</v>
      </c>
      <c r="B256" s="2984">
        <v>167</v>
      </c>
      <c r="C256" s="2984">
        <v>44.68</v>
      </c>
      <c r="D256" s="2985">
        <v>9.9109999999999996</v>
      </c>
      <c r="E256" s="2982">
        <f t="shared" si="2"/>
        <v>135000</v>
      </c>
      <c r="F256" s="2982">
        <v>1</v>
      </c>
    </row>
    <row r="257" spans="1:6" ht="15" thickBot="1">
      <c r="A257" s="2983">
        <v>168</v>
      </c>
      <c r="B257" s="2984">
        <v>168</v>
      </c>
      <c r="C257" s="2984">
        <v>44.68</v>
      </c>
      <c r="D257" s="2985">
        <v>9.9109999999999996</v>
      </c>
      <c r="E257" s="2982">
        <f t="shared" si="2"/>
        <v>135000</v>
      </c>
      <c r="F257" s="2982">
        <v>1</v>
      </c>
    </row>
    <row r="258" spans="1:6" ht="15" thickBot="1">
      <c r="A258" s="2983">
        <v>169</v>
      </c>
      <c r="B258" s="2984">
        <v>169</v>
      </c>
      <c r="C258" s="2984">
        <v>44.68</v>
      </c>
      <c r="D258" s="2985">
        <v>9.9109999999999996</v>
      </c>
      <c r="E258" s="2982">
        <f t="shared" si="2"/>
        <v>135000</v>
      </c>
      <c r="F258" s="2982">
        <v>1</v>
      </c>
    </row>
    <row r="259" spans="1:6" ht="15" thickBot="1">
      <c r="A259" s="2983">
        <v>170</v>
      </c>
      <c r="B259" s="2984">
        <v>170</v>
      </c>
      <c r="C259" s="2984">
        <v>44.68</v>
      </c>
      <c r="D259" s="2985">
        <v>9.9109999999999996</v>
      </c>
      <c r="E259" s="2982">
        <f t="shared" si="2"/>
        <v>135000</v>
      </c>
      <c r="F259" s="2982">
        <v>1</v>
      </c>
    </row>
    <row r="260" spans="1:6" ht="15" thickBot="1">
      <c r="A260" s="2983">
        <v>171</v>
      </c>
      <c r="B260" s="2984">
        <v>171</v>
      </c>
      <c r="C260" s="2984">
        <v>44.68</v>
      </c>
      <c r="D260" s="2985">
        <v>9.9109999999999996</v>
      </c>
      <c r="E260" s="2982">
        <f t="shared" si="2"/>
        <v>135000</v>
      </c>
      <c r="F260" s="2982">
        <v>1</v>
      </c>
    </row>
    <row r="261" spans="1:6" ht="15" thickBot="1">
      <c r="A261" s="2983">
        <v>172</v>
      </c>
      <c r="B261" s="2984">
        <v>172</v>
      </c>
      <c r="C261" s="2984">
        <v>44.68</v>
      </c>
      <c r="D261" s="2985">
        <v>9.9109999999999996</v>
      </c>
      <c r="E261" s="2982">
        <f t="shared" si="2"/>
        <v>135000</v>
      </c>
      <c r="F261" s="2982">
        <v>1</v>
      </c>
    </row>
    <row r="262" spans="1:6" ht="15" thickBot="1">
      <c r="A262" s="2983">
        <v>173</v>
      </c>
      <c r="B262" s="2984">
        <v>173</v>
      </c>
      <c r="C262" s="2984">
        <v>43.79</v>
      </c>
      <c r="D262" s="2985">
        <v>9.7129999999999992</v>
      </c>
      <c r="E262" s="2982">
        <f t="shared" si="2"/>
        <v>135000</v>
      </c>
      <c r="F262" s="2982">
        <v>1</v>
      </c>
    </row>
    <row r="263" spans="1:6" ht="15" thickBot="1">
      <c r="A263" s="2983">
        <v>174</v>
      </c>
      <c r="B263" s="2984">
        <v>174</v>
      </c>
      <c r="C263" s="2984">
        <v>43.79</v>
      </c>
      <c r="D263" s="2985">
        <v>9.7129999999999992</v>
      </c>
      <c r="E263" s="2982">
        <f t="shared" si="2"/>
        <v>135000</v>
      </c>
      <c r="F263" s="2982">
        <v>1</v>
      </c>
    </row>
    <row r="264" spans="1:6" ht="15" thickBot="1">
      <c r="A264" s="2983">
        <v>175</v>
      </c>
      <c r="B264" s="2984">
        <v>175</v>
      </c>
      <c r="C264" s="2984">
        <v>43.79</v>
      </c>
      <c r="D264" s="2985">
        <v>9.7129999999999992</v>
      </c>
      <c r="E264" s="2982">
        <f t="shared" si="2"/>
        <v>135000</v>
      </c>
      <c r="F264" s="2982">
        <v>1</v>
      </c>
    </row>
    <row r="265" spans="1:6" ht="15" thickBot="1">
      <c r="A265" s="2983">
        <v>176</v>
      </c>
      <c r="B265" s="2984">
        <v>176</v>
      </c>
      <c r="C265" s="2984">
        <v>45.58</v>
      </c>
      <c r="D265" s="2985">
        <v>10.11</v>
      </c>
      <c r="E265" s="2982">
        <f t="shared" si="2"/>
        <v>135000</v>
      </c>
      <c r="F265" s="2982">
        <v>1</v>
      </c>
    </row>
    <row r="266" spans="1:6" ht="15" thickBot="1">
      <c r="A266" s="2983">
        <v>177</v>
      </c>
      <c r="B266" s="2984">
        <v>177</v>
      </c>
      <c r="C266" s="2984">
        <v>44.68</v>
      </c>
      <c r="D266" s="2985">
        <v>9.9109999999999996</v>
      </c>
      <c r="E266" s="2982">
        <f t="shared" si="2"/>
        <v>135000</v>
      </c>
      <c r="F266" s="2982">
        <v>1</v>
      </c>
    </row>
    <row r="267" spans="1:6" ht="15" thickBot="1">
      <c r="A267" s="2983">
        <v>178</v>
      </c>
      <c r="B267" s="2984">
        <v>178</v>
      </c>
      <c r="C267" s="2984">
        <v>44.68</v>
      </c>
      <c r="D267" s="2985">
        <v>9.9109999999999996</v>
      </c>
      <c r="E267" s="2982">
        <f t="shared" si="2"/>
        <v>135000</v>
      </c>
      <c r="F267" s="2982">
        <v>1</v>
      </c>
    </row>
    <row r="268" spans="1:6" ht="15" thickBot="1">
      <c r="A268" s="2983">
        <v>179</v>
      </c>
      <c r="B268" s="2984">
        <v>179</v>
      </c>
      <c r="C268" s="2984">
        <v>44.68</v>
      </c>
      <c r="D268" s="2985">
        <v>9.9109999999999996</v>
      </c>
      <c r="E268" s="2982">
        <f t="shared" si="2"/>
        <v>135000</v>
      </c>
      <c r="F268" s="2982">
        <v>1</v>
      </c>
    </row>
    <row r="269" spans="1:6" ht="15" thickBot="1">
      <c r="A269" s="2983">
        <v>180</v>
      </c>
      <c r="B269" s="2984">
        <v>180</v>
      </c>
      <c r="C269" s="2984">
        <v>44.68</v>
      </c>
      <c r="D269" s="2985">
        <v>9.9109999999999996</v>
      </c>
      <c r="E269" s="2982">
        <f t="shared" si="2"/>
        <v>135000</v>
      </c>
      <c r="F269" s="2982">
        <v>1</v>
      </c>
    </row>
    <row r="270" spans="1:6" ht="15" thickBot="1">
      <c r="A270" s="2983">
        <v>181</v>
      </c>
      <c r="B270" s="2984">
        <v>181</v>
      </c>
      <c r="C270" s="2984">
        <v>44.68</v>
      </c>
      <c r="D270" s="2985">
        <v>9.9109999999999996</v>
      </c>
      <c r="E270" s="2982">
        <f t="shared" si="2"/>
        <v>135000</v>
      </c>
      <c r="F270" s="2982">
        <v>1</v>
      </c>
    </row>
    <row r="271" spans="1:6" ht="15" thickBot="1">
      <c r="A271" s="2983">
        <v>182</v>
      </c>
      <c r="B271" s="2984">
        <v>182</v>
      </c>
      <c r="C271" s="2984">
        <v>44.68</v>
      </c>
      <c r="D271" s="2985">
        <v>9.9109999999999996</v>
      </c>
      <c r="E271" s="2982">
        <f t="shared" si="2"/>
        <v>135000</v>
      </c>
      <c r="F271" s="2982">
        <v>1</v>
      </c>
    </row>
    <row r="272" spans="1:6" ht="15" thickBot="1">
      <c r="A272" s="2983">
        <v>183</v>
      </c>
      <c r="B272" s="2984">
        <v>183</v>
      </c>
      <c r="C272" s="2984">
        <v>44.68</v>
      </c>
      <c r="D272" s="2985">
        <v>9.9109999999999996</v>
      </c>
      <c r="E272" s="2982">
        <f t="shared" si="2"/>
        <v>135000</v>
      </c>
      <c r="F272" s="2982">
        <v>1</v>
      </c>
    </row>
    <row r="273" spans="1:6" ht="15" thickBot="1">
      <c r="A273" s="2983">
        <v>184</v>
      </c>
      <c r="B273" s="2984">
        <v>184</v>
      </c>
      <c r="C273" s="2984">
        <v>44.68</v>
      </c>
      <c r="D273" s="2985">
        <v>9.9109999999999996</v>
      </c>
      <c r="E273" s="2982">
        <f t="shared" si="2"/>
        <v>135000</v>
      </c>
      <c r="F273" s="2982">
        <v>1</v>
      </c>
    </row>
    <row r="274" spans="1:6" ht="15" thickBot="1">
      <c r="A274" s="2983">
        <v>185</v>
      </c>
      <c r="B274" s="2984">
        <v>185</v>
      </c>
      <c r="C274" s="2984">
        <v>53.62</v>
      </c>
      <c r="D274" s="2985">
        <v>11.894</v>
      </c>
      <c r="E274" s="2982">
        <f t="shared" si="2"/>
        <v>135000</v>
      </c>
      <c r="F274" s="2982">
        <v>1</v>
      </c>
    </row>
    <row r="275" spans="1:6" ht="15" thickBot="1">
      <c r="A275" s="2983">
        <v>186</v>
      </c>
      <c r="B275" s="2984">
        <v>186</v>
      </c>
      <c r="C275" s="2984">
        <v>44.68</v>
      </c>
      <c r="D275" s="2985">
        <v>9.9109999999999996</v>
      </c>
      <c r="E275" s="2982">
        <f t="shared" si="2"/>
        <v>135000</v>
      </c>
      <c r="F275" s="2982">
        <v>1</v>
      </c>
    </row>
    <row r="276" spans="1:6" ht="15" thickBot="1">
      <c r="A276" s="2983">
        <v>187</v>
      </c>
      <c r="B276" s="2984">
        <v>187</v>
      </c>
      <c r="C276" s="2984">
        <v>44.68</v>
      </c>
      <c r="D276" s="2985">
        <v>9.9109999999999996</v>
      </c>
      <c r="E276" s="2982">
        <f t="shared" si="2"/>
        <v>135000</v>
      </c>
      <c r="F276" s="2982">
        <v>1</v>
      </c>
    </row>
    <row r="277" spans="1:6" ht="15" thickBot="1">
      <c r="A277" s="2983">
        <v>188</v>
      </c>
      <c r="B277" s="2984">
        <v>188</v>
      </c>
      <c r="C277" s="2984">
        <v>44.68</v>
      </c>
      <c r="D277" s="2985">
        <v>9.9109999999999996</v>
      </c>
      <c r="E277" s="2982">
        <f t="shared" si="2"/>
        <v>135000</v>
      </c>
      <c r="F277" s="2982">
        <v>1</v>
      </c>
    </row>
    <row r="278" spans="1:6" ht="15" thickBot="1">
      <c r="A278" s="2983">
        <v>189</v>
      </c>
      <c r="B278" s="2984">
        <v>189</v>
      </c>
      <c r="C278" s="2984">
        <v>44.68</v>
      </c>
      <c r="D278" s="2985">
        <v>9.9109999999999996</v>
      </c>
      <c r="E278" s="2982">
        <f t="shared" si="2"/>
        <v>135000</v>
      </c>
      <c r="F278" s="2982">
        <v>1</v>
      </c>
    </row>
    <row r="279" spans="1:6" ht="15" thickBot="1">
      <c r="A279" s="2983">
        <v>190</v>
      </c>
      <c r="B279" s="2984">
        <v>190</v>
      </c>
      <c r="C279" s="2984">
        <v>44.68</v>
      </c>
      <c r="D279" s="2985">
        <v>9.9109999999999996</v>
      </c>
      <c r="E279" s="2982">
        <f t="shared" si="2"/>
        <v>135000</v>
      </c>
      <c r="F279" s="2982">
        <v>1</v>
      </c>
    </row>
    <row r="280" spans="1:6" ht="15" thickBot="1">
      <c r="A280" s="2983">
        <v>191</v>
      </c>
      <c r="B280" s="2984">
        <v>191</v>
      </c>
      <c r="C280" s="2984">
        <v>44.68</v>
      </c>
      <c r="D280" s="2985">
        <v>9.9109999999999996</v>
      </c>
      <c r="E280" s="2982">
        <f t="shared" si="2"/>
        <v>135000</v>
      </c>
      <c r="F280" s="2982">
        <v>1</v>
      </c>
    </row>
    <row r="281" spans="1:6" ht="15" thickBot="1">
      <c r="A281" s="2983">
        <v>192</v>
      </c>
      <c r="B281" s="2984">
        <v>192</v>
      </c>
      <c r="C281" s="2984">
        <v>44.68</v>
      </c>
      <c r="D281" s="2985">
        <v>9.9109999999999996</v>
      </c>
      <c r="E281" s="2982">
        <f t="shared" si="2"/>
        <v>135000</v>
      </c>
      <c r="F281" s="2982">
        <v>1</v>
      </c>
    </row>
    <row r="282" spans="1:6" ht="15" thickBot="1">
      <c r="A282" s="2983">
        <v>193</v>
      </c>
      <c r="B282" s="2984">
        <v>193</v>
      </c>
      <c r="C282" s="2984">
        <v>44.68</v>
      </c>
      <c r="D282" s="2985">
        <v>9.9109999999999996</v>
      </c>
      <c r="E282" s="2982">
        <f t="shared" si="2"/>
        <v>135000</v>
      </c>
      <c r="F282" s="2982">
        <v>1</v>
      </c>
    </row>
    <row r="283" spans="1:6" ht="15" thickBot="1">
      <c r="A283" s="2983">
        <v>194</v>
      </c>
      <c r="B283" s="2984">
        <v>194</v>
      </c>
      <c r="C283" s="2984">
        <v>44.68</v>
      </c>
      <c r="D283" s="2985">
        <v>9.9109999999999996</v>
      </c>
      <c r="E283" s="2982">
        <f t="shared" si="2"/>
        <v>135000</v>
      </c>
      <c r="F283" s="2982">
        <v>1</v>
      </c>
    </row>
    <row r="284" spans="1:6" ht="15" thickBot="1">
      <c r="A284" s="2983">
        <v>195</v>
      </c>
      <c r="B284" s="2984">
        <v>195</v>
      </c>
      <c r="C284" s="2984">
        <v>44.68</v>
      </c>
      <c r="D284" s="2985">
        <v>9.9109999999999996</v>
      </c>
      <c r="E284" s="2982">
        <f t="shared" ref="E284:E334" si="3">$E$90*F284</f>
        <v>135000</v>
      </c>
      <c r="F284" s="2982">
        <v>1</v>
      </c>
    </row>
    <row r="285" spans="1:6" ht="15" thickBot="1">
      <c r="A285" s="2983">
        <v>196</v>
      </c>
      <c r="B285" s="2984">
        <v>196</v>
      </c>
      <c r="C285" s="2984">
        <v>44.68</v>
      </c>
      <c r="D285" s="2985">
        <v>9.9109999999999996</v>
      </c>
      <c r="E285" s="2982">
        <f t="shared" si="3"/>
        <v>135000</v>
      </c>
      <c r="F285" s="2982">
        <v>1</v>
      </c>
    </row>
    <row r="286" spans="1:6" ht="15" thickBot="1">
      <c r="A286" s="2983">
        <v>197</v>
      </c>
      <c r="B286" s="2984">
        <v>197</v>
      </c>
      <c r="C286" s="2984">
        <v>51.39</v>
      </c>
      <c r="D286" s="2985">
        <v>11.398999999999999</v>
      </c>
      <c r="E286" s="2982">
        <f t="shared" si="3"/>
        <v>135000</v>
      </c>
      <c r="F286" s="2982">
        <v>1</v>
      </c>
    </row>
    <row r="287" spans="1:6" ht="15" thickBot="1">
      <c r="A287" s="2983">
        <v>198</v>
      </c>
      <c r="B287" s="2984">
        <v>198</v>
      </c>
      <c r="C287" s="2984">
        <v>51.39</v>
      </c>
      <c r="D287" s="2985">
        <v>11.398999999999999</v>
      </c>
      <c r="E287" s="2982">
        <f t="shared" si="3"/>
        <v>135000</v>
      </c>
      <c r="F287" s="2982">
        <v>1</v>
      </c>
    </row>
    <row r="288" spans="1:6" ht="15" thickBot="1">
      <c r="A288" s="2983">
        <v>199</v>
      </c>
      <c r="B288" s="2984">
        <v>199</v>
      </c>
      <c r="C288" s="2984">
        <v>44.68</v>
      </c>
      <c r="D288" s="2985">
        <v>9.9109999999999996</v>
      </c>
      <c r="E288" s="2982">
        <f t="shared" si="3"/>
        <v>135000</v>
      </c>
      <c r="F288" s="2982">
        <v>1</v>
      </c>
    </row>
    <row r="289" spans="1:6" ht="15" thickBot="1">
      <c r="A289" s="2983">
        <v>200</v>
      </c>
      <c r="B289" s="2984">
        <v>200</v>
      </c>
      <c r="C289" s="2984">
        <v>44.68</v>
      </c>
      <c r="D289" s="2985">
        <v>9.9109999999999996</v>
      </c>
      <c r="E289" s="2982">
        <f t="shared" si="3"/>
        <v>135000</v>
      </c>
      <c r="F289" s="2982">
        <v>1</v>
      </c>
    </row>
    <row r="290" spans="1:6" ht="15" thickBot="1">
      <c r="A290" s="2983">
        <v>201</v>
      </c>
      <c r="B290" s="2984">
        <v>201</v>
      </c>
      <c r="C290" s="2984">
        <v>44.68</v>
      </c>
      <c r="D290" s="2985">
        <v>9.9109999999999996</v>
      </c>
      <c r="E290" s="2982">
        <f t="shared" si="3"/>
        <v>135000</v>
      </c>
      <c r="F290" s="2982">
        <v>1</v>
      </c>
    </row>
    <row r="291" spans="1:6" ht="15" thickBot="1">
      <c r="A291" s="2983">
        <v>202</v>
      </c>
      <c r="B291" s="2984">
        <v>202</v>
      </c>
      <c r="C291" s="2984">
        <v>44.68</v>
      </c>
      <c r="D291" s="2985">
        <v>9.9109999999999996</v>
      </c>
      <c r="E291" s="2982">
        <f t="shared" si="3"/>
        <v>135000</v>
      </c>
      <c r="F291" s="2982">
        <v>1</v>
      </c>
    </row>
    <row r="292" spans="1:6" ht="15" thickBot="1">
      <c r="A292" s="2983">
        <v>203</v>
      </c>
      <c r="B292" s="2984">
        <v>203</v>
      </c>
      <c r="C292" s="2984">
        <v>44.68</v>
      </c>
      <c r="D292" s="2985">
        <v>9.9109999999999996</v>
      </c>
      <c r="E292" s="2982">
        <f t="shared" si="3"/>
        <v>135000</v>
      </c>
      <c r="F292" s="2982">
        <v>1</v>
      </c>
    </row>
    <row r="293" spans="1:6" ht="15" thickBot="1">
      <c r="A293" s="2983">
        <v>204</v>
      </c>
      <c r="B293" s="2984">
        <v>204</v>
      </c>
      <c r="C293" s="2984">
        <v>44.68</v>
      </c>
      <c r="D293" s="2985">
        <v>9.9109999999999996</v>
      </c>
      <c r="E293" s="2982">
        <f t="shared" si="3"/>
        <v>135000</v>
      </c>
      <c r="F293" s="2982">
        <v>1</v>
      </c>
    </row>
    <row r="294" spans="1:6" ht="15" thickBot="1">
      <c r="A294" s="2983">
        <v>205</v>
      </c>
      <c r="B294" s="2984">
        <v>205</v>
      </c>
      <c r="C294" s="2984">
        <v>44.68</v>
      </c>
      <c r="D294" s="2985">
        <v>9.9109999999999996</v>
      </c>
      <c r="E294" s="2982">
        <f t="shared" si="3"/>
        <v>135000</v>
      </c>
      <c r="F294" s="2982">
        <v>1</v>
      </c>
    </row>
    <row r="295" spans="1:6" ht="15" thickBot="1">
      <c r="A295" s="2983">
        <v>206</v>
      </c>
      <c r="B295" s="2984">
        <v>206</v>
      </c>
      <c r="C295" s="2984">
        <v>44.68</v>
      </c>
      <c r="D295" s="2985">
        <v>9.9109999999999996</v>
      </c>
      <c r="E295" s="2982">
        <f t="shared" si="3"/>
        <v>135000</v>
      </c>
      <c r="F295" s="2982">
        <v>1</v>
      </c>
    </row>
    <row r="296" spans="1:6" ht="15" thickBot="1">
      <c r="A296" s="2983">
        <v>207</v>
      </c>
      <c r="B296" s="2984">
        <v>207</v>
      </c>
      <c r="C296" s="2984">
        <v>44.68</v>
      </c>
      <c r="D296" s="2985">
        <v>9.9109999999999996</v>
      </c>
      <c r="E296" s="2982">
        <f t="shared" si="3"/>
        <v>135000</v>
      </c>
      <c r="F296" s="2982">
        <v>1</v>
      </c>
    </row>
    <row r="297" spans="1:6" ht="15" thickBot="1">
      <c r="A297" s="2983">
        <v>208</v>
      </c>
      <c r="B297" s="2984">
        <v>208</v>
      </c>
      <c r="C297" s="2984">
        <v>44.68</v>
      </c>
      <c r="D297" s="2985">
        <v>9.9109999999999996</v>
      </c>
      <c r="E297" s="2982">
        <f t="shared" si="3"/>
        <v>135000</v>
      </c>
      <c r="F297" s="2982">
        <v>1</v>
      </c>
    </row>
    <row r="298" spans="1:6" ht="15" thickBot="1">
      <c r="A298" s="2983">
        <v>209</v>
      </c>
      <c r="B298" s="2984">
        <v>209</v>
      </c>
      <c r="C298" s="2984">
        <v>44.68</v>
      </c>
      <c r="D298" s="2985">
        <v>9.9109999999999996</v>
      </c>
      <c r="E298" s="2982">
        <f t="shared" si="3"/>
        <v>135000</v>
      </c>
      <c r="F298" s="2982">
        <v>1</v>
      </c>
    </row>
    <row r="299" spans="1:6" ht="15" thickBot="1">
      <c r="A299" s="2983">
        <v>210</v>
      </c>
      <c r="B299" s="2984">
        <v>210</v>
      </c>
      <c r="C299" s="2984">
        <v>44.68</v>
      </c>
      <c r="D299" s="2985">
        <v>9.9109999999999996</v>
      </c>
      <c r="E299" s="2982">
        <f t="shared" si="3"/>
        <v>135000</v>
      </c>
      <c r="F299" s="2982">
        <v>1</v>
      </c>
    </row>
    <row r="300" spans="1:6" ht="15" thickBot="1">
      <c r="A300" s="2983">
        <v>211</v>
      </c>
      <c r="B300" s="2984">
        <v>211</v>
      </c>
      <c r="C300" s="2984">
        <v>44.68</v>
      </c>
      <c r="D300" s="2985">
        <v>9.9109999999999996</v>
      </c>
      <c r="E300" s="2982">
        <f t="shared" si="3"/>
        <v>135000</v>
      </c>
      <c r="F300" s="2982">
        <v>1</v>
      </c>
    </row>
    <row r="301" spans="1:6" ht="15" thickBot="1">
      <c r="A301" s="2983">
        <v>212</v>
      </c>
      <c r="B301" s="2984">
        <v>212</v>
      </c>
      <c r="C301" s="2984">
        <v>44.68</v>
      </c>
      <c r="D301" s="2985">
        <v>9.9109999999999996</v>
      </c>
      <c r="E301" s="2982">
        <f t="shared" si="3"/>
        <v>135000</v>
      </c>
      <c r="F301" s="2982">
        <v>1</v>
      </c>
    </row>
    <row r="302" spans="1:6" ht="15" thickBot="1">
      <c r="A302" s="2983">
        <v>213</v>
      </c>
      <c r="B302" s="2984">
        <v>213</v>
      </c>
      <c r="C302" s="2984">
        <v>87.58</v>
      </c>
      <c r="D302" s="2985">
        <v>19.427</v>
      </c>
      <c r="E302" s="2982">
        <f t="shared" si="3"/>
        <v>229500</v>
      </c>
      <c r="F302" s="2982">
        <f>F100</f>
        <v>1.7</v>
      </c>
    </row>
    <row r="303" spans="1:6" ht="15" thickBot="1">
      <c r="A303" s="2983">
        <v>214</v>
      </c>
      <c r="B303" s="2984">
        <v>214</v>
      </c>
      <c r="C303" s="2984">
        <v>44.68</v>
      </c>
      <c r="D303" s="2985">
        <v>9.9109999999999996</v>
      </c>
      <c r="E303" s="2982">
        <f t="shared" si="3"/>
        <v>135000</v>
      </c>
      <c r="F303" s="2982">
        <v>1</v>
      </c>
    </row>
    <row r="304" spans="1:6" ht="15" thickBot="1">
      <c r="A304" s="2983">
        <v>215</v>
      </c>
      <c r="B304" s="2984">
        <v>215</v>
      </c>
      <c r="C304" s="2984">
        <v>44.68</v>
      </c>
      <c r="D304" s="2985">
        <v>9.9109999999999996</v>
      </c>
      <c r="E304" s="2982">
        <f t="shared" si="3"/>
        <v>135000</v>
      </c>
      <c r="F304" s="2982">
        <v>1</v>
      </c>
    </row>
    <row r="305" spans="1:6" ht="15" thickBot="1">
      <c r="A305" s="2983">
        <v>216</v>
      </c>
      <c r="B305" s="2984">
        <v>216</v>
      </c>
      <c r="C305" s="2984">
        <v>44.68</v>
      </c>
      <c r="D305" s="2985">
        <v>9.9109999999999996</v>
      </c>
      <c r="E305" s="2982">
        <f t="shared" si="3"/>
        <v>135000</v>
      </c>
      <c r="F305" s="2982">
        <v>1</v>
      </c>
    </row>
    <row r="306" spans="1:6" ht="15" thickBot="1">
      <c r="A306" s="2983">
        <v>217</v>
      </c>
      <c r="B306" s="2984">
        <v>217</v>
      </c>
      <c r="C306" s="2984">
        <v>44.68</v>
      </c>
      <c r="D306" s="2985">
        <v>9.9109999999999996</v>
      </c>
      <c r="E306" s="2982">
        <f t="shared" si="3"/>
        <v>135000</v>
      </c>
      <c r="F306" s="2982">
        <v>1</v>
      </c>
    </row>
    <row r="307" spans="1:6" ht="15" thickBot="1">
      <c r="A307" s="2983">
        <v>218</v>
      </c>
      <c r="B307" s="2984">
        <v>218</v>
      </c>
      <c r="C307" s="2984">
        <v>44.68</v>
      </c>
      <c r="D307" s="2985">
        <v>9.9109999999999996</v>
      </c>
      <c r="E307" s="2982">
        <f t="shared" si="3"/>
        <v>135000</v>
      </c>
      <c r="F307" s="2982">
        <v>1</v>
      </c>
    </row>
    <row r="308" spans="1:6" ht="15" thickBot="1">
      <c r="A308" s="2983">
        <v>219</v>
      </c>
      <c r="B308" s="2984">
        <v>219</v>
      </c>
      <c r="C308" s="2984">
        <v>44.68</v>
      </c>
      <c r="D308" s="2985">
        <v>9.9109999999999996</v>
      </c>
      <c r="E308" s="2982">
        <f t="shared" si="3"/>
        <v>135000</v>
      </c>
      <c r="F308" s="2982">
        <v>1</v>
      </c>
    </row>
    <row r="309" spans="1:6" ht="15" thickBot="1">
      <c r="A309" s="2983">
        <v>220</v>
      </c>
      <c r="B309" s="2984">
        <v>220</v>
      </c>
      <c r="C309" s="2984">
        <v>43.94</v>
      </c>
      <c r="D309" s="2985">
        <v>9.7469999999999999</v>
      </c>
      <c r="E309" s="2982">
        <f t="shared" si="3"/>
        <v>135000</v>
      </c>
      <c r="F309" s="2982">
        <v>1</v>
      </c>
    </row>
    <row r="310" spans="1:6" ht="15" thickBot="1">
      <c r="A310" s="2983">
        <v>221</v>
      </c>
      <c r="B310" s="2984">
        <v>221</v>
      </c>
      <c r="C310" s="2984">
        <v>44.68</v>
      </c>
      <c r="D310" s="2985">
        <v>9.9109999999999996</v>
      </c>
      <c r="E310" s="2982">
        <f t="shared" si="3"/>
        <v>135000</v>
      </c>
      <c r="F310" s="2982">
        <v>1</v>
      </c>
    </row>
    <row r="311" spans="1:6" ht="15" thickBot="1">
      <c r="A311" s="2983">
        <v>222</v>
      </c>
      <c r="B311" s="2984">
        <v>222</v>
      </c>
      <c r="C311" s="2984">
        <v>44.68</v>
      </c>
      <c r="D311" s="2985">
        <v>9.9109999999999996</v>
      </c>
      <c r="E311" s="2982">
        <f t="shared" si="3"/>
        <v>135000</v>
      </c>
      <c r="F311" s="2982">
        <v>1</v>
      </c>
    </row>
    <row r="312" spans="1:6" ht="15" thickBot="1">
      <c r="A312" s="2983">
        <v>223</v>
      </c>
      <c r="B312" s="2984">
        <v>223</v>
      </c>
      <c r="C312" s="2984">
        <v>44.68</v>
      </c>
      <c r="D312" s="2985">
        <v>9.9109999999999996</v>
      </c>
      <c r="E312" s="2982">
        <f t="shared" si="3"/>
        <v>135000</v>
      </c>
      <c r="F312" s="2982">
        <v>1</v>
      </c>
    </row>
    <row r="313" spans="1:6" ht="15" thickBot="1">
      <c r="A313" s="2983">
        <v>224</v>
      </c>
      <c r="B313" s="2984">
        <v>224</v>
      </c>
      <c r="C313" s="2984">
        <v>44.68</v>
      </c>
      <c r="D313" s="2985">
        <v>9.9109999999999996</v>
      </c>
      <c r="E313" s="2982">
        <f t="shared" si="3"/>
        <v>135000</v>
      </c>
      <c r="F313" s="2982">
        <v>1</v>
      </c>
    </row>
    <row r="314" spans="1:6" ht="15" thickBot="1">
      <c r="A314" s="2983">
        <v>225</v>
      </c>
      <c r="B314" s="2984">
        <v>225</v>
      </c>
      <c r="C314" s="2984">
        <v>44.68</v>
      </c>
      <c r="D314" s="2985">
        <v>9.9109999999999996</v>
      </c>
      <c r="E314" s="2982">
        <f t="shared" si="3"/>
        <v>135000</v>
      </c>
      <c r="F314" s="2982">
        <v>1</v>
      </c>
    </row>
    <row r="315" spans="1:6" ht="15" thickBot="1">
      <c r="A315" s="2983">
        <v>226</v>
      </c>
      <c r="B315" s="2984">
        <v>226</v>
      </c>
      <c r="C315" s="2984">
        <v>44.68</v>
      </c>
      <c r="D315" s="2985">
        <v>9.9109999999999996</v>
      </c>
      <c r="E315" s="2982">
        <f t="shared" si="3"/>
        <v>135000</v>
      </c>
      <c r="F315" s="2982">
        <v>1</v>
      </c>
    </row>
    <row r="316" spans="1:6" ht="15" thickBot="1">
      <c r="A316" s="2983">
        <v>227</v>
      </c>
      <c r="B316" s="2984">
        <v>227</v>
      </c>
      <c r="C316" s="2984">
        <v>44.68</v>
      </c>
      <c r="D316" s="2985">
        <v>9.9109999999999996</v>
      </c>
      <c r="E316" s="2982">
        <f t="shared" si="3"/>
        <v>135000</v>
      </c>
      <c r="F316" s="2982">
        <v>1</v>
      </c>
    </row>
    <row r="317" spans="1:6" ht="15" thickBot="1">
      <c r="A317" s="2983">
        <v>228</v>
      </c>
      <c r="B317" s="2984">
        <v>228</v>
      </c>
      <c r="C317" s="2984">
        <v>44.68</v>
      </c>
      <c r="D317" s="2985">
        <v>9.9109999999999996</v>
      </c>
      <c r="E317" s="2982">
        <f t="shared" si="3"/>
        <v>135000</v>
      </c>
      <c r="F317" s="2982">
        <v>1</v>
      </c>
    </row>
    <row r="318" spans="1:6" ht="15" thickBot="1">
      <c r="A318" s="2983">
        <v>229</v>
      </c>
      <c r="B318" s="2984">
        <v>229</v>
      </c>
      <c r="C318" s="2984">
        <v>44.68</v>
      </c>
      <c r="D318" s="2985">
        <v>9.9109999999999996</v>
      </c>
      <c r="E318" s="2982">
        <f t="shared" si="3"/>
        <v>135000</v>
      </c>
      <c r="F318" s="2982">
        <v>1</v>
      </c>
    </row>
    <row r="319" spans="1:6" ht="15" thickBot="1">
      <c r="A319" s="2983">
        <v>230</v>
      </c>
      <c r="B319" s="2984">
        <v>230</v>
      </c>
      <c r="C319" s="2984">
        <v>44.68</v>
      </c>
      <c r="D319" s="2985">
        <v>9.9109999999999996</v>
      </c>
      <c r="E319" s="2982">
        <f t="shared" si="3"/>
        <v>135000</v>
      </c>
      <c r="F319" s="2982">
        <v>1</v>
      </c>
    </row>
    <row r="320" spans="1:6" ht="15" thickBot="1">
      <c r="A320" s="2983">
        <v>231</v>
      </c>
      <c r="B320" s="2984">
        <v>231</v>
      </c>
      <c r="C320" s="2984">
        <v>44.68</v>
      </c>
      <c r="D320" s="2985">
        <v>9.9109999999999996</v>
      </c>
      <c r="E320" s="2982">
        <f t="shared" si="3"/>
        <v>135000</v>
      </c>
      <c r="F320" s="2982">
        <v>1</v>
      </c>
    </row>
    <row r="321" spans="1:6" ht="15" thickBot="1">
      <c r="A321" s="2983">
        <v>232</v>
      </c>
      <c r="B321" s="2984">
        <v>232</v>
      </c>
      <c r="C321" s="2984">
        <v>44.68</v>
      </c>
      <c r="D321" s="2985">
        <v>9.9109999999999996</v>
      </c>
      <c r="E321" s="2982">
        <f t="shared" si="3"/>
        <v>135000</v>
      </c>
      <c r="F321" s="2982">
        <v>1</v>
      </c>
    </row>
    <row r="322" spans="1:6" ht="15" thickBot="1">
      <c r="A322" s="2983">
        <v>233</v>
      </c>
      <c r="B322" s="2984">
        <v>233</v>
      </c>
      <c r="C322" s="2984">
        <v>44.68</v>
      </c>
      <c r="D322" s="2985">
        <v>9.9109999999999996</v>
      </c>
      <c r="E322" s="2982">
        <f t="shared" si="3"/>
        <v>135000</v>
      </c>
      <c r="F322" s="2982">
        <v>1</v>
      </c>
    </row>
    <row r="323" spans="1:6" ht="15" thickBot="1">
      <c r="A323" s="2983">
        <v>234</v>
      </c>
      <c r="B323" s="2984">
        <v>234</v>
      </c>
      <c r="C323" s="2984">
        <v>44.68</v>
      </c>
      <c r="D323" s="2985">
        <v>9.9109999999999996</v>
      </c>
      <c r="E323" s="2982">
        <f t="shared" si="3"/>
        <v>135000</v>
      </c>
      <c r="F323" s="2982">
        <v>1</v>
      </c>
    </row>
    <row r="324" spans="1:6" ht="15" thickBot="1">
      <c r="A324" s="2983">
        <v>235</v>
      </c>
      <c r="B324" s="2984">
        <v>235</v>
      </c>
      <c r="C324" s="2984">
        <v>44.68</v>
      </c>
      <c r="D324" s="2985">
        <v>9.9109999999999996</v>
      </c>
      <c r="E324" s="2982">
        <f t="shared" si="3"/>
        <v>135000</v>
      </c>
      <c r="F324" s="2982">
        <v>1</v>
      </c>
    </row>
    <row r="325" spans="1:6" ht="15" thickBot="1">
      <c r="A325" s="2983">
        <v>236</v>
      </c>
      <c r="B325" s="2984">
        <v>236</v>
      </c>
      <c r="C325" s="2984">
        <v>44.68</v>
      </c>
      <c r="D325" s="2985">
        <v>9.9109999999999996</v>
      </c>
      <c r="E325" s="2982">
        <f t="shared" si="3"/>
        <v>135000</v>
      </c>
      <c r="F325" s="2982">
        <v>1</v>
      </c>
    </row>
    <row r="326" spans="1:6" ht="15" thickBot="1">
      <c r="A326" s="2983">
        <v>237</v>
      </c>
      <c r="B326" s="2984">
        <v>237</v>
      </c>
      <c r="C326" s="2984">
        <v>44.68</v>
      </c>
      <c r="D326" s="2985">
        <v>9.9109999999999996</v>
      </c>
      <c r="E326" s="2982">
        <f t="shared" si="3"/>
        <v>135000</v>
      </c>
      <c r="F326" s="2982">
        <v>1</v>
      </c>
    </row>
    <row r="327" spans="1:6" ht="15" thickBot="1">
      <c r="A327" s="2983">
        <v>238</v>
      </c>
      <c r="B327" s="2984">
        <v>238</v>
      </c>
      <c r="C327" s="2984">
        <v>44.68</v>
      </c>
      <c r="D327" s="2985">
        <v>9.9109999999999996</v>
      </c>
      <c r="E327" s="2982">
        <f t="shared" si="3"/>
        <v>135000</v>
      </c>
      <c r="F327" s="2982">
        <v>1</v>
      </c>
    </row>
    <row r="328" spans="1:6" ht="15" thickBot="1">
      <c r="A328" s="2983">
        <v>239</v>
      </c>
      <c r="B328" s="2984">
        <v>239</v>
      </c>
      <c r="C328" s="2984">
        <v>44.68</v>
      </c>
      <c r="D328" s="2985">
        <v>9.9109999999999996</v>
      </c>
      <c r="E328" s="2982">
        <f t="shared" si="3"/>
        <v>135000</v>
      </c>
      <c r="F328" s="2982">
        <v>1</v>
      </c>
    </row>
    <row r="329" spans="1:6" ht="15" thickBot="1">
      <c r="A329" s="2983">
        <v>240</v>
      </c>
      <c r="B329" s="2984">
        <v>240</v>
      </c>
      <c r="C329" s="2984">
        <v>44.68</v>
      </c>
      <c r="D329" s="2985">
        <v>9.9109999999999996</v>
      </c>
      <c r="E329" s="2982">
        <f t="shared" si="3"/>
        <v>135000</v>
      </c>
      <c r="F329" s="2982">
        <v>1</v>
      </c>
    </row>
    <row r="330" spans="1:6" ht="15" thickBot="1">
      <c r="A330" s="2983">
        <v>241</v>
      </c>
      <c r="B330" s="2984">
        <v>241</v>
      </c>
      <c r="C330" s="2984">
        <v>44.68</v>
      </c>
      <c r="D330" s="2985">
        <v>9.9109999999999996</v>
      </c>
      <c r="E330" s="2982">
        <f t="shared" si="3"/>
        <v>135000</v>
      </c>
      <c r="F330" s="2982">
        <v>1</v>
      </c>
    </row>
    <row r="331" spans="1:6" ht="15" thickBot="1">
      <c r="A331" s="2983">
        <v>242</v>
      </c>
      <c r="B331" s="2984">
        <v>242</v>
      </c>
      <c r="C331" s="2984">
        <v>44.68</v>
      </c>
      <c r="D331" s="2985">
        <v>9.9109999999999996</v>
      </c>
      <c r="E331" s="2982">
        <f t="shared" si="3"/>
        <v>135000</v>
      </c>
      <c r="F331" s="2982">
        <v>1</v>
      </c>
    </row>
    <row r="332" spans="1:6" ht="15" thickBot="1">
      <c r="A332" s="2983">
        <v>243</v>
      </c>
      <c r="B332" s="2984">
        <v>243</v>
      </c>
      <c r="C332" s="2984">
        <v>44.68</v>
      </c>
      <c r="D332" s="2985">
        <v>9.9109999999999996</v>
      </c>
      <c r="E332" s="2982">
        <f t="shared" si="3"/>
        <v>135000</v>
      </c>
      <c r="F332" s="2982">
        <v>1</v>
      </c>
    </row>
    <row r="333" spans="1:6" ht="15" thickBot="1">
      <c r="A333" s="2983">
        <v>244</v>
      </c>
      <c r="B333" s="2984">
        <v>244</v>
      </c>
      <c r="C333" s="2984">
        <v>44.68</v>
      </c>
      <c r="D333" s="2985">
        <v>9.9109999999999996</v>
      </c>
      <c r="E333" s="2982">
        <f t="shared" si="3"/>
        <v>135000</v>
      </c>
      <c r="F333" s="2982">
        <v>1</v>
      </c>
    </row>
    <row r="334" spans="1:6" ht="15" thickBot="1">
      <c r="A334" s="2983">
        <v>245</v>
      </c>
      <c r="B334" s="2984">
        <v>245</v>
      </c>
      <c r="C334" s="2984">
        <v>44.68</v>
      </c>
      <c r="D334" s="2985">
        <v>9.9109999999999996</v>
      </c>
      <c r="E334" s="2982">
        <f t="shared" si="3"/>
        <v>135000</v>
      </c>
      <c r="F334" s="2982">
        <v>1</v>
      </c>
    </row>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7"/>
  <sheetViews>
    <sheetView workbookViewId="0">
      <selection activeCell="G11" sqref="G11"/>
    </sheetView>
  </sheetViews>
  <sheetFormatPr defaultRowHeight="13.5"/>
  <sheetData>
    <row r="3" spans="2:7" ht="14.25" thickBot="1"/>
    <row r="4" spans="2:7" ht="14.25" thickTop="1">
      <c r="B4" s="3351">
        <v>49992</v>
      </c>
      <c r="C4" s="3352">
        <v>25329</v>
      </c>
      <c r="D4" s="3352">
        <v>14100</v>
      </c>
      <c r="E4" s="3352">
        <v>7144</v>
      </c>
      <c r="F4" s="3352">
        <v>64092</v>
      </c>
      <c r="G4" s="3352">
        <v>32473</v>
      </c>
    </row>
    <row r="5" spans="2:7">
      <c r="B5" s="3353">
        <v>28447</v>
      </c>
      <c r="C5" s="3354">
        <v>14294</v>
      </c>
      <c r="D5" s="3354">
        <v>14011</v>
      </c>
      <c r="E5" s="3354">
        <v>7041</v>
      </c>
      <c r="F5" s="3354">
        <v>42458</v>
      </c>
      <c r="G5" s="3354">
        <v>21335</v>
      </c>
    </row>
    <row r="6" spans="2:7" ht="14.25" thickBot="1">
      <c r="B6" s="3355">
        <v>249</v>
      </c>
      <c r="C6" s="3356">
        <v>203</v>
      </c>
      <c r="D6" s="3356">
        <v>3302</v>
      </c>
      <c r="E6" s="3356">
        <v>2696</v>
      </c>
      <c r="F6" s="3356">
        <v>3551</v>
      </c>
      <c r="G6" s="3356">
        <v>2900</v>
      </c>
    </row>
    <row r="7" spans="2:7" ht="14.25" thickTop="1">
      <c r="B7">
        <f>SUM(B4:B6)</f>
        <v>78688</v>
      </c>
      <c r="D7">
        <f>SUM(D4:D6)</f>
        <v>31413</v>
      </c>
      <c r="F7">
        <f>SUM(F4:F6)</f>
        <v>110101</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7" t="s">
        <v>1658</v>
      </c>
      <c r="B1" s="3027"/>
      <c r="C1" s="3027"/>
      <c r="D1" s="3027"/>
    </row>
    <row r="2" spans="1:4" ht="18">
      <c r="A2" s="3028" t="s">
        <v>1642</v>
      </c>
      <c r="B2" s="3028"/>
      <c r="C2" s="3028"/>
      <c r="D2" s="3028"/>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吴薇</v>
      </c>
      <c r="B5" s="1977">
        <f ca="1">项目基本情况!E4</f>
        <v>1419970001</v>
      </c>
      <c r="C5" s="1980"/>
      <c r="D5" s="1979" t="s">
        <v>1647</v>
      </c>
    </row>
    <row r="6" spans="1:4" ht="18">
      <c r="A6" s="3028" t="s">
        <v>1648</v>
      </c>
      <c r="B6" s="3028"/>
      <c r="C6" s="3028"/>
      <c r="D6" s="3028"/>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29" t="s">
        <v>1651</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30"/>
      <c r="C15" s="3030"/>
      <c r="D15" s="3030"/>
    </row>
    <row r="16" spans="1:4" ht="30" customHeight="1">
      <c r="A16" s="3033" t="s">
        <v>1652</v>
      </c>
      <c r="B16" s="3033"/>
      <c r="C16" s="3033"/>
      <c r="D16" s="3033"/>
    </row>
    <row r="17" spans="1:4" ht="144" customHeight="1">
      <c r="A17" s="3033" t="s">
        <v>1653</v>
      </c>
      <c r="B17" s="3033"/>
      <c r="C17" s="3033"/>
      <c r="D17" s="3033"/>
    </row>
    <row r="18" spans="1:4" ht="15.75" customHeight="1">
      <c r="A18" s="3030" t="str">
        <f>IF(项目基本情况!B8="抵押",结果表办公!K120,"——")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1654</v>
      </c>
      <c r="B22" s="3035"/>
      <c r="C22" s="3035"/>
      <c r="D22" s="3035"/>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41" t="s">
        <v>1665</v>
      </c>
      <c r="B15" s="3036" t="s">
        <v>136</v>
      </c>
      <c r="C15" s="3037"/>
    </row>
    <row r="16" spans="1:7" ht="13.5">
      <c r="A16" s="3042"/>
      <c r="B16" s="3036" t="s">
        <v>69</v>
      </c>
      <c r="C16" s="3037"/>
    </row>
    <row r="17" spans="1:3" ht="13.5">
      <c r="A17" s="3042"/>
      <c r="B17" s="3039" t="s">
        <v>1666</v>
      </c>
      <c r="C17" s="1998" t="s">
        <v>1665</v>
      </c>
    </row>
    <row r="18" spans="1:3" ht="13.5">
      <c r="A18" s="3042"/>
      <c r="B18" s="3039"/>
      <c r="C18" s="1998" t="s">
        <v>1667</v>
      </c>
    </row>
    <row r="19" spans="1:3" ht="13.5">
      <c r="A19" s="3042"/>
      <c r="B19" s="3039"/>
      <c r="C19" s="1998" t="s">
        <v>1668</v>
      </c>
    </row>
    <row r="20" spans="1:3" ht="13.5">
      <c r="A20" s="3043"/>
      <c r="B20" s="3038" t="s">
        <v>1669</v>
      </c>
      <c r="C20" s="3037"/>
    </row>
    <row r="21" spans="1:3" ht="13.5">
      <c r="A21" s="1999" t="s">
        <v>1670</v>
      </c>
      <c r="B21" s="2000"/>
      <c r="C21" s="2001"/>
    </row>
    <row r="22" spans="1:3" ht="13.5">
      <c r="A22" s="3040" t="s">
        <v>1671</v>
      </c>
      <c r="B22" s="3038" t="s">
        <v>1672</v>
      </c>
      <c r="C22" s="3037"/>
    </row>
    <row r="23" spans="1:3" ht="13.5">
      <c r="A23" s="3040"/>
      <c r="B23" s="3038" t="s">
        <v>1673</v>
      </c>
      <c r="C23" s="3037"/>
    </row>
    <row r="24" spans="1:3" ht="13.5">
      <c r="A24" s="3040"/>
      <c r="B24" s="3038" t="s">
        <v>1674</v>
      </c>
      <c r="C24" s="3037"/>
    </row>
    <row r="25" spans="1:3" ht="13.5">
      <c r="A25" s="3040"/>
      <c r="B25" s="3039" t="s">
        <v>1675</v>
      </c>
      <c r="C25" s="1998" t="s">
        <v>1676</v>
      </c>
    </row>
    <row r="26" spans="1:3" ht="13.5">
      <c r="A26" s="3040"/>
      <c r="B26" s="3039"/>
      <c r="C26" s="1998" t="s">
        <v>1677</v>
      </c>
    </row>
    <row r="27" spans="1:3" ht="13.5">
      <c r="A27" s="3040"/>
      <c r="B27" s="3039"/>
      <c r="C27" s="1998" t="s">
        <v>1678</v>
      </c>
    </row>
    <row r="28" spans="1:3" ht="13.5">
      <c r="A28" s="3040"/>
      <c r="B28" s="3039"/>
      <c r="C28" s="1998" t="s">
        <v>1679</v>
      </c>
    </row>
    <row r="29" spans="1:3" ht="13.5">
      <c r="A29" s="3040"/>
      <c r="B29" s="3039"/>
      <c r="C29" s="1998" t="s">
        <v>1680</v>
      </c>
    </row>
    <row r="30" spans="1:3" ht="13.5">
      <c r="A30" s="3040"/>
      <c r="B30" s="3039"/>
      <c r="C30" s="1998" t="s">
        <v>1681</v>
      </c>
    </row>
    <row r="31" spans="1:3" ht="13.5">
      <c r="A31" s="3040"/>
      <c r="B31" s="3039"/>
      <c r="C31" s="1998" t="s">
        <v>1682</v>
      </c>
    </row>
    <row r="32" spans="1:3" ht="13.5">
      <c r="A32" s="3040"/>
      <c r="B32" s="3039"/>
      <c r="C32" s="1998" t="s">
        <v>1683</v>
      </c>
    </row>
    <row r="33" spans="1:3" ht="13.5">
      <c r="A33" s="3040"/>
      <c r="B33" s="3039"/>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43613</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t="str">
        <f ca="1">IF(C10&lt;B2,"已过期",1120060040)</f>
        <v>已过期</v>
      </c>
      <c r="C10" s="2342">
        <v>43483</v>
      </c>
      <c r="D10" s="2345" t="s">
        <v>838</v>
      </c>
      <c r="E10" s="1020">
        <f ca="1">IF(F10&lt;B2,"已过期",2004110096)</f>
        <v>2004110096</v>
      </c>
      <c r="F10" s="1028">
        <v>47118</v>
      </c>
    </row>
    <row r="11" spans="1:6" ht="24" customHeight="1">
      <c r="A11" s="1700" t="s">
        <v>839</v>
      </c>
      <c r="B11" s="1020">
        <f ca="1">IF(C11&lt;B2,"已过期",1120100036)</f>
        <v>1120100036</v>
      </c>
      <c r="C11" s="2342">
        <v>43622</v>
      </c>
      <c r="D11" s="2345"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3047</v>
      </c>
      <c r="B14" s="1020">
        <f ca="1">IF(C14&lt;B2,"已过期",1120040230)</f>
        <v>1120040230</v>
      </c>
      <c r="C14" s="2342">
        <v>43835</v>
      </c>
      <c r="D14" s="2345" t="s">
        <v>3047</v>
      </c>
      <c r="E14" s="1020">
        <f ca="1">IF(F14&lt;B2,"已过期",98030020)</f>
        <v>98030020</v>
      </c>
      <c r="F14" s="1028">
        <v>47118</v>
      </c>
    </row>
    <row r="15" spans="1:6" ht="24" customHeight="1">
      <c r="A15" s="1701" t="s">
        <v>3048</v>
      </c>
      <c r="B15" s="1020">
        <f ca="1">IF(C15&lt;B2,"已过期",1120070085)</f>
        <v>1120070085</v>
      </c>
      <c r="C15" s="2342">
        <v>43814</v>
      </c>
      <c r="D15" s="2346" t="s">
        <v>3048</v>
      </c>
      <c r="E15" s="1020">
        <f ca="1">IF(F15&lt;B2,"已过期",2004110128)</f>
        <v>2004110128</v>
      </c>
      <c r="F15" s="1021">
        <v>47118</v>
      </c>
    </row>
    <row r="16" spans="1:6" ht="24" customHeight="1">
      <c r="A16" s="1700" t="s">
        <v>3049</v>
      </c>
      <c r="B16" s="1020">
        <f ca="1">IF(C16&lt;B2,"已过期",1120140022)</f>
        <v>1120140022</v>
      </c>
      <c r="C16" s="2925">
        <v>44029</v>
      </c>
      <c r="D16" s="2345" t="s">
        <v>3049</v>
      </c>
      <c r="E16" s="1020">
        <f ca="1">IF(F16&lt;B2,"已过期",2008110059)</f>
        <v>2008110059</v>
      </c>
      <c r="F16" s="1028">
        <v>47177</v>
      </c>
    </row>
    <row r="17" spans="1:7" ht="24" customHeight="1">
      <c r="A17" s="1700"/>
      <c r="B17" s="1020"/>
      <c r="C17" s="2342"/>
      <c r="D17" s="2345" t="s">
        <v>3050</v>
      </c>
      <c r="E17" s="1020">
        <f ca="1">IF(F17&lt;B2,"已过期",2014110076)</f>
        <v>2014110076</v>
      </c>
      <c r="F17" s="1028">
        <v>49302</v>
      </c>
    </row>
    <row r="18" spans="1:7" ht="24" customHeight="1">
      <c r="A18" s="1700"/>
      <c r="B18" s="1020"/>
      <c r="C18" s="2342"/>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5">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44" t="s">
        <v>843</v>
      </c>
      <c r="B25" s="3044"/>
      <c r="C25" s="3044"/>
      <c r="D25" s="3044"/>
      <c r="E25" s="3044"/>
      <c r="F25" s="3044"/>
      <c r="G25" s="3044"/>
    </row>
    <row r="26" spans="1:7" s="1023" customFormat="1" ht="24" customHeight="1">
      <c r="A26" s="3045" t="s">
        <v>844</v>
      </c>
      <c r="B26" s="3045"/>
      <c r="C26" s="3046"/>
      <c r="D26" s="3047" t="s">
        <v>845</v>
      </c>
      <c r="E26" s="3045"/>
      <c r="F26" s="3045"/>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143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收益法办公</vt:lpstr>
      <vt:lpstr>收益法 (元)</vt:lpstr>
      <vt:lpstr>比较法-办公</vt:lpstr>
      <vt:lpstr>典型户型修正办公</vt:lpstr>
      <vt:lpstr>结果表商业</vt:lpstr>
      <vt:lpstr>收益法商业</vt:lpstr>
      <vt:lpstr>比较法-商业</vt:lpstr>
      <vt:lpstr>典型户型修正商业</vt:lpstr>
      <vt:lpstr>结果表车库</vt:lpstr>
      <vt:lpstr>收益法车库</vt:lpstr>
      <vt:lpstr>比较法-车位</vt:lpstr>
      <vt:lpstr>收益法（汇总）</vt:lpstr>
      <vt:lpstr>酒店收入计算</vt:lpstr>
      <vt:lpstr>比较法-住宅</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清单</vt:lpstr>
      <vt:lpstr>201905富兴国际出租情况</vt:lpstr>
      <vt:lpstr>测绘报告办公</vt:lpstr>
      <vt:lpstr>车库测绘报告</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2019-05-28T01:57:05Z</dcterms:modified>
</cp:coreProperties>
</file>