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xing&amp;han\Desktop\朝阳门南大街\"/>
    </mc:Choice>
  </mc:AlternateContent>
  <xr:revisionPtr revIDLastSave="0" documentId="13_ncr:1_{F04F1060-76C8-4B39-B0EB-850710FED6F7}" xr6:coauthVersionLast="47" xr6:coauthVersionMax="47" xr10:uidLastSave="{00000000-0000-0000-0000-000000000000}"/>
  <bookViews>
    <workbookView xWindow="-110" yWindow="-110" windowWidth="19420" windowHeight="10420" tabRatio="899" firstSheet="12"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成本法(除办公) (3)" sheetId="87" state="hidden" r:id="rId10"/>
    <sheet name="成本法(除办公) (2)" sheetId="86" state="hidden" r:id="rId11"/>
    <sheet name="定义" sheetId="10" r:id="rId12"/>
    <sheet name="项目基本情况" sheetId="4" r:id="rId13"/>
    <sheet name="数据-基础表" sheetId="3" r:id="rId14"/>
    <sheet name="抵押物清单（分楼）" sheetId="42" state="hidden" r:id="rId15"/>
    <sheet name="面积明细" sheetId="78" r:id="rId16"/>
    <sheet name="分层面积" sheetId="79" r:id="rId17"/>
    <sheet name="数据-汇总表" sheetId="6" r:id="rId18"/>
    <sheet name="数据-取费表" sheetId="1" r:id="rId19"/>
    <sheet name="估价对象房地状况" sheetId="20" r:id="rId20"/>
    <sheet name="系统读取表" sheetId="74" r:id="rId21"/>
    <sheet name="结果表" sheetId="9" state="hidden" r:id="rId22"/>
    <sheet name="成本法(商业)" sheetId="84" state="hidden" r:id="rId23"/>
    <sheet name="成本法 (元)" sheetId="69" state="hidden" r:id="rId24"/>
    <sheet name="假设开发法" sheetId="12" state="hidden" r:id="rId25"/>
    <sheet name="结果表(办公)" sheetId="83" r:id="rId26"/>
    <sheet name="比较法-办公" sheetId="34" r:id="rId27"/>
    <sheet name="收益法" sheetId="15" r:id="rId28"/>
    <sheet name="Sheet1" sheetId="94" r:id="rId29"/>
    <sheet name="结果表(商业)" sheetId="91" r:id="rId30"/>
    <sheet name="成本法 (商业)" sheetId="88" r:id="rId31"/>
    <sheet name="收益法 (元)" sheetId="67" state="hidden" r:id="rId32"/>
    <sheet name="收益法(商业)" sheetId="80" r:id="rId33"/>
    <sheet name="收益法-酒店模型" sheetId="77" state="hidden" r:id="rId34"/>
    <sheet name="结果表(车库)" sheetId="92" r:id="rId35"/>
    <sheet name="收益法(车库)" sheetId="81" r:id="rId36"/>
    <sheet name="成本法 (车库)" sheetId="89" r:id="rId37"/>
    <sheet name="结果表(仓储)" sheetId="93" r:id="rId38"/>
    <sheet name="收益法(仓储)" sheetId="82" r:id="rId39"/>
    <sheet name="成本法 (仓储)" sheetId="90" r:id="rId40"/>
    <sheet name="收益法（汇总）" sheetId="70" state="hidden" r:id="rId41"/>
    <sheet name="成本法" sheetId="68" state="hidden" r:id="rId42"/>
    <sheet name="比较法-住宅" sheetId="21" state="hidden" r:id="rId43"/>
    <sheet name="比较法-商业" sheetId="33" state="hidden" r:id="rId44"/>
    <sheet name="比较法-工业" sheetId="37" state="hidden" r:id="rId45"/>
    <sheet name="比较法-车位" sheetId="35" state="hidden" r:id="rId46"/>
    <sheet name="比较法-仓储" sheetId="36" state="hidden" r:id="rId47"/>
    <sheet name="土地比较法-住宅、综合" sheetId="39" state="hidden" r:id="rId48"/>
    <sheet name="土地比较法-工业" sheetId="40" state="hidden" r:id="rId49"/>
    <sheet name="基准地价修正" sheetId="43" state="hidden" r:id="rId50"/>
    <sheet name="修正" sheetId="45" state="hidden" r:id="rId51"/>
    <sheet name="容积率修正" sheetId="46" state="hidden" r:id="rId52"/>
    <sheet name="基准地价（汇总）" sheetId="76" state="hidden" r:id="rId53"/>
    <sheet name="地价" sheetId="71" state="hidden" r:id="rId54"/>
    <sheet name="典型户型修正" sheetId="31" state="hidden"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 r:id="rId64"/>
  </externalReferences>
  <definedNames>
    <definedName name="_xlnm._FilterDatabase" localSheetId="26" hidden="1">'比较法-办公'!$A$1:$L$50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43" hidden="1">'比较法-商业'!$A$1:$L$49</definedName>
    <definedName name="_xlnm._FilterDatabase" localSheetId="42" hidden="1">'比较法-住宅'!$A$1:$L$49</definedName>
    <definedName name="_xlnm._FilterDatabase" localSheetId="13"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2" hidden="1">项目基本情况!$A$42:$N$42</definedName>
    <definedName name="_xlnm.Print_Area" localSheetId="26">'比较法-办公'!$A$1:$K$55,'比较法-办公'!$A$58:$M$132</definedName>
    <definedName name="_xlnm.Print_Area" localSheetId="46">'比较法-仓储'!$A$1:$K$42,'比较法-仓储'!$A$45:$M$96</definedName>
    <definedName name="_xlnm.Print_Area" localSheetId="45">'比较法-车位'!$A$1:$K$44,'比较法-车位'!$A$47:$M$102</definedName>
    <definedName name="_xlnm.Print_Area" localSheetId="44">'比较法-工业'!$A$1:$K$48,'比较法-工业'!$A$51:$M$113</definedName>
    <definedName name="_xlnm.Print_Area" localSheetId="43">'比较法-商业'!$A$1:$K$54,'比较法-商业'!$A$57:$M$131</definedName>
    <definedName name="_xlnm.Print_Area" localSheetId="42">'比较法-住宅'!$A$1:$K$54,'比较法-住宅'!$A$57:$M$131</definedName>
    <definedName name="_xlnm.Print_Area" localSheetId="41">成本法!$A$1:$G$57</definedName>
    <definedName name="_xlnm.Print_Area" localSheetId="39">'成本法 (仓储)'!$A$1:$G$57</definedName>
    <definedName name="_xlnm.Print_Area" localSheetId="36">'成本法 (车库)'!$A$1:$G$57</definedName>
    <definedName name="_xlnm.Print_Area" localSheetId="30">'成本法 (商业)'!$A$1:$G$57</definedName>
    <definedName name="_xlnm.Print_Area" localSheetId="23">'成本法 (元)'!$A$1:$G$57</definedName>
    <definedName name="_xlnm.Print_Area" localSheetId="10">'成本法(除办公) (2)'!$A$1:$G$57</definedName>
    <definedName name="_xlnm.Print_Area" localSheetId="9">'成本法(除办公) (3)'!$A$1:$G$57</definedName>
    <definedName name="_xlnm.Print_Area" localSheetId="22">'成本法(商业)'!$A$1:$G$57</definedName>
    <definedName name="_xlnm.Print_Area" localSheetId="19">估价对象房地状况!$A$1:$G$24</definedName>
    <definedName name="_xlnm.Print_Area" localSheetId="8">估价师及机构信息!$A$1:$G$22</definedName>
    <definedName name="_xlnm.Print_Area" localSheetId="52">'基准地价（汇总）'!$A$1:$E$13</definedName>
    <definedName name="_xlnm.Print_Area" localSheetId="49">基准地价修正!$A$1:$J$41,基准地价修正!$A$45:$H$88,基准地价修正!$R$1:$V$16</definedName>
    <definedName name="_xlnm.Print_Area" localSheetId="24">假设开发法!$A$1:$K$32</definedName>
    <definedName name="_xlnm.Print_Area" localSheetId="21">结果表!$A$1:$I$127</definedName>
    <definedName name="_xlnm.Print_Area" localSheetId="25">'结果表(办公)'!$A$1:$I$127</definedName>
    <definedName name="_xlnm.Print_Area" localSheetId="37">'结果表(仓储)'!$A$1:$I$127</definedName>
    <definedName name="_xlnm.Print_Area" localSheetId="34">'结果表(车库)'!$A$1:$I$127</definedName>
    <definedName name="_xlnm.Print_Area" localSheetId="29">'结果表(商业)'!$A$1:$I$127</definedName>
    <definedName name="_xlnm.Print_Area" localSheetId="27">收益法!$A$1:$F$43,收益法!$H$3:$M$29,收益法!$A$46:$F$71,收益法!$I$46:$N$65</definedName>
    <definedName name="_xlnm.Print_Area" localSheetId="31">'收益法 (元)'!$A$1:$F$43,'收益法 (元)'!$H$3:$M$29,'收益法 (元)'!$A$45:$F$71,'收益法 (元)'!$I$46:$N$65</definedName>
    <definedName name="_xlnm.Print_Area" localSheetId="38">'收益法(仓储)'!$A$1:$F$43,'收益法(仓储)'!$H$3:$M$29,'收益法(仓储)'!$A$46:$F$71,'收益法(仓储)'!$I$46:$N$65</definedName>
    <definedName name="_xlnm.Print_Area" localSheetId="35">'收益法(车库)'!$A$1:$F$43,'收益法(车库)'!$H$3:$M$29,'收益法(车库)'!$A$46:$F$71,'收益法(车库)'!$I$46:$N$65</definedName>
    <definedName name="_xlnm.Print_Area" localSheetId="40">'收益法（汇总）'!$A$1:$F$13</definedName>
    <definedName name="_xlnm.Print_Area" localSheetId="32">'收益法(商业)'!$A$1:$F$43,'收益法(商业)'!$H$3:$M$29,'收益法(商业)'!$A$46:$F$71,'收益法(商业)'!$I$46:$N$65</definedName>
    <definedName name="_xlnm.Print_Area" localSheetId="17">'数据-汇总表'!$A$1:$P$32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20">系统读取表!$A$1:$J$26</definedName>
    <definedName name="_xlnm.Print_Area" localSheetId="12">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7" i="74" l="1"/>
  <c r="B17" i="74"/>
  <c r="C16" i="74"/>
  <c r="B16" i="74"/>
  <c r="C15" i="74"/>
  <c r="B15" i="74"/>
  <c r="C14" i="74"/>
  <c r="B14" i="74"/>
  <c r="A31" i="74"/>
  <c r="AM9" i="1" l="1"/>
  <c r="I37" i="34" l="1"/>
  <c r="G37" i="34"/>
  <c r="E37" i="34"/>
  <c r="H7" i="1" l="1"/>
  <c r="H6" i="1"/>
  <c r="C6" i="88" l="1"/>
  <c r="C6" i="89" l="1"/>
  <c r="C6" i="90"/>
  <c r="B55" i="1" l="1"/>
  <c r="B62" i="79"/>
  <c r="O14" i="3"/>
  <c r="K14" i="3"/>
  <c r="I14" i="3"/>
  <c r="C11" i="4" l="1"/>
  <c r="B7" i="4"/>
  <c r="D3" i="4"/>
  <c r="J52" i="15"/>
  <c r="J52" i="80" s="1"/>
  <c r="J52" i="81" s="1"/>
  <c r="J52" i="82" s="1"/>
  <c r="L7" i="1"/>
  <c r="A120" i="93"/>
  <c r="E111" i="93"/>
  <c r="H112" i="93" s="1"/>
  <c r="E109" i="93"/>
  <c r="A124" i="93" s="1"/>
  <c r="E107" i="93"/>
  <c r="A122" i="93" s="1"/>
  <c r="H106" i="93"/>
  <c r="H103" i="93" s="1"/>
  <c r="D120" i="93" s="1"/>
  <c r="H105" i="93"/>
  <c r="H104" i="93"/>
  <c r="D101" i="93"/>
  <c r="C101" i="93"/>
  <c r="C91" i="93"/>
  <c r="E90" i="93"/>
  <c r="D89" i="93"/>
  <c r="C89" i="93"/>
  <c r="C87" i="93" s="1"/>
  <c r="H77" i="93"/>
  <c r="D77" i="93"/>
  <c r="C76" i="93"/>
  <c r="F59" i="93"/>
  <c r="O55" i="93" s="1"/>
  <c r="E59" i="93"/>
  <c r="N55" i="93" s="1"/>
  <c r="F56" i="93"/>
  <c r="K55" i="93"/>
  <c r="J55" i="93"/>
  <c r="I55" i="93"/>
  <c r="F55" i="93"/>
  <c r="O53" i="93" s="1"/>
  <c r="O54" i="93"/>
  <c r="N54" i="93"/>
  <c r="N53" i="93"/>
  <c r="K49" i="93"/>
  <c r="E48" i="93"/>
  <c r="N52" i="93" s="1"/>
  <c r="D48" i="93"/>
  <c r="M52" i="93" s="1"/>
  <c r="F33" i="93"/>
  <c r="D27" i="93"/>
  <c r="C25" i="93"/>
  <c r="C24" i="93"/>
  <c r="D17" i="93"/>
  <c r="C17" i="93"/>
  <c r="C18" i="93" s="1"/>
  <c r="D18" i="93" s="1"/>
  <c r="L4" i="93"/>
  <c r="K4" i="93"/>
  <c r="H1" i="93"/>
  <c r="A120" i="92"/>
  <c r="E111" i="92"/>
  <c r="H112" i="92" s="1"/>
  <c r="E109" i="92"/>
  <c r="A124" i="92" s="1"/>
  <c r="E107" i="92"/>
  <c r="A122" i="92" s="1"/>
  <c r="H106" i="92"/>
  <c r="H105" i="92"/>
  <c r="H104" i="92"/>
  <c r="H103" i="92"/>
  <c r="D120" i="92" s="1"/>
  <c r="D101" i="92"/>
  <c r="C101" i="92"/>
  <c r="C91" i="92"/>
  <c r="E90" i="92"/>
  <c r="D89" i="92"/>
  <c r="C89" i="92"/>
  <c r="C87" i="92" s="1"/>
  <c r="H77" i="92"/>
  <c r="D77" i="92"/>
  <c r="C76" i="92"/>
  <c r="F59" i="92"/>
  <c r="E59" i="92"/>
  <c r="N55" i="92" s="1"/>
  <c r="F56" i="92"/>
  <c r="O54" i="92" s="1"/>
  <c r="O55" i="92"/>
  <c r="K55" i="92"/>
  <c r="J55" i="92"/>
  <c r="I55" i="92"/>
  <c r="F55" i="92"/>
  <c r="O53" i="92" s="1"/>
  <c r="N54" i="92"/>
  <c r="N53" i="92"/>
  <c r="K49" i="92"/>
  <c r="E48" i="92"/>
  <c r="N52" i="92" s="1"/>
  <c r="D48" i="92"/>
  <c r="M52" i="92" s="1"/>
  <c r="F33" i="92"/>
  <c r="D27" i="92"/>
  <c r="C25" i="92"/>
  <c r="C24" i="92"/>
  <c r="D17" i="92"/>
  <c r="C17" i="92"/>
  <c r="L4" i="92"/>
  <c r="K4" i="92"/>
  <c r="H1" i="92"/>
  <c r="A120" i="91"/>
  <c r="E111" i="91"/>
  <c r="H112" i="91" s="1"/>
  <c r="E109" i="91"/>
  <c r="A124" i="91" s="1"/>
  <c r="E107" i="91"/>
  <c r="A122" i="91" s="1"/>
  <c r="H106" i="91"/>
  <c r="H105" i="91"/>
  <c r="H103" i="91" s="1"/>
  <c r="D120" i="91" s="1"/>
  <c r="H104" i="91"/>
  <c r="D101" i="91"/>
  <c r="C101" i="91"/>
  <c r="C91" i="91"/>
  <c r="E90" i="91"/>
  <c r="D89" i="91"/>
  <c r="C89" i="91" s="1"/>
  <c r="C87" i="91" s="1"/>
  <c r="H77" i="91"/>
  <c r="D77" i="91"/>
  <c r="C76" i="91"/>
  <c r="F59" i="91"/>
  <c r="O55" i="91" s="1"/>
  <c r="E59" i="91"/>
  <c r="N55" i="91" s="1"/>
  <c r="F56" i="91"/>
  <c r="K55" i="91"/>
  <c r="J55" i="91"/>
  <c r="I55" i="91"/>
  <c r="F55" i="91"/>
  <c r="O53" i="91" s="1"/>
  <c r="O54" i="91"/>
  <c r="N54" i="91"/>
  <c r="N53" i="91"/>
  <c r="K49" i="91"/>
  <c r="E48" i="91"/>
  <c r="N52" i="91" s="1"/>
  <c r="D48" i="91"/>
  <c r="M52" i="91" s="1"/>
  <c r="F33" i="91"/>
  <c r="D27" i="91"/>
  <c r="C25" i="91"/>
  <c r="C24" i="91"/>
  <c r="D17" i="91"/>
  <c r="C17" i="91"/>
  <c r="L4" i="91"/>
  <c r="K4" i="91"/>
  <c r="H1" i="91"/>
  <c r="F38" i="90"/>
  <c r="E37" i="90"/>
  <c r="F36" i="90"/>
  <c r="F35" i="90"/>
  <c r="F21" i="90"/>
  <c r="F40" i="90" s="1"/>
  <c r="F20" i="90"/>
  <c r="F39" i="90" s="1"/>
  <c r="C19" i="90"/>
  <c r="E10" i="90"/>
  <c r="E9" i="90"/>
  <c r="F7" i="90"/>
  <c r="C7" i="90"/>
  <c r="F38" i="89"/>
  <c r="E37" i="89"/>
  <c r="F36" i="89"/>
  <c r="F35" i="89"/>
  <c r="F21" i="89"/>
  <c r="F40" i="89" s="1"/>
  <c r="F20" i="89"/>
  <c r="F39" i="89" s="1"/>
  <c r="C19" i="89"/>
  <c r="E10" i="89"/>
  <c r="E9" i="89"/>
  <c r="F7" i="89"/>
  <c r="F38" i="88"/>
  <c r="E37" i="88"/>
  <c r="F36" i="88"/>
  <c r="F35" i="88"/>
  <c r="F21" i="88"/>
  <c r="F40" i="88" s="1"/>
  <c r="F20" i="88"/>
  <c r="F39" i="88" s="1"/>
  <c r="E10" i="88"/>
  <c r="E9" i="88"/>
  <c r="F7" i="88"/>
  <c r="F38" i="87"/>
  <c r="E37" i="87"/>
  <c r="F36" i="87"/>
  <c r="F35" i="87"/>
  <c r="F21" i="87"/>
  <c r="F40" i="87" s="1"/>
  <c r="F20" i="87"/>
  <c r="F39" i="87" s="1"/>
  <c r="C19" i="87"/>
  <c r="E10" i="87"/>
  <c r="E9" i="87"/>
  <c r="F7" i="87"/>
  <c r="C6" i="87"/>
  <c r="F38" i="86"/>
  <c r="E37" i="86"/>
  <c r="F36" i="86"/>
  <c r="F35" i="86"/>
  <c r="F21" i="86"/>
  <c r="F40" i="86" s="1"/>
  <c r="F20" i="86"/>
  <c r="F39" i="86" s="1"/>
  <c r="C19" i="86"/>
  <c r="E10" i="86"/>
  <c r="E9" i="86"/>
  <c r="F7" i="86"/>
  <c r="C7" i="86" s="1"/>
  <c r="C6" i="86"/>
  <c r="E2" i="89"/>
  <c r="E2" i="86"/>
  <c r="E2" i="88"/>
  <c r="E2" i="87"/>
  <c r="E2" i="90"/>
  <c r="C18" i="91" l="1"/>
  <c r="D18" i="91" s="1"/>
  <c r="C92" i="93"/>
  <c r="C94" i="93"/>
  <c r="D121" i="93"/>
  <c r="K120" i="93"/>
  <c r="H111" i="93"/>
  <c r="D126" i="93" s="1"/>
  <c r="D127" i="93" s="1"/>
  <c r="A126" i="93"/>
  <c r="H109" i="93"/>
  <c r="C18" i="92"/>
  <c r="D18" i="92" s="1"/>
  <c r="C92" i="92"/>
  <c r="C94" i="92"/>
  <c r="D121" i="92"/>
  <c r="K120" i="92"/>
  <c r="H111" i="92"/>
  <c r="D126" i="92" s="1"/>
  <c r="D127" i="92" s="1"/>
  <c r="A126" i="92"/>
  <c r="H109" i="92"/>
  <c r="C92" i="91"/>
  <c r="C94" i="91"/>
  <c r="D121" i="91"/>
  <c r="K120" i="91"/>
  <c r="H111" i="91"/>
  <c r="D126" i="91" s="1"/>
  <c r="D127" i="91" s="1"/>
  <c r="A126" i="91"/>
  <c r="H109" i="91"/>
  <c r="C21" i="90"/>
  <c r="C40" i="90"/>
  <c r="C7" i="89"/>
  <c r="C21" i="89"/>
  <c r="C40" i="89"/>
  <c r="C7" i="88"/>
  <c r="C21" i="88"/>
  <c r="C40" i="88"/>
  <c r="C7" i="87"/>
  <c r="C21" i="87"/>
  <c r="C40" i="87"/>
  <c r="C21" i="86"/>
  <c r="C40" i="86"/>
  <c r="D124" i="93" l="1"/>
  <c r="D125" i="93" s="1"/>
  <c r="H110" i="93"/>
  <c r="D124" i="92"/>
  <c r="D125" i="92" s="1"/>
  <c r="H110" i="92"/>
  <c r="D124" i="91"/>
  <c r="D125" i="91" s="1"/>
  <c r="H110" i="91"/>
  <c r="C6" i="68" l="1"/>
  <c r="C6" i="84" l="1"/>
  <c r="F38" i="84"/>
  <c r="E37" i="84"/>
  <c r="F36" i="84"/>
  <c r="F35" i="84"/>
  <c r="F21" i="84"/>
  <c r="F40" i="84" s="1"/>
  <c r="F20" i="84"/>
  <c r="F39" i="84" s="1"/>
  <c r="C19" i="84"/>
  <c r="E10" i="84"/>
  <c r="E9" i="84"/>
  <c r="F7" i="84"/>
  <c r="C7" i="84"/>
  <c r="A120" i="83"/>
  <c r="E111" i="83"/>
  <c r="H112" i="83" s="1"/>
  <c r="E109" i="83"/>
  <c r="A124" i="83" s="1"/>
  <c r="E107" i="83"/>
  <c r="A122" i="83" s="1"/>
  <c r="H106" i="83"/>
  <c r="H105" i="83"/>
  <c r="H103" i="83" s="1"/>
  <c r="D120" i="83" s="1"/>
  <c r="H104" i="83"/>
  <c r="D101" i="83"/>
  <c r="C101" i="83"/>
  <c r="C91" i="83"/>
  <c r="E90" i="83"/>
  <c r="D89" i="83"/>
  <c r="C89" i="83" s="1"/>
  <c r="C87" i="83" s="1"/>
  <c r="H77" i="83"/>
  <c r="D77" i="83"/>
  <c r="C76" i="83"/>
  <c r="F59" i="83"/>
  <c r="O55" i="83" s="1"/>
  <c r="E59" i="83"/>
  <c r="N55" i="83" s="1"/>
  <c r="F56" i="83"/>
  <c r="O54" i="83" s="1"/>
  <c r="K55" i="83"/>
  <c r="J55" i="83"/>
  <c r="I55" i="83"/>
  <c r="F55" i="83"/>
  <c r="O53" i="83" s="1"/>
  <c r="N54" i="83"/>
  <c r="N53" i="83"/>
  <c r="K49" i="83"/>
  <c r="E48" i="83"/>
  <c r="N52" i="83" s="1"/>
  <c r="D48" i="83"/>
  <c r="M52" i="83" s="1"/>
  <c r="F33" i="83"/>
  <c r="D27" i="83"/>
  <c r="C25" i="83"/>
  <c r="C24" i="83"/>
  <c r="D17" i="83"/>
  <c r="C17" i="83"/>
  <c r="C18" i="83" s="1"/>
  <c r="D18" i="83" s="1"/>
  <c r="L4" i="83"/>
  <c r="K4" i="83"/>
  <c r="H1" i="83"/>
  <c r="E2" i="84"/>
  <c r="C21" i="84" l="1"/>
  <c r="C40" i="84"/>
  <c r="D121" i="83"/>
  <c r="K120" i="83"/>
  <c r="C92" i="83"/>
  <c r="C94" i="83"/>
  <c r="H109" i="83"/>
  <c r="H111" i="83"/>
  <c r="D126" i="83" s="1"/>
  <c r="D127" i="83" s="1"/>
  <c r="A126" i="83"/>
  <c r="D124" i="83" l="1"/>
  <c r="D125" i="83" s="1"/>
  <c r="H110" i="83"/>
  <c r="D28" i="79" l="1"/>
  <c r="E28" i="79" s="1"/>
  <c r="G26" i="79"/>
  <c r="G27" i="79"/>
  <c r="G25" i="79"/>
  <c r="G28" i="79" l="1"/>
  <c r="F28" i="79" s="1"/>
  <c r="Q72" i="82"/>
  <c r="Q59" i="82"/>
  <c r="K59" i="82"/>
  <c r="P74" i="82" s="1"/>
  <c r="F59" i="82"/>
  <c r="Q58" i="82"/>
  <c r="Q51" i="82"/>
  <c r="J50" i="82"/>
  <c r="M47" i="82"/>
  <c r="D46" i="82"/>
  <c r="F33" i="82"/>
  <c r="F61" i="82" s="1"/>
  <c r="F31" i="82"/>
  <c r="F23" i="82"/>
  <c r="D24" i="82" s="1"/>
  <c r="F21" i="82"/>
  <c r="F20" i="82"/>
  <c r="M19" i="82"/>
  <c r="F18" i="82"/>
  <c r="M17" i="82"/>
  <c r="F17" i="82"/>
  <c r="F15" i="82"/>
  <c r="E26" i="79"/>
  <c r="E27" i="79"/>
  <c r="E25" i="79"/>
  <c r="Q72" i="81"/>
  <c r="Q59" i="81"/>
  <c r="K59" i="81"/>
  <c r="P74" i="81" s="1"/>
  <c r="F59" i="81"/>
  <c r="Q58" i="81"/>
  <c r="Q51" i="81"/>
  <c r="J50" i="81"/>
  <c r="M47" i="81"/>
  <c r="D46" i="81"/>
  <c r="F33" i="81"/>
  <c r="F61" i="81" s="1"/>
  <c r="F31" i="81"/>
  <c r="F23" i="81"/>
  <c r="D24" i="81" s="1"/>
  <c r="F21" i="81"/>
  <c r="F20" i="81"/>
  <c r="M19" i="81"/>
  <c r="F18" i="81"/>
  <c r="M17" i="81"/>
  <c r="F17" i="81"/>
  <c r="F15" i="81"/>
  <c r="AH8" i="1"/>
  <c r="Q72" i="80"/>
  <c r="Q59" i="80"/>
  <c r="K59" i="80"/>
  <c r="P74" i="80" s="1"/>
  <c r="F59" i="80"/>
  <c r="Q58" i="80"/>
  <c r="Q51" i="80"/>
  <c r="J50" i="80"/>
  <c r="M47" i="80"/>
  <c r="D46" i="80"/>
  <c r="F33" i="80"/>
  <c r="F61" i="80" s="1"/>
  <c r="F31" i="80"/>
  <c r="F23" i="80"/>
  <c r="D23" i="80" s="1"/>
  <c r="F21" i="80"/>
  <c r="F20" i="80"/>
  <c r="M19" i="80"/>
  <c r="F18" i="80"/>
  <c r="M17" i="80"/>
  <c r="F17" i="80"/>
  <c r="F15" i="80"/>
  <c r="W7" i="1"/>
  <c r="V7" i="1"/>
  <c r="D24" i="80" l="1"/>
  <c r="P61" i="82"/>
  <c r="D22" i="82"/>
  <c r="D23" i="82"/>
  <c r="P61" i="81"/>
  <c r="D22" i="81"/>
  <c r="D23" i="81"/>
  <c r="P61" i="80"/>
  <c r="D22" i="80"/>
  <c r="N6" i="1" l="1"/>
  <c r="J9" i="1"/>
  <c r="J8" i="1"/>
  <c r="J7" i="1"/>
  <c r="H13" i="4"/>
  <c r="G13" i="4"/>
  <c r="B21" i="1"/>
  <c r="Q13" i="3"/>
  <c r="G22" i="6" s="1"/>
  <c r="G41" i="6" s="1"/>
  <c r="O13" i="3"/>
  <c r="G21" i="6" s="1"/>
  <c r="M13" i="3"/>
  <c r="G20" i="6" s="1"/>
  <c r="B38" i="79"/>
  <c r="B37" i="79"/>
  <c r="B23" i="79"/>
  <c r="B22" i="79"/>
  <c r="B21" i="79"/>
  <c r="B20" i="79"/>
  <c r="B19" i="79"/>
  <c r="B18" i="79"/>
  <c r="B17" i="79"/>
  <c r="B16" i="79"/>
  <c r="B15" i="79"/>
  <c r="B14" i="79"/>
  <c r="B13" i="79"/>
  <c r="B12" i="79"/>
  <c r="B11" i="79"/>
  <c r="B10" i="79"/>
  <c r="B9" i="79"/>
  <c r="B8" i="79"/>
  <c r="B7" i="79"/>
  <c r="B6" i="79"/>
  <c r="B5" i="79"/>
  <c r="B4" i="79"/>
  <c r="B499" i="78"/>
  <c r="B498" i="78"/>
  <c r="E496" i="78"/>
  <c r="C496" i="78"/>
  <c r="B496" i="78"/>
  <c r="S21" i="1" l="1"/>
  <c r="F41" i="6"/>
  <c r="N9" i="1"/>
  <c r="Y9" i="1" s="1"/>
  <c r="C37" i="34"/>
  <c r="K13" i="3"/>
  <c r="F20" i="6" s="1"/>
  <c r="S22" i="1" s="1"/>
  <c r="U22" i="1" s="1"/>
  <c r="B36" i="79"/>
  <c r="N7" i="1"/>
  <c r="Y7" i="1" s="1"/>
  <c r="Y6" i="1"/>
  <c r="S23" i="1"/>
  <c r="U21" i="1"/>
  <c r="U23" i="1" s="1"/>
  <c r="T23" i="1" s="1"/>
  <c r="N8" i="1"/>
  <c r="Y8" i="1" s="1"/>
  <c r="I13" i="3"/>
  <c r="F19" i="6" s="1"/>
  <c r="B35" i="79"/>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C29" i="77"/>
  <c r="R35" i="77"/>
  <c r="U34" i="77" s="1"/>
  <c r="AH6" i="71"/>
  <c r="AG6" i="71"/>
  <c r="AE6" i="71"/>
  <c r="AF6" i="71" s="1"/>
  <c r="AD6" i="71"/>
  <c r="Q6" i="71"/>
  <c r="P6" i="71"/>
  <c r="O6" i="71"/>
  <c r="N6" i="71"/>
  <c r="D32" i="77" l="1"/>
  <c r="D7" i="77"/>
  <c r="C26" i="77" s="1"/>
  <c r="C32" i="77" s="1"/>
  <c r="C38" i="77" s="1"/>
  <c r="C39" i="77" s="1"/>
  <c r="R19" i="77"/>
  <c r="R5" i="77" s="1"/>
  <c r="U5" i="77" s="1"/>
  <c r="E26" i="77"/>
  <c r="E38" i="77"/>
  <c r="E39" i="77" s="1"/>
  <c r="E29" i="77"/>
  <c r="AH7" i="71"/>
  <c r="AG7" i="71"/>
  <c r="AE7" i="71"/>
  <c r="AF7" i="71" s="1"/>
  <c r="AD7" i="71"/>
  <c r="Q7" i="71"/>
  <c r="P7" i="71"/>
  <c r="O7" i="71"/>
  <c r="N7" i="71"/>
  <c r="E32" i="77" l="1"/>
  <c r="C40" i="77"/>
  <c r="C41" i="77" s="1"/>
  <c r="B2" i="77" l="1"/>
  <c r="B3" i="77" s="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P21" i="71"/>
  <c r="O21" i="71"/>
  <c r="C21" i="71" s="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3" i="71"/>
  <c r="P23" i="71"/>
  <c r="O23" i="71"/>
  <c r="N23" i="71"/>
  <c r="A15" i="51"/>
  <c r="B12" i="72" s="1"/>
  <c r="C76" i="9"/>
  <c r="I107" i="40"/>
  <c r="K6" i="4"/>
  <c r="B22" i="31"/>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I12" i="43"/>
  <c r="AH9" i="43"/>
  <c r="AH12" i="43" s="1"/>
  <c r="AG9" i="43"/>
  <c r="AG10" i="43" s="1"/>
  <c r="AG12" i="43"/>
  <c r="AF9" i="43"/>
  <c r="AE9" i="43"/>
  <c r="AE12" i="43"/>
  <c r="AD9" i="43"/>
  <c r="AC9" i="43"/>
  <c r="AC10" i="43" s="1"/>
  <c r="AB9" i="43"/>
  <c r="AB12" i="43" s="1"/>
  <c r="AA9" i="43"/>
  <c r="AA10" i="43" s="1"/>
  <c r="AA12" i="43"/>
  <c r="Z9" i="43"/>
  <c r="AE10" i="43"/>
  <c r="AB10" i="43"/>
  <c r="AH10" i="43"/>
  <c r="K49" i="9"/>
  <c r="E107" i="9"/>
  <c r="A122" i="9" s="1"/>
  <c r="A8" i="52" s="1"/>
  <c r="B54" i="72" s="1"/>
  <c r="E111" i="9"/>
  <c r="A126" i="9" s="1"/>
  <c r="E109" i="9"/>
  <c r="A124" i="9"/>
  <c r="B44" i="72"/>
  <c r="B42" i="72"/>
  <c r="B69" i="72"/>
  <c r="B68" i="72"/>
  <c r="B63" i="72"/>
  <c r="B62" i="72"/>
  <c r="B16" i="72"/>
  <c r="B10" i="72"/>
  <c r="C53" i="10"/>
  <c r="B51" i="10"/>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D81" i="71" s="1"/>
  <c r="B81" i="71"/>
  <c r="B80" i="71" s="1"/>
  <c r="B79" i="71" s="1"/>
  <c r="D78" i="71"/>
  <c r="Q77" i="71"/>
  <c r="P77" i="71"/>
  <c r="O77" i="71"/>
  <c r="N77" i="71"/>
  <c r="F77" i="71"/>
  <c r="E77" i="71"/>
  <c r="C77" i="71"/>
  <c r="T77" i="71"/>
  <c r="B77" i="71"/>
  <c r="S77" i="71" s="1"/>
  <c r="Q76" i="71"/>
  <c r="P76" i="71"/>
  <c r="O76" i="71"/>
  <c r="N76" i="71"/>
  <c r="Q75" i="71"/>
  <c r="P75" i="71"/>
  <c r="O75" i="71"/>
  <c r="N75" i="71"/>
  <c r="Q74" i="71"/>
  <c r="P74" i="71"/>
  <c r="O74" i="71"/>
  <c r="N74" i="71"/>
  <c r="D74" i="71"/>
  <c r="Q73" i="71"/>
  <c r="P73" i="71"/>
  <c r="O73" i="71"/>
  <c r="N73" i="71"/>
  <c r="F73" i="71"/>
  <c r="F72" i="71" s="1"/>
  <c r="F71" i="71" s="1"/>
  <c r="E73" i="71"/>
  <c r="U73" i="71" s="1"/>
  <c r="C73" i="71"/>
  <c r="T73" i="71" s="1"/>
  <c r="B73" i="71"/>
  <c r="Q72" i="71"/>
  <c r="P72" i="71"/>
  <c r="O72" i="71"/>
  <c r="N72" i="71"/>
  <c r="Q71" i="71"/>
  <c r="P71" i="71"/>
  <c r="O71" i="71"/>
  <c r="N71" i="71"/>
  <c r="Q70" i="71"/>
  <c r="P70" i="71"/>
  <c r="O70" i="71"/>
  <c r="N70" i="71"/>
  <c r="D70" i="71"/>
  <c r="Q69" i="71"/>
  <c r="P69" i="71"/>
  <c r="O69" i="71"/>
  <c r="N69" i="71"/>
  <c r="F69" i="71"/>
  <c r="E69" i="71"/>
  <c r="U69" i="71" s="1"/>
  <c r="C69" i="71"/>
  <c r="B69" i="71"/>
  <c r="S69" i="71" s="1"/>
  <c r="Q68" i="71"/>
  <c r="P68" i="71"/>
  <c r="O68" i="71"/>
  <c r="N68" i="71"/>
  <c r="Q67" i="71"/>
  <c r="P67" i="71"/>
  <c r="O67" i="71"/>
  <c r="N67" i="71"/>
  <c r="Q66" i="71"/>
  <c r="P66" i="71"/>
  <c r="O66" i="71"/>
  <c r="N66" i="71"/>
  <c r="D66" i="71"/>
  <c r="F65" i="71"/>
  <c r="V65" i="71" s="1"/>
  <c r="E65" i="71"/>
  <c r="U65" i="71" s="1"/>
  <c r="C65" i="71"/>
  <c r="B65" i="71"/>
  <c r="S65" i="71" s="1"/>
  <c r="B64" i="71"/>
  <c r="N64" i="71" s="1"/>
  <c r="D62" i="71"/>
  <c r="Q61" i="71"/>
  <c r="P61" i="71"/>
  <c r="O61" i="71"/>
  <c r="N61" i="71"/>
  <c r="Q60" i="71"/>
  <c r="P60" i="71"/>
  <c r="O60" i="71"/>
  <c r="N60" i="71"/>
  <c r="Q59" i="71"/>
  <c r="P59" i="71"/>
  <c r="O59" i="71"/>
  <c r="N59" i="71"/>
  <c r="Q58" i="71"/>
  <c r="F59" i="71" s="1"/>
  <c r="F60" i="71" s="1"/>
  <c r="F61" i="71" s="1"/>
  <c r="V61" i="71" s="1"/>
  <c r="P58" i="71"/>
  <c r="E59" i="71"/>
  <c r="E60"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s="1"/>
  <c r="O42" i="71"/>
  <c r="C43" i="71" s="1"/>
  <c r="C44" i="71" s="1"/>
  <c r="D44"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AB36" i="71" s="1"/>
  <c r="P36" i="71"/>
  <c r="O36" i="71"/>
  <c r="Y36" i="71" s="1"/>
  <c r="Z36" i="71" s="1"/>
  <c r="N36" i="71"/>
  <c r="X36" i="71" s="1"/>
  <c r="Q35" i="71"/>
  <c r="P35" i="71"/>
  <c r="O35" i="71"/>
  <c r="N35" i="71"/>
  <c r="X35" i="71" s="1"/>
  <c r="Q34" i="71"/>
  <c r="F35" i="71" s="1"/>
  <c r="F36" i="71" s="1"/>
  <c r="F37" i="71" s="1"/>
  <c r="V37" i="71" s="1"/>
  <c r="P34" i="71"/>
  <c r="O34" i="71"/>
  <c r="N34" i="71"/>
  <c r="D34" i="71"/>
  <c r="Q33" i="71"/>
  <c r="P33" i="71"/>
  <c r="O33" i="71"/>
  <c r="N33" i="71"/>
  <c r="X33" i="71" s="1"/>
  <c r="Q32" i="71"/>
  <c r="P32" i="71"/>
  <c r="O32" i="71"/>
  <c r="N32" i="71"/>
  <c r="Q31" i="71"/>
  <c r="P31" i="71"/>
  <c r="O31" i="71"/>
  <c r="N31" i="71"/>
  <c r="Q30" i="71"/>
  <c r="F31" i="71" s="1"/>
  <c r="F32" i="71" s="1"/>
  <c r="F33" i="71" s="1"/>
  <c r="V33" i="71" s="1"/>
  <c r="P30" i="71"/>
  <c r="O30" i="71"/>
  <c r="C31" i="71" s="1"/>
  <c r="D31" i="71" s="1"/>
  <c r="N30" i="71"/>
  <c r="D30" i="71"/>
  <c r="Q29" i="71"/>
  <c r="P29" i="71"/>
  <c r="O29" i="71"/>
  <c r="N29" i="71"/>
  <c r="Q28" i="71"/>
  <c r="P28" i="71"/>
  <c r="O28" i="71"/>
  <c r="N28" i="71"/>
  <c r="Q27" i="71"/>
  <c r="P27" i="71"/>
  <c r="O27" i="71"/>
  <c r="N27" i="71"/>
  <c r="Q26" i="71"/>
  <c r="P26" i="71"/>
  <c r="E27" i="71" s="1"/>
  <c r="E28" i="71" s="1"/>
  <c r="E29" i="71" s="1"/>
  <c r="U29" i="71" s="1"/>
  <c r="O26" i="71"/>
  <c r="C27" i="71" s="1"/>
  <c r="D27" i="71" s="1"/>
  <c r="N26" i="71"/>
  <c r="D26" i="71"/>
  <c r="O25" i="71"/>
  <c r="N25" i="71"/>
  <c r="B25" i="71" s="1"/>
  <c r="B27" i="71"/>
  <c r="B28" i="71" s="1"/>
  <c r="B29" i="71" s="1"/>
  <c r="S29" i="71" s="1"/>
  <c r="B35" i="71"/>
  <c r="N65" i="71"/>
  <c r="E31" i="71"/>
  <c r="E32" i="71" s="1"/>
  <c r="E33" i="71" s="1"/>
  <c r="U33" i="71" s="1"/>
  <c r="AA31" i="71"/>
  <c r="AA35" i="71"/>
  <c r="D43" i="71"/>
  <c r="D47" i="71"/>
  <c r="P25" i="71"/>
  <c r="E61" i="71"/>
  <c r="U61" i="71" s="1"/>
  <c r="Q25" i="71"/>
  <c r="F25" i="71" s="1"/>
  <c r="F24" i="71" s="1"/>
  <c r="F23" i="71" s="1"/>
  <c r="B63" i="71"/>
  <c r="N63" i="71" s="1"/>
  <c r="Q65" i="71"/>
  <c r="E72" i="71"/>
  <c r="E71" i="71" s="1"/>
  <c r="D73" i="71"/>
  <c r="C76" i="71"/>
  <c r="D76" i="71" s="1"/>
  <c r="D77" i="71"/>
  <c r="C75" i="71"/>
  <c r="D75"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F18" i="36"/>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C29" i="39"/>
  <c r="S25" i="40"/>
  <c r="H25" i="40"/>
  <c r="J25" i="40"/>
  <c r="H29" i="39"/>
  <c r="J29" i="39"/>
  <c r="AC29" i="39" s="1"/>
  <c r="J18" i="36"/>
  <c r="AC18" i="36" s="1"/>
  <c r="H18" i="35"/>
  <c r="AB18" i="35" s="1"/>
  <c r="J18" i="35"/>
  <c r="W18" i="35" s="1"/>
  <c r="H21" i="37"/>
  <c r="U21" i="37" s="1"/>
  <c r="F21" i="37"/>
  <c r="AA21" i="37" s="1"/>
  <c r="H21" i="34"/>
  <c r="H21" i="33"/>
  <c r="U21" i="33" s="1"/>
  <c r="F21" i="33"/>
  <c r="S21" i="33" s="1"/>
  <c r="S21" i="21"/>
  <c r="H1" i="69"/>
  <c r="AB25" i="40"/>
  <c r="U25" i="40"/>
  <c r="W29" i="39"/>
  <c r="W18" i="36"/>
  <c r="AB21" i="37"/>
  <c r="S21" i="37"/>
  <c r="AB21" i="33"/>
  <c r="AA21" i="33"/>
  <c r="AC18" i="35"/>
  <c r="J21" i="37"/>
  <c r="J21" i="34"/>
  <c r="W21" i="34" s="1"/>
  <c r="J21" i="33"/>
  <c r="W21" i="33" s="1"/>
  <c r="H21" i="21"/>
  <c r="U21" i="21" s="1"/>
  <c r="F38" i="69"/>
  <c r="E37" i="69"/>
  <c r="F36" i="69"/>
  <c r="F35" i="69"/>
  <c r="F21" i="69"/>
  <c r="F20" i="69"/>
  <c r="F39" i="69" s="1"/>
  <c r="E10" i="69"/>
  <c r="E9" i="69"/>
  <c r="C7" i="69"/>
  <c r="AC21" i="34"/>
  <c r="AB21" i="21"/>
  <c r="J21" i="21"/>
  <c r="W21" i="21" s="1"/>
  <c r="F38" i="68"/>
  <c r="E37" i="68"/>
  <c r="F36" i="68"/>
  <c r="F35" i="68"/>
  <c r="F21" i="68"/>
  <c r="F20" i="68"/>
  <c r="F39" i="68" s="1"/>
  <c r="E10" i="68"/>
  <c r="E9" i="68"/>
  <c r="Q72" i="67"/>
  <c r="Q59" i="67"/>
  <c r="Q58" i="67"/>
  <c r="Q51" i="67"/>
  <c r="J50" i="67"/>
  <c r="M47" i="67"/>
  <c r="D46" i="67"/>
  <c r="F33" i="67"/>
  <c r="F61" i="67" s="1"/>
  <c r="F23" i="67"/>
  <c r="F21" i="67"/>
  <c r="F20" i="67"/>
  <c r="M19" i="67"/>
  <c r="F18" i="67"/>
  <c r="F17" i="67"/>
  <c r="F15" i="67"/>
  <c r="S2" i="4"/>
  <c r="S1" i="4"/>
  <c r="B1" i="4"/>
  <c r="D1" i="43"/>
  <c r="F113" i="43"/>
  <c r="N99" i="43"/>
  <c r="N100" i="43" s="1"/>
  <c r="N108" i="43"/>
  <c r="D99" i="43"/>
  <c r="E99" i="43"/>
  <c r="E108" i="43" s="1"/>
  <c r="F99" i="43"/>
  <c r="F108" i="43" s="1"/>
  <c r="G99" i="43"/>
  <c r="H99" i="43"/>
  <c r="H108" i="43" s="1"/>
  <c r="I99" i="43"/>
  <c r="I108" i="43" s="1"/>
  <c r="J99" i="43"/>
  <c r="J108" i="43" s="1"/>
  <c r="K99" i="43"/>
  <c r="K100" i="43" s="1"/>
  <c r="L99" i="43"/>
  <c r="M99" i="43"/>
  <c r="C99" i="43"/>
  <c r="C108" i="43" s="1"/>
  <c r="E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K10" i="1" s="1"/>
  <c r="M10" i="1" s="1"/>
  <c r="O10" i="1" s="1"/>
  <c r="P10" i="1" s="1"/>
  <c r="A11" i="1"/>
  <c r="A12" i="1"/>
  <c r="A13" i="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c r="R284" i="31"/>
  <c r="R285" i="31"/>
  <c r="S285" i="31" s="1"/>
  <c r="R286" i="31"/>
  <c r="R287" i="31"/>
  <c r="S287" i="31" s="1"/>
  <c r="R288" i="31"/>
  <c r="R289" i="31"/>
  <c r="S289" i="3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c r="R322" i="31"/>
  <c r="R323" i="31"/>
  <c r="S323" i="31"/>
  <c r="R324" i="31"/>
  <c r="R325" i="31"/>
  <c r="S325" i="31" s="1"/>
  <c r="R326" i="31"/>
  <c r="R327" i="31"/>
  <c r="S327" i="31"/>
  <c r="R328" i="31"/>
  <c r="R329" i="31"/>
  <c r="S329" i="31"/>
  <c r="R330" i="31"/>
  <c r="R331" i="31"/>
  <c r="S331" i="31" s="1"/>
  <c r="R332" i="31"/>
  <c r="R333" i="31"/>
  <c r="S333" i="31" s="1"/>
  <c r="R334" i="31"/>
  <c r="R335" i="31"/>
  <c r="S335" i="31" s="1"/>
  <c r="R336" i="31"/>
  <c r="R337" i="31"/>
  <c r="S337" i="31"/>
  <c r="R338" i="31"/>
  <c r="R339" i="31"/>
  <c r="S339" i="31"/>
  <c r="R340" i="31"/>
  <c r="S340" i="31" s="1"/>
  <c r="R341" i="31"/>
  <c r="S341" i="31" s="1"/>
  <c r="R342" i="31"/>
  <c r="R343" i="31"/>
  <c r="S343" i="31"/>
  <c r="R344" i="31"/>
  <c r="R345" i="31"/>
  <c r="S345" i="3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S372" i="31" s="1"/>
  <c r="R373" i="31"/>
  <c r="S373" i="31" s="1"/>
  <c r="R374" i="31"/>
  <c r="R375" i="31"/>
  <c r="S375" i="31" s="1"/>
  <c r="R376" i="31"/>
  <c r="R377" i="31"/>
  <c r="S377" i="31"/>
  <c r="R378" i="31"/>
  <c r="R379" i="31"/>
  <c r="S379" i="31" s="1"/>
  <c r="R380" i="31"/>
  <c r="R381" i="31"/>
  <c r="S381" i="31" s="1"/>
  <c r="R382" i="31"/>
  <c r="R383" i="31"/>
  <c r="S383" i="31"/>
  <c r="R384" i="31"/>
  <c r="R385" i="31"/>
  <c r="S385" i="31" s="1"/>
  <c r="R386" i="31"/>
  <c r="R387" i="31"/>
  <c r="S387" i="3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S404" i="31" s="1"/>
  <c r="R405" i="31"/>
  <c r="S405" i="31" s="1"/>
  <c r="R406" i="31"/>
  <c r="R407" i="31"/>
  <c r="S407" i="31"/>
  <c r="R408" i="31"/>
  <c r="R409" i="31"/>
  <c r="S409" i="31" s="1"/>
  <c r="R410" i="31"/>
  <c r="R411" i="31"/>
  <c r="S411" i="31" s="1"/>
  <c r="R412" i="31"/>
  <c r="R413" i="31"/>
  <c r="S413" i="31" s="1"/>
  <c r="R414" i="31"/>
  <c r="R415" i="31"/>
  <c r="S415" i="31" s="1"/>
  <c r="R416" i="31"/>
  <c r="R417" i="31"/>
  <c r="S417" i="3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I15" i="4"/>
  <c r="H15" i="4"/>
  <c r="F9" i="1" s="1"/>
  <c r="G15" i="4"/>
  <c r="F8" i="1" s="1"/>
  <c r="E15" i="4"/>
  <c r="F7" i="1" s="1"/>
  <c r="G7" i="1"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2" i="31"/>
  <c r="S400" i="31"/>
  <c r="S398" i="31"/>
  <c r="S396" i="31"/>
  <c r="S394" i="31"/>
  <c r="S392" i="31"/>
  <c r="S390" i="31"/>
  <c r="S388" i="31"/>
  <c r="S386" i="31"/>
  <c r="S384" i="31"/>
  <c r="S382" i="31"/>
  <c r="S380" i="31"/>
  <c r="S378" i="31"/>
  <c r="S376" i="31"/>
  <c r="S374" i="31"/>
  <c r="S370" i="31"/>
  <c r="S368" i="31"/>
  <c r="S366" i="31"/>
  <c r="S364" i="31"/>
  <c r="S362" i="31"/>
  <c r="S360" i="31"/>
  <c r="S358" i="31"/>
  <c r="S356" i="31"/>
  <c r="S354" i="31"/>
  <c r="S352" i="31"/>
  <c r="S350" i="31"/>
  <c r="S348" i="31"/>
  <c r="S346" i="31"/>
  <c r="S344" i="31"/>
  <c r="S342"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s="1"/>
  <c r="G48" i="40"/>
  <c r="H48" i="40" s="1"/>
  <c r="E48" i="40"/>
  <c r="F48" i="40"/>
  <c r="I53" i="39"/>
  <c r="J53" i="39" s="1"/>
  <c r="G53" i="39"/>
  <c r="H53" i="39"/>
  <c r="E53" i="39"/>
  <c r="F53" i="39" s="1"/>
  <c r="I42" i="36"/>
  <c r="J42" i="36" s="1"/>
  <c r="G42" i="36"/>
  <c r="H42" i="36" s="1"/>
  <c r="E42" i="36"/>
  <c r="F42" i="36"/>
  <c r="I44" i="35"/>
  <c r="J44" i="35" s="1"/>
  <c r="G44" i="35"/>
  <c r="H44" i="35"/>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L493" i="3" s="1"/>
  <c r="AZ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L515" i="3" s="1"/>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AZ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AZ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s="1"/>
  <c r="W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c r="F90" i="40" s="1"/>
  <c r="G90" i="40" s="1"/>
  <c r="D88" i="40"/>
  <c r="E88" i="40" s="1"/>
  <c r="F88" i="40" s="1"/>
  <c r="D86" i="40"/>
  <c r="E86" i="40" s="1"/>
  <c r="F86" i="40" s="1"/>
  <c r="G86" i="40" s="1"/>
  <c r="D84" i="40"/>
  <c r="E84" i="40" s="1"/>
  <c r="F84" i="40" s="1"/>
  <c r="G84" i="40" s="1"/>
  <c r="B81" i="40"/>
  <c r="J14" i="40" s="1"/>
  <c r="W14" i="40" s="1"/>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AB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AA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B82" i="37"/>
  <c r="D79" i="37"/>
  <c r="E79" i="37" s="1"/>
  <c r="D75" i="37"/>
  <c r="E75" i="37" s="1"/>
  <c r="F75" i="37" s="1"/>
  <c r="G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S10" i="37" s="1"/>
  <c r="Q9" i="37"/>
  <c r="Z9" i="37" s="1"/>
  <c r="J8" i="37"/>
  <c r="W8" i="37" s="1"/>
  <c r="H8" i="37"/>
  <c r="AB8" i="37"/>
  <c r="F8" i="37"/>
  <c r="S8" i="37" s="1"/>
  <c r="J31" i="36"/>
  <c r="W31" i="36" s="1"/>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AB22" i="36" s="1"/>
  <c r="D68" i="36"/>
  <c r="E68" i="36" s="1"/>
  <c r="F68" i="36" s="1"/>
  <c r="G68" i="36" s="1"/>
  <c r="D64" i="36"/>
  <c r="E64" i="36" s="1"/>
  <c r="F64" i="36" s="1"/>
  <c r="G64" i="36" s="1"/>
  <c r="J16" i="36"/>
  <c r="AC16" i="36" s="1"/>
  <c r="D62" i="36"/>
  <c r="E62" i="36" s="1"/>
  <c r="F62" i="36" s="1"/>
  <c r="G62" i="36" s="1"/>
  <c r="B59" i="36"/>
  <c r="F13" i="36" s="1"/>
  <c r="B57" i="36"/>
  <c r="J12" i="36" s="1"/>
  <c r="B55" i="36"/>
  <c r="F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c r="Q26" i="36"/>
  <c r="Z26" i="36" s="1"/>
  <c r="H26" i="36"/>
  <c r="AB26" i="36" s="1"/>
  <c r="Q25" i="36"/>
  <c r="Z25" i="36" s="1"/>
  <c r="Q24" i="36"/>
  <c r="Z24" i="36" s="1"/>
  <c r="H24" i="36"/>
  <c r="AB24" i="36" s="1"/>
  <c r="Q23" i="36"/>
  <c r="Z23" i="36" s="1"/>
  <c r="Q22" i="36"/>
  <c r="Z22" i="36" s="1"/>
  <c r="J22" i="36"/>
  <c r="AC22" i="36" s="1"/>
  <c r="Q20" i="36"/>
  <c r="Z20" i="36" s="1"/>
  <c r="Q16" i="36"/>
  <c r="Z16" i="36"/>
  <c r="Q14" i="36"/>
  <c r="Z14" i="36" s="1"/>
  <c r="Q13" i="36"/>
  <c r="Z13" i="36" s="1"/>
  <c r="Q12" i="36"/>
  <c r="Z12" i="36" s="1"/>
  <c r="H12" i="36"/>
  <c r="Q11" i="36"/>
  <c r="Z11" i="36" s="1"/>
  <c r="Q10" i="36"/>
  <c r="Z10" i="36"/>
  <c r="F10" i="36"/>
  <c r="Q9" i="36"/>
  <c r="Z9" i="36" s="1"/>
  <c r="H9" i="36"/>
  <c r="U9" i="36" s="1"/>
  <c r="AB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s="1"/>
  <c r="B73" i="35"/>
  <c r="H23" i="35" s="1"/>
  <c r="B57" i="35"/>
  <c r="J11" i="35" s="1"/>
  <c r="B61" i="35"/>
  <c r="B59" i="35"/>
  <c r="B131" i="34"/>
  <c r="F47" i="34" s="1"/>
  <c r="B129" i="34"/>
  <c r="J46" i="34" s="1"/>
  <c r="AC46" i="34" s="1"/>
  <c r="B127" i="34"/>
  <c r="B99" i="34"/>
  <c r="J32" i="34" s="1"/>
  <c r="W32" i="34" s="1"/>
  <c r="B97" i="34"/>
  <c r="H31" i="34" s="1"/>
  <c r="U31" i="34" s="1"/>
  <c r="B95" i="34"/>
  <c r="H30" i="34" s="1"/>
  <c r="U30" i="34" s="1"/>
  <c r="B93" i="34"/>
  <c r="B75" i="34"/>
  <c r="B73" i="34"/>
  <c r="B71" i="34"/>
  <c r="B130" i="33"/>
  <c r="B128" i="33"/>
  <c r="F45" i="33" s="1"/>
  <c r="AA45" i="33" s="1"/>
  <c r="B126" i="33"/>
  <c r="H44" i="33" s="1"/>
  <c r="B98" i="33"/>
  <c r="F31" i="33" s="1"/>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c r="G64" i="35" s="1"/>
  <c r="J14" i="35"/>
  <c r="F56" i="35"/>
  <c r="G56" i="35" s="1"/>
  <c r="H56" i="35" s="1"/>
  <c r="I56" i="35" s="1"/>
  <c r="C53" i="35"/>
  <c r="J9" i="35"/>
  <c r="P39" i="35"/>
  <c r="P38" i="35"/>
  <c r="V37" i="35"/>
  <c r="T37" i="35"/>
  <c r="R37" i="35"/>
  <c r="P37" i="35"/>
  <c r="Q36" i="35"/>
  <c r="Z36" i="35"/>
  <c r="Q35" i="35"/>
  <c r="Z35" i="35" s="1"/>
  <c r="Q34" i="35"/>
  <c r="Z34" i="35" s="1"/>
  <c r="Q33" i="35"/>
  <c r="Z33" i="35" s="1"/>
  <c r="Q32" i="35"/>
  <c r="Z32" i="35" s="1"/>
  <c r="H32" i="35"/>
  <c r="AB32" i="35" s="1"/>
  <c r="F32" i="35"/>
  <c r="AA32" i="35"/>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U34" i="34" s="1"/>
  <c r="F34" i="34"/>
  <c r="Q33" i="34"/>
  <c r="Z33" i="34"/>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c r="F10" i="34"/>
  <c r="AA10" i="34" s="1"/>
  <c r="Q9" i="34"/>
  <c r="Z9" i="34"/>
  <c r="F9" i="34"/>
  <c r="AA9" i="34" s="1"/>
  <c r="J8" i="34"/>
  <c r="AC8" i="34" s="1"/>
  <c r="H8" i="34"/>
  <c r="U8" i="34" s="1"/>
  <c r="F8" i="34"/>
  <c r="S8" i="34" s="1"/>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c r="B92" i="33"/>
  <c r="B90" i="33"/>
  <c r="D87" i="33"/>
  <c r="E87" i="33"/>
  <c r="F87" i="33" s="1"/>
  <c r="G87" i="33" s="1"/>
  <c r="H87" i="33" s="1"/>
  <c r="I87" i="33" s="1"/>
  <c r="J87" i="33" s="1"/>
  <c r="K87" i="33" s="1"/>
  <c r="L87" i="33" s="1"/>
  <c r="M87" i="33" s="1"/>
  <c r="D85" i="33"/>
  <c r="E85" i="33" s="1"/>
  <c r="D81" i="33"/>
  <c r="E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c r="Q38" i="33"/>
  <c r="Z38" i="33" s="1"/>
  <c r="J38" i="33"/>
  <c r="AC38" i="33"/>
  <c r="H38" i="33"/>
  <c r="AB38" i="33" s="1"/>
  <c r="F38" i="33"/>
  <c r="S38" i="33" s="1"/>
  <c r="Q37" i="33"/>
  <c r="Z37" i="33" s="1"/>
  <c r="Q36" i="33"/>
  <c r="Z36" i="33" s="1"/>
  <c r="Q35" i="33"/>
  <c r="Z35" i="33" s="1"/>
  <c r="H35" i="33"/>
  <c r="U35" i="33" s="1"/>
  <c r="Q34" i="33"/>
  <c r="Z34" i="33" s="1"/>
  <c r="Q33" i="33"/>
  <c r="Z33" i="33"/>
  <c r="J33" i="33"/>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F31" i="21" s="1"/>
  <c r="H31" i="21"/>
  <c r="B96" i="21"/>
  <c r="F30" i="21" s="1"/>
  <c r="S30" i="21" s="1"/>
  <c r="B94" i="21"/>
  <c r="J29" i="21" s="1"/>
  <c r="AC29" i="21" s="1"/>
  <c r="B92" i="21"/>
  <c r="F28" i="21" s="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s="1"/>
  <c r="J34" i="21"/>
  <c r="W34" i="21" s="1"/>
  <c r="H36" i="21"/>
  <c r="U36" i="21" s="1"/>
  <c r="F35" i="21"/>
  <c r="AA35" i="21" s="1"/>
  <c r="J10" i="21"/>
  <c r="AC10" i="21"/>
  <c r="H26" i="21"/>
  <c r="AB19" i="21"/>
  <c r="J19" i="21"/>
  <c r="W19" i="21"/>
  <c r="J26" i="21"/>
  <c r="W26" i="21" s="1"/>
  <c r="F26" i="21"/>
  <c r="S26" i="21" s="1"/>
  <c r="AB41" i="21"/>
  <c r="F45" i="39"/>
  <c r="S45" i="39" s="1"/>
  <c r="U9" i="39"/>
  <c r="F29" i="36"/>
  <c r="AA29" i="36" s="1"/>
  <c r="W8" i="36"/>
  <c r="F16" i="36"/>
  <c r="AA16" i="36" s="1"/>
  <c r="S30" i="36"/>
  <c r="AA31" i="36"/>
  <c r="AC31" i="36"/>
  <c r="U31" i="36"/>
  <c r="J33" i="36"/>
  <c r="W33" i="36" s="1"/>
  <c r="H22" i="35"/>
  <c r="AB22" i="35" s="1"/>
  <c r="AC27" i="35"/>
  <c r="W22" i="35"/>
  <c r="F36" i="34"/>
  <c r="S36" i="34" s="1"/>
  <c r="J35" i="34"/>
  <c r="AC35" i="34" s="1"/>
  <c r="H39" i="33"/>
  <c r="AB39" i="33" s="1"/>
  <c r="U33" i="33"/>
  <c r="S40" i="33"/>
  <c r="W39" i="33"/>
  <c r="H39" i="37"/>
  <c r="AB39" i="37" s="1"/>
  <c r="F11" i="40"/>
  <c r="AA11" i="40"/>
  <c r="H11" i="40"/>
  <c r="AB11" i="40" s="1"/>
  <c r="AA9" i="40"/>
  <c r="AC9" i="40"/>
  <c r="U9" i="40"/>
  <c r="S34" i="40"/>
  <c r="U40" i="40"/>
  <c r="F42" i="39"/>
  <c r="AA42" i="39" s="1"/>
  <c r="F41" i="39"/>
  <c r="S41" i="39" s="1"/>
  <c r="H40" i="39"/>
  <c r="AB40" i="39" s="1"/>
  <c r="H39" i="39"/>
  <c r="U39" i="39" s="1"/>
  <c r="S34"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U34" i="21"/>
  <c r="S34" i="21"/>
  <c r="C27" i="39"/>
  <c r="H11" i="39"/>
  <c r="S40" i="39"/>
  <c r="H32" i="33"/>
  <c r="H11" i="21"/>
  <c r="U11" i="21" s="1"/>
  <c r="J11" i="21"/>
  <c r="W11" i="21" s="1"/>
  <c r="H37" i="40"/>
  <c r="U37" i="40" s="1"/>
  <c r="H36" i="40"/>
  <c r="AB36" i="40" s="1"/>
  <c r="F35" i="40"/>
  <c r="AA35" i="40"/>
  <c r="H23" i="40"/>
  <c r="AB23" i="40" s="1"/>
  <c r="H17" i="40"/>
  <c r="U17" i="40" s="1"/>
  <c r="J15" i="40"/>
  <c r="W15" i="40"/>
  <c r="J11" i="40"/>
  <c r="W11" i="40" s="1"/>
  <c r="J30" i="35"/>
  <c r="W30" i="35" s="1"/>
  <c r="H30" i="35"/>
  <c r="F22" i="35"/>
  <c r="AA22" i="35" s="1"/>
  <c r="H10" i="35"/>
  <c r="U10" i="35" s="1"/>
  <c r="F33" i="36"/>
  <c r="AA33" i="36" s="1"/>
  <c r="W30" i="36"/>
  <c r="H16" i="36"/>
  <c r="AB16" i="36" s="1"/>
  <c r="E85" i="36"/>
  <c r="F85" i="36" s="1"/>
  <c r="G85" i="36"/>
  <c r="H85" i="36" s="1"/>
  <c r="I85" i="36" s="1"/>
  <c r="J85" i="36" s="1"/>
  <c r="K85" i="36" s="1"/>
  <c r="L85" i="36" s="1"/>
  <c r="M85" i="36" s="1"/>
  <c r="J29" i="36"/>
  <c r="AC29" i="36" s="1"/>
  <c r="F12" i="36"/>
  <c r="S12" i="36" s="1"/>
  <c r="S8" i="36"/>
  <c r="F14" i="35"/>
  <c r="AA14" i="35" s="1"/>
  <c r="J32" i="35"/>
  <c r="AC32" i="35" s="1"/>
  <c r="J16" i="35"/>
  <c r="H16" i="35"/>
  <c r="U16" i="35" s="1"/>
  <c r="F16" i="35"/>
  <c r="S16" i="35" s="1"/>
  <c r="H14" i="35"/>
  <c r="AB14" i="35" s="1"/>
  <c r="J29" i="35"/>
  <c r="H33" i="35"/>
  <c r="J20" i="35"/>
  <c r="W20" i="35" s="1"/>
  <c r="F35" i="37"/>
  <c r="S35" i="37" s="1"/>
  <c r="J34" i="37"/>
  <c r="W34" i="37" s="1"/>
  <c r="AB34" i="37"/>
  <c r="J33" i="37"/>
  <c r="AC33" i="37" s="1"/>
  <c r="U42" i="34"/>
  <c r="H40" i="34"/>
  <c r="U40" i="34" s="1"/>
  <c r="H36" i="34"/>
  <c r="U36" i="34" s="1"/>
  <c r="F25" i="34"/>
  <c r="S25" i="34" s="1"/>
  <c r="H23" i="34"/>
  <c r="U23" i="34" s="1"/>
  <c r="J23" i="34"/>
  <c r="AC23" i="34" s="1"/>
  <c r="F19" i="34"/>
  <c r="AA19" i="34" s="1"/>
  <c r="H17" i="34"/>
  <c r="U17" i="34" s="1"/>
  <c r="F15" i="34"/>
  <c r="S15" i="34" s="1"/>
  <c r="J15" i="34"/>
  <c r="AC15" i="34" s="1"/>
  <c r="H15" i="34"/>
  <c r="AB15" i="34" s="1"/>
  <c r="S9" i="34"/>
  <c r="F41" i="33"/>
  <c r="AA41" i="33" s="1"/>
  <c r="E113" i="33"/>
  <c r="F113" i="33" s="1"/>
  <c r="G113" i="33" s="1"/>
  <c r="F32" i="33"/>
  <c r="AA32" i="33" s="1"/>
  <c r="J19" i="33"/>
  <c r="AC19" i="33" s="1"/>
  <c r="J15" i="33"/>
  <c r="AC15" i="33" s="1"/>
  <c r="F11" i="33"/>
  <c r="AA11" i="33"/>
  <c r="U40" i="33"/>
  <c r="U8" i="33"/>
  <c r="S8" i="33"/>
  <c r="F37" i="40"/>
  <c r="AA37" i="40" s="1"/>
  <c r="F36" i="40"/>
  <c r="AA36" i="40" s="1"/>
  <c r="H28" i="40"/>
  <c r="U28" i="40" s="1"/>
  <c r="F23" i="40"/>
  <c r="AA23" i="40"/>
  <c r="F17" i="40"/>
  <c r="AA17" i="40" s="1"/>
  <c r="J17" i="40"/>
  <c r="W17" i="40" s="1"/>
  <c r="F15" i="40"/>
  <c r="S15" i="40" s="1"/>
  <c r="H15" i="40"/>
  <c r="AB15" i="40" s="1"/>
  <c r="AC11" i="40"/>
  <c r="F29" i="35"/>
  <c r="H29" i="35"/>
  <c r="AB29" i="35" s="1"/>
  <c r="H33" i="37"/>
  <c r="AB33" i="37" s="1"/>
  <c r="F33" i="37"/>
  <c r="AA33" i="37"/>
  <c r="U34" i="37"/>
  <c r="J43" i="34"/>
  <c r="W43" i="34" s="1"/>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A15" i="34"/>
  <c r="H113" i="33"/>
  <c r="I113" i="33" s="1"/>
  <c r="J113" i="33" s="1"/>
  <c r="K113" i="33" s="1"/>
  <c r="L113" i="33" s="1"/>
  <c r="M113" i="33" s="1"/>
  <c r="H37" i="33"/>
  <c r="AB37" i="33" s="1"/>
  <c r="H15" i="33"/>
  <c r="AB15" i="33" s="1"/>
  <c r="H11" i="33"/>
  <c r="AB11" i="33" s="1"/>
  <c r="F28" i="40"/>
  <c r="AA28" i="40" s="1"/>
  <c r="AA42" i="34"/>
  <c r="S42" i="34"/>
  <c r="AC38" i="34"/>
  <c r="J11" i="33"/>
  <c r="W11" i="33" s="1"/>
  <c r="U23" i="40"/>
  <c r="G123" i="21"/>
  <c r="H123" i="21" s="1"/>
  <c r="I123" i="21" s="1"/>
  <c r="J123" i="21" s="1"/>
  <c r="K123" i="21" s="1"/>
  <c r="L123" i="21" s="1"/>
  <c r="M123" i="21" s="1"/>
  <c r="J42" i="21"/>
  <c r="AC42" i="21"/>
  <c r="H42" i="21"/>
  <c r="U42" i="21" s="1"/>
  <c r="J10" i="35"/>
  <c r="W10" i="35" s="1"/>
  <c r="F14" i="21"/>
  <c r="S14" i="21" s="1"/>
  <c r="H28" i="21"/>
  <c r="AB28" i="21" s="1"/>
  <c r="AA28" i="21"/>
  <c r="J28" i="21"/>
  <c r="AC28" i="21" s="1"/>
  <c r="J44" i="21"/>
  <c r="AC44" i="21"/>
  <c r="H44" i="21"/>
  <c r="U44" i="21" s="1"/>
  <c r="F44" i="21"/>
  <c r="AA44" i="21" s="1"/>
  <c r="H46" i="21"/>
  <c r="U46" i="21" s="1"/>
  <c r="J46" i="21"/>
  <c r="W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S31" i="21"/>
  <c r="F45" i="21"/>
  <c r="AA45" i="21"/>
  <c r="F27" i="33"/>
  <c r="AA27" i="33" s="1"/>
  <c r="J13" i="33"/>
  <c r="H13" i="33"/>
  <c r="AB13" i="33" s="1"/>
  <c r="F13" i="33"/>
  <c r="S13" i="33" s="1"/>
  <c r="H29" i="33"/>
  <c r="U29" i="33" s="1"/>
  <c r="F29" i="33"/>
  <c r="S29" i="33" s="1"/>
  <c r="J31" i="33"/>
  <c r="W31" i="33" s="1"/>
  <c r="H31" i="33"/>
  <c r="AB31" i="33" s="1"/>
  <c r="H45" i="33"/>
  <c r="U45" i="33" s="1"/>
  <c r="J45" i="33"/>
  <c r="W45" i="33" s="1"/>
  <c r="J14" i="34"/>
  <c r="W14" i="34" s="1"/>
  <c r="F14" i="34"/>
  <c r="S14" i="34" s="1"/>
  <c r="H14" i="34"/>
  <c r="F30" i="34"/>
  <c r="S30" i="34" s="1"/>
  <c r="H32" i="34"/>
  <c r="F32" i="34"/>
  <c r="H46" i="34"/>
  <c r="H11" i="35"/>
  <c r="U11" i="35" s="1"/>
  <c r="F11" i="35"/>
  <c r="S11" i="35"/>
  <c r="J26" i="36"/>
  <c r="W26" i="36" s="1"/>
  <c r="H28" i="36"/>
  <c r="U28" i="36" s="1"/>
  <c r="H32" i="36"/>
  <c r="AB32" i="36" s="1"/>
  <c r="J32" i="36"/>
  <c r="W32" i="36" s="1"/>
  <c r="J11" i="36"/>
  <c r="H11" i="36"/>
  <c r="U11" i="36" s="1"/>
  <c r="H13" i="36"/>
  <c r="AB13" i="36" s="1"/>
  <c r="J13" i="36"/>
  <c r="AC13" i="36" s="1"/>
  <c r="S13" i="36"/>
  <c r="E89" i="37"/>
  <c r="F89" i="37" s="1"/>
  <c r="G89" i="37" s="1"/>
  <c r="H89" i="37" s="1"/>
  <c r="I89" i="37"/>
  <c r="J89" i="37" s="1"/>
  <c r="K89" i="37" s="1"/>
  <c r="L89" i="37" s="1"/>
  <c r="M89" i="37" s="1"/>
  <c r="J29" i="37"/>
  <c r="W29" i="37" s="1"/>
  <c r="F29" i="37"/>
  <c r="S29" i="37" s="1"/>
  <c r="F105" i="37"/>
  <c r="H36" i="37"/>
  <c r="AB36" i="37" s="1"/>
  <c r="J37" i="37"/>
  <c r="AC37" i="37" s="1"/>
  <c r="H37" i="37"/>
  <c r="U37" i="37" s="1"/>
  <c r="H40" i="37"/>
  <c r="U40" i="37" s="1"/>
  <c r="J40" i="37"/>
  <c r="F40" i="37"/>
  <c r="AA40" i="37" s="1"/>
  <c r="H14" i="33"/>
  <c r="U14" i="33" s="1"/>
  <c r="F14" i="33"/>
  <c r="J14" i="33"/>
  <c r="H30" i="33"/>
  <c r="J44" i="33"/>
  <c r="W44" i="33" s="1"/>
  <c r="AC44" i="33"/>
  <c r="F44" i="33"/>
  <c r="H46" i="33"/>
  <c r="H13" i="34"/>
  <c r="U13" i="34" s="1"/>
  <c r="J13" i="34"/>
  <c r="W13" i="34" s="1"/>
  <c r="F13" i="34"/>
  <c r="AA13" i="34" s="1"/>
  <c r="J29" i="34"/>
  <c r="J31" i="34"/>
  <c r="AB31" i="34"/>
  <c r="F31" i="34"/>
  <c r="S31" i="34" s="1"/>
  <c r="F45" i="34"/>
  <c r="S45" i="34" s="1"/>
  <c r="H47" i="34"/>
  <c r="U47" i="34" s="1"/>
  <c r="S47" i="34"/>
  <c r="J47" i="34"/>
  <c r="F13" i="35"/>
  <c r="S13" i="35" s="1"/>
  <c r="J25" i="35"/>
  <c r="W25" i="35" s="1"/>
  <c r="F25" i="35"/>
  <c r="S25" i="35"/>
  <c r="H25" i="35"/>
  <c r="AB25" i="35" s="1"/>
  <c r="F35" i="35"/>
  <c r="AA35" i="35" s="1"/>
  <c r="J25" i="36"/>
  <c r="W25" i="36" s="1"/>
  <c r="H25" i="36"/>
  <c r="AB25" i="36" s="1"/>
  <c r="H13" i="37"/>
  <c r="U13" i="37" s="1"/>
  <c r="J13" i="37"/>
  <c r="W13" i="37" s="1"/>
  <c r="J38" i="37"/>
  <c r="AC38" i="37" s="1"/>
  <c r="F43" i="39"/>
  <c r="AA43" i="39" s="1"/>
  <c r="H43" i="39"/>
  <c r="U43" i="39" s="1"/>
  <c r="J14" i="39"/>
  <c r="AC14" i="39" s="1"/>
  <c r="F14" i="39"/>
  <c r="H14" i="39"/>
  <c r="AB14" i="39" s="1"/>
  <c r="F12" i="40"/>
  <c r="AA12" i="40" s="1"/>
  <c r="H12" i="40"/>
  <c r="AB12" i="40" s="1"/>
  <c r="H30" i="40"/>
  <c r="AB30" i="40" s="1"/>
  <c r="F33" i="40"/>
  <c r="AA33" i="40" s="1"/>
  <c r="J35" i="40"/>
  <c r="AC35" i="40" s="1"/>
  <c r="J37" i="40"/>
  <c r="AC37" i="40" s="1"/>
  <c r="F13" i="40"/>
  <c r="AA13" i="40" s="1"/>
  <c r="F14" i="37"/>
  <c r="F27" i="37"/>
  <c r="AA27" i="37" s="1"/>
  <c r="J14" i="37"/>
  <c r="AC14" i="37"/>
  <c r="J36" i="37"/>
  <c r="AC36" i="37" s="1"/>
  <c r="G105" i="37"/>
  <c r="AB11" i="36"/>
  <c r="J10" i="36"/>
  <c r="AC10" i="36" s="1"/>
  <c r="AA14" i="34"/>
  <c r="BA586" i="3"/>
  <c r="F17" i="21"/>
  <c r="AA17" i="21" s="1"/>
  <c r="H17" i="21"/>
  <c r="AB17" i="21" s="1"/>
  <c r="F15" i="21"/>
  <c r="S15" i="21" s="1"/>
  <c r="AB11" i="21"/>
  <c r="J41" i="39"/>
  <c r="W41" i="39" s="1"/>
  <c r="G544" i="3"/>
  <c r="G536" i="3"/>
  <c r="G532" i="3"/>
  <c r="G531" i="3"/>
  <c r="G528" i="3"/>
  <c r="G523" i="3"/>
  <c r="G514" i="3"/>
  <c r="G508" i="3"/>
  <c r="G500" i="3"/>
  <c r="G564" i="3"/>
  <c r="G560" i="3"/>
  <c r="G554" i="3"/>
  <c r="BL542" i="3"/>
  <c r="BL544" i="3"/>
  <c r="G529" i="3"/>
  <c r="G525" i="3"/>
  <c r="G493" i="3"/>
  <c r="BA554" i="3"/>
  <c r="BA540" i="3"/>
  <c r="AZ540" i="3" s="1"/>
  <c r="BA518" i="3"/>
  <c r="BA543" i="3"/>
  <c r="BA527" i="3"/>
  <c r="G569" i="3"/>
  <c r="G563" i="3"/>
  <c r="AC557" i="3"/>
  <c r="G557" i="3" s="1"/>
  <c r="BQ557" i="3"/>
  <c r="BQ583" i="3"/>
  <c r="BQ581" i="3"/>
  <c r="BQ579" i="3"/>
  <c r="BQ577" i="3"/>
  <c r="BQ575" i="3"/>
  <c r="BQ573" i="3"/>
  <c r="BQ571" i="3"/>
  <c r="BQ569" i="3"/>
  <c r="BQ567" i="3"/>
  <c r="BQ565" i="3"/>
  <c r="BQ563" i="3"/>
  <c r="BQ561" i="3"/>
  <c r="BQ559" i="3"/>
  <c r="G555" i="3"/>
  <c r="G547" i="3"/>
  <c r="G545" i="3"/>
  <c r="G539" i="3"/>
  <c r="G537" i="3"/>
  <c r="BQ555" i="3"/>
  <c r="BQ553" i="3"/>
  <c r="BQ551" i="3"/>
  <c r="BL551" i="3"/>
  <c r="BQ549" i="3"/>
  <c r="BQ547" i="3"/>
  <c r="BQ545" i="3"/>
  <c r="BQ543" i="3"/>
  <c r="BL543" i="3" s="1"/>
  <c r="BQ541" i="3"/>
  <c r="BQ539" i="3"/>
  <c r="BQ537" i="3"/>
  <c r="BL537" i="3"/>
  <c r="BQ535" i="3"/>
  <c r="BQ533" i="3"/>
  <c r="BQ531" i="3"/>
  <c r="BQ529" i="3"/>
  <c r="BQ527" i="3"/>
  <c r="BQ525" i="3"/>
  <c r="BQ523" i="3"/>
  <c r="AC521" i="3"/>
  <c r="G521" i="3"/>
  <c r="BQ521" i="3"/>
  <c r="BL521" i="3" s="1"/>
  <c r="G517" i="3"/>
  <c r="G515" i="3"/>
  <c r="BQ519" i="3"/>
  <c r="BQ517" i="3"/>
  <c r="BQ515" i="3"/>
  <c r="BQ513" i="3"/>
  <c r="BQ511" i="3"/>
  <c r="AC509" i="3"/>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U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H42" i="33"/>
  <c r="AB42" i="33" s="1"/>
  <c r="J43" i="33"/>
  <c r="AC43" i="33" s="1"/>
  <c r="S28" i="31"/>
  <c r="S27" i="31"/>
  <c r="S26" i="31"/>
  <c r="W14" i="37"/>
  <c r="U39" i="37"/>
  <c r="AC8" i="37"/>
  <c r="U26" i="37"/>
  <c r="AC31" i="33"/>
  <c r="AC45" i="33"/>
  <c r="U11" i="33"/>
  <c r="U19" i="21"/>
  <c r="W44" i="21"/>
  <c r="AC46" i="21"/>
  <c r="AB38" i="21"/>
  <c r="F43" i="33"/>
  <c r="AA43" i="33"/>
  <c r="W15" i="34"/>
  <c r="G107" i="37"/>
  <c r="H107" i="37" s="1"/>
  <c r="I107" i="37" s="1"/>
  <c r="J107" i="37" s="1"/>
  <c r="K107" i="37" s="1"/>
  <c r="L107" i="37" s="1"/>
  <c r="M107" i="37" s="1"/>
  <c r="H37" i="21"/>
  <c r="U37" i="21" s="1"/>
  <c r="S42" i="21"/>
  <c r="H19" i="34"/>
  <c r="AB19" i="34" s="1"/>
  <c r="F36" i="35"/>
  <c r="S36" i="35" s="1"/>
  <c r="J9" i="37"/>
  <c r="W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U12" i="37"/>
  <c r="AT6" i="3"/>
  <c r="C12" i="43"/>
  <c r="H19" i="40"/>
  <c r="U19" i="40" s="1"/>
  <c r="G88" i="40"/>
  <c r="F19" i="40"/>
  <c r="S19" i="40" s="1"/>
  <c r="AC13" i="40"/>
  <c r="W23" i="39"/>
  <c r="AC43" i="39"/>
  <c r="W43" i="39"/>
  <c r="G100" i="39"/>
  <c r="H25" i="39"/>
  <c r="AB25" i="39" s="1"/>
  <c r="J25" i="39"/>
  <c r="W25" i="39" s="1"/>
  <c r="F25" i="39"/>
  <c r="AA25" i="39" s="1"/>
  <c r="F15" i="39"/>
  <c r="AA15" i="39" s="1"/>
  <c r="H15" i="39"/>
  <c r="U15" i="39" s="1"/>
  <c r="J15" i="39"/>
  <c r="W15" i="39" s="1"/>
  <c r="H41" i="39"/>
  <c r="AB41" i="39" s="1"/>
  <c r="W27" i="39"/>
  <c r="U40" i="39"/>
  <c r="S42" i="39"/>
  <c r="W9" i="39"/>
  <c r="W8" i="39"/>
  <c r="J19" i="40"/>
  <c r="AC19" i="40" s="1"/>
  <c r="J50" i="40"/>
  <c r="H103" i="9"/>
  <c r="D8" i="53" s="1"/>
  <c r="B16" i="53"/>
  <c r="B33" i="72" s="1"/>
  <c r="C7" i="37"/>
  <c r="C52" i="37" s="1"/>
  <c r="D52" i="37" s="1"/>
  <c r="C7" i="34"/>
  <c r="C59" i="34" s="1"/>
  <c r="D59" i="34" s="1"/>
  <c r="E59" i="34" s="1"/>
  <c r="F59" i="34" s="1"/>
  <c r="G59" i="34" s="1"/>
  <c r="H59" i="34" s="1"/>
  <c r="I59" i="34" s="1"/>
  <c r="J59" i="34" s="1"/>
  <c r="C7" i="36"/>
  <c r="W35" i="40"/>
  <c r="J11" i="39"/>
  <c r="AC11" i="39" s="1"/>
  <c r="F11" i="39"/>
  <c r="AA11" i="39" s="1"/>
  <c r="A12" i="52"/>
  <c r="B56" i="72" s="1"/>
  <c r="S11" i="39"/>
  <c r="G4" i="4"/>
  <c r="I4" i="4"/>
  <c r="F59" i="43"/>
  <c r="H62" i="43" s="1"/>
  <c r="G546"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s="1"/>
  <c r="BL116" i="3"/>
  <c r="G117" i="3"/>
  <c r="BA119" i="3"/>
  <c r="BL120" i="3"/>
  <c r="G121" i="3"/>
  <c r="BA123" i="3"/>
  <c r="AZ123" i="3" s="1"/>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204" i="3" s="1"/>
  <c r="G530" i="3"/>
  <c r="G522" i="3"/>
  <c r="G516" i="3"/>
  <c r="G506"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AZ346" i="3" s="1"/>
  <c r="BA347" i="3"/>
  <c r="AZ347" i="3" s="1"/>
  <c r="BL347" i="3"/>
  <c r="G350" i="3"/>
  <c r="BA351" i="3"/>
  <c r="BL351" i="3"/>
  <c r="G352" i="3"/>
  <c r="G354" i="3"/>
  <c r="BA355" i="3"/>
  <c r="AZ355" i="3"/>
  <c r="BA356" i="3"/>
  <c r="AZ356" i="3" s="1"/>
  <c r="BL356" i="3"/>
  <c r="G357" i="3"/>
  <c r="G360" i="3"/>
  <c r="BL361" i="3"/>
  <c r="BA363" i="3"/>
  <c r="BA364" i="3"/>
  <c r="BL364" i="3"/>
  <c r="AZ364" i="3" s="1"/>
  <c r="G365" i="3"/>
  <c r="G368" i="3"/>
  <c r="BL369" i="3"/>
  <c r="BA371" i="3"/>
  <c r="BA372" i="3"/>
  <c r="BL372" i="3"/>
  <c r="G373" i="3"/>
  <c r="G376" i="3"/>
  <c r="BL377" i="3"/>
  <c r="AZ377" i="3" s="1"/>
  <c r="BL379" i="3"/>
  <c r="BA381" i="3"/>
  <c r="AZ381" i="3" s="1"/>
  <c r="BA382" i="3"/>
  <c r="AZ382" i="3" s="1"/>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BA379" i="3"/>
  <c r="BL380" i="3"/>
  <c r="G381" i="3"/>
  <c r="BA383" i="3"/>
  <c r="BL384" i="3"/>
  <c r="G385" i="3"/>
  <c r="BA387" i="3"/>
  <c r="BL388" i="3"/>
  <c r="G389" i="3"/>
  <c r="BA391" i="3"/>
  <c r="AZ391" i="3" s="1"/>
  <c r="BL392" i="3"/>
  <c r="G393" i="3"/>
  <c r="G538" i="3"/>
  <c r="G502" i="3"/>
  <c r="G17" i="3"/>
  <c r="BA17" i="3"/>
  <c r="AZ350" i="3"/>
  <c r="BA15" i="3"/>
  <c r="G509" i="3"/>
  <c r="U36" i="40"/>
  <c r="F81" i="43"/>
  <c r="H86" i="43" s="1"/>
  <c r="H113" i="43"/>
  <c r="F48" i="43"/>
  <c r="H52" i="43" s="1"/>
  <c r="F70" i="43"/>
  <c r="H73" i="43" s="1"/>
  <c r="M11" i="43"/>
  <c r="D17" i="43"/>
  <c r="F35" i="43"/>
  <c r="J17" i="43"/>
  <c r="F6" i="1"/>
  <c r="U17" i="39"/>
  <c r="S14" i="35"/>
  <c r="U43" i="21"/>
  <c r="U35" i="21"/>
  <c r="AC35" i="21"/>
  <c r="U10" i="21"/>
  <c r="W37" i="37"/>
  <c r="S15" i="37"/>
  <c r="U12" i="40"/>
  <c r="J37" i="33"/>
  <c r="W37" i="33" s="1"/>
  <c r="AC17" i="34"/>
  <c r="F106" i="33"/>
  <c r="G106" i="33"/>
  <c r="H106" i="33" s="1"/>
  <c r="I106" i="33" s="1"/>
  <c r="J106" i="33" s="1"/>
  <c r="K106" i="33" s="1"/>
  <c r="L106" i="33" s="1"/>
  <c r="M106" i="33" s="1"/>
  <c r="J34" i="33"/>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AC38" i="39"/>
  <c r="F39" i="39"/>
  <c r="S39" i="39" s="1"/>
  <c r="J39" i="39"/>
  <c r="AC39" i="39" s="1"/>
  <c r="E96" i="39"/>
  <c r="F96" i="39" s="1"/>
  <c r="G96" i="39" s="1"/>
  <c r="C40" i="11"/>
  <c r="I20" i="43"/>
  <c r="F23" i="39"/>
  <c r="AA23" i="39" s="1"/>
  <c r="H27" i="36"/>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B33" i="36"/>
  <c r="U33" i="36"/>
  <c r="AC12" i="39"/>
  <c r="W12" i="39"/>
  <c r="AA32" i="36"/>
  <c r="S32" i="36"/>
  <c r="BL14" i="3"/>
  <c r="AC13" i="34"/>
  <c r="AA47" i="34"/>
  <c r="S19" i="39"/>
  <c r="H12" i="39"/>
  <c r="AB12" i="39"/>
  <c r="F39" i="40"/>
  <c r="S12" i="1"/>
  <c r="AQ12" i="1" s="1"/>
  <c r="R12" i="1"/>
  <c r="B12" i="1"/>
  <c r="E12" i="1" s="1"/>
  <c r="S10" i="1"/>
  <c r="AQ10" i="1" s="1"/>
  <c r="R10" i="1"/>
  <c r="B10" i="1"/>
  <c r="E10" i="1" s="1"/>
  <c r="K12" i="1"/>
  <c r="M12" i="1" s="1"/>
  <c r="O12" i="1" s="1"/>
  <c r="S13" i="1"/>
  <c r="AQ13" i="1" s="1"/>
  <c r="R13" i="1"/>
  <c r="S11" i="1"/>
  <c r="AQ11" i="1" s="1"/>
  <c r="R11" i="1"/>
  <c r="J51" i="67"/>
  <c r="C42" i="1"/>
  <c r="C77" i="9" s="1"/>
  <c r="C74" i="9" s="1"/>
  <c r="H100" i="43"/>
  <c r="AA34" i="33"/>
  <c r="B41" i="1"/>
  <c r="J100" i="43"/>
  <c r="AB37" i="40"/>
  <c r="S35" i="40"/>
  <c r="U35" i="40"/>
  <c r="AC36" i="40"/>
  <c r="AA32" i="40"/>
  <c r="S17" i="40"/>
  <c r="S23" i="40"/>
  <c r="AC17" i="40"/>
  <c r="AC15" i="40"/>
  <c r="U21" i="40"/>
  <c r="AB19" i="40"/>
  <c r="U37" i="39"/>
  <c r="S43"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U12" i="39"/>
  <c r="U13" i="36"/>
  <c r="AC27" i="36"/>
  <c r="U26" i="36"/>
  <c r="S33" i="36"/>
  <c r="S27" i="36"/>
  <c r="AA26" i="36"/>
  <c r="S29" i="36"/>
  <c r="AC26" i="36"/>
  <c r="W14" i="36"/>
  <c r="U22" i="36"/>
  <c r="S16" i="36"/>
  <c r="AA25" i="36"/>
  <c r="S14" i="36"/>
  <c r="U10" i="36"/>
  <c r="W10" i="36"/>
  <c r="AA25" i="35"/>
  <c r="W24" i="35"/>
  <c r="U29" i="35"/>
  <c r="U28" i="35"/>
  <c r="AB27" i="35"/>
  <c r="U32" i="35"/>
  <c r="AA33" i="35"/>
  <c r="S32" i="35"/>
  <c r="AA36" i="35"/>
  <c r="W32" i="35"/>
  <c r="S28" i="35"/>
  <c r="AB16" i="35"/>
  <c r="U22" i="35"/>
  <c r="AC20" i="35"/>
  <c r="U14" i="35"/>
  <c r="AC10" i="35"/>
  <c r="AB10" i="35"/>
  <c r="AA11" i="35"/>
  <c r="S8" i="35"/>
  <c r="AC9" i="35"/>
  <c r="W9" i="35"/>
  <c r="F9" i="35"/>
  <c r="H9" i="35"/>
  <c r="F26" i="35"/>
  <c r="AA26" i="35" s="1"/>
  <c r="AB40" i="37"/>
  <c r="S25" i="37"/>
  <c r="AC29" i="37"/>
  <c r="U29" i="37"/>
  <c r="S32" i="37"/>
  <c r="W30" i="37"/>
  <c r="S36" i="37"/>
  <c r="U32" i="37"/>
  <c r="W38" i="37"/>
  <c r="AC35" i="37"/>
  <c r="S30" i="37"/>
  <c r="S37" i="37"/>
  <c r="J17" i="37"/>
  <c r="W17" i="37" s="1"/>
  <c r="G73" i="37"/>
  <c r="F17" i="37"/>
  <c r="AA17" i="37" s="1"/>
  <c r="AB17" i="37"/>
  <c r="F19" i="37"/>
  <c r="S19" i="37" s="1"/>
  <c r="F79" i="37"/>
  <c r="F23" i="37"/>
  <c r="S23" i="37" s="1"/>
  <c r="U15" i="37"/>
  <c r="AC13" i="37"/>
  <c r="AA13" i="37"/>
  <c r="AA12" i="37"/>
  <c r="H10" i="37"/>
  <c r="H60" i="37"/>
  <c r="F63" i="37"/>
  <c r="G63" i="37" s="1"/>
  <c r="H63" i="37" s="1"/>
  <c r="I63" i="37" s="1"/>
  <c r="J63" i="37" s="1"/>
  <c r="K63" i="37" s="1"/>
  <c r="L63" i="37" s="1"/>
  <c r="M63" i="37" s="1"/>
  <c r="F11" i="37"/>
  <c r="S11" i="37" s="1"/>
  <c r="W25" i="34"/>
  <c r="AB8" i="34"/>
  <c r="U43" i="34"/>
  <c r="AC39" i="34"/>
  <c r="W41" i="34"/>
  <c r="AC42" i="34"/>
  <c r="U39" i="34"/>
  <c r="AB41" i="34"/>
  <c r="AA45" i="34"/>
  <c r="W34" i="34"/>
  <c r="U28" i="34"/>
  <c r="S17" i="34"/>
  <c r="S23" i="34"/>
  <c r="U15" i="34"/>
  <c r="S10" i="34"/>
  <c r="S13" i="34"/>
  <c r="H67" i="34"/>
  <c r="I67" i="34" s="1"/>
  <c r="H10" i="34"/>
  <c r="U10" i="34" s="1"/>
  <c r="F11" i="34"/>
  <c r="S11" i="34" s="1"/>
  <c r="F70" i="34"/>
  <c r="W42" i="33"/>
  <c r="AA35" i="33"/>
  <c r="S27" i="33"/>
  <c r="S32" i="33"/>
  <c r="AA29" i="33"/>
  <c r="AB29" i="33"/>
  <c r="W38" i="33"/>
  <c r="H41" i="33"/>
  <c r="F121" i="33"/>
  <c r="G121" i="33" s="1"/>
  <c r="H121" i="33" s="1"/>
  <c r="I121" i="33" s="1"/>
  <c r="J121" i="33" s="1"/>
  <c r="K121" i="33" s="1"/>
  <c r="L121" i="33" s="1"/>
  <c r="M121" i="33" s="1"/>
  <c r="S42" i="33"/>
  <c r="F36" i="33"/>
  <c r="S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43" i="33"/>
  <c r="S43" i="33"/>
  <c r="F91" i="33"/>
  <c r="H27" i="33"/>
  <c r="H25" i="33"/>
  <c r="U25" i="33" s="1"/>
  <c r="F25" i="33"/>
  <c r="S25" i="33" s="1"/>
  <c r="J23" i="33"/>
  <c r="F85" i="33"/>
  <c r="H23" i="33"/>
  <c r="AB23" i="33" s="1"/>
  <c r="F81" i="33"/>
  <c r="F19" i="33"/>
  <c r="S19" i="33" s="1"/>
  <c r="J17" i="33"/>
  <c r="W17" i="33" s="1"/>
  <c r="S15" i="33"/>
  <c r="W15" i="33"/>
  <c r="I66" i="33"/>
  <c r="J10" i="33"/>
  <c r="H10" i="33"/>
  <c r="U10" i="33" s="1"/>
  <c r="AA10" i="33"/>
  <c r="AC11" i="33"/>
  <c r="AB14" i="33"/>
  <c r="W43" i="21"/>
  <c r="W36" i="21"/>
  <c r="W41" i="21"/>
  <c r="AB39"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F34" i="15"/>
  <c r="F62" i="15" s="1"/>
  <c r="G13" i="3"/>
  <c r="BL17" i="3"/>
  <c r="AZ17" i="3" s="1"/>
  <c r="J56" i="9"/>
  <c r="J57" i="9" s="1"/>
  <c r="J59" i="9" s="1"/>
  <c r="J61" i="9" s="1"/>
  <c r="E5" i="6"/>
  <c r="E32" i="6"/>
  <c r="L19" i="6"/>
  <c r="E19" i="69"/>
  <c r="C100" i="43"/>
  <c r="E81" i="43"/>
  <c r="B79" i="43" s="1"/>
  <c r="E48" i="43"/>
  <c r="B46" i="43" s="1"/>
  <c r="E70" i="43"/>
  <c r="B68" i="43" s="1"/>
  <c r="F100" i="43"/>
  <c r="H17" i="43"/>
  <c r="H81" i="43"/>
  <c r="H53" i="43"/>
  <c r="C17" i="43"/>
  <c r="F33" i="43"/>
  <c r="N6" i="43"/>
  <c r="C6" i="43"/>
  <c r="N3" i="43"/>
  <c r="F37" i="43"/>
  <c r="M9" i="43"/>
  <c r="N5" i="43"/>
  <c r="M12" i="43"/>
  <c r="B19" i="53"/>
  <c r="B37" i="72" s="1"/>
  <c r="C7" i="39"/>
  <c r="C67" i="39" s="1"/>
  <c r="C7" i="35"/>
  <c r="C48" i="35" s="1"/>
  <c r="D48" i="35" s="1"/>
  <c r="C7" i="33"/>
  <c r="C58" i="33" s="1"/>
  <c r="C7" i="21"/>
  <c r="C58" i="21" s="1"/>
  <c r="C7" i="40"/>
  <c r="C63" i="40" s="1"/>
  <c r="M47" i="9"/>
  <c r="G19" i="43"/>
  <c r="O19" i="43" s="1"/>
  <c r="C19" i="43" s="1"/>
  <c r="C46" i="36"/>
  <c r="D46" i="36" s="1"/>
  <c r="A4" i="51"/>
  <c r="B6" i="72" s="1"/>
  <c r="C4" i="12"/>
  <c r="H66" i="43"/>
  <c r="H65" i="43"/>
  <c r="H72" i="43"/>
  <c r="L20" i="6"/>
  <c r="B6" i="1"/>
  <c r="E6" i="1" s="1"/>
  <c r="K11" i="1"/>
  <c r="M11" i="1" s="1"/>
  <c r="AP6" i="1"/>
  <c r="B9" i="1"/>
  <c r="E9" i="1" s="1"/>
  <c r="W23" i="40"/>
  <c r="AB31" i="40"/>
  <c r="AB28" i="40"/>
  <c r="W28" i="40"/>
  <c r="W34" i="40"/>
  <c r="W27" i="40"/>
  <c r="S36" i="40"/>
  <c r="W37" i="40"/>
  <c r="AC14" i="40"/>
  <c r="S13" i="40"/>
  <c r="S33" i="40"/>
  <c r="AA15" i="40"/>
  <c r="U11" i="40"/>
  <c r="S31" i="40"/>
  <c r="AB17" i="40"/>
  <c r="U8" i="40"/>
  <c r="S8" i="40"/>
  <c r="AC41" i="39"/>
  <c r="U42" i="39"/>
  <c r="U41" i="39"/>
  <c r="S14" i="39"/>
  <c r="AA14" i="39"/>
  <c r="AB11" i="39"/>
  <c r="U11" i="39"/>
  <c r="AA27" i="39"/>
  <c r="S27" i="39"/>
  <c r="W17" i="39"/>
  <c r="AC17" i="39"/>
  <c r="W31" i="39"/>
  <c r="AC31" i="39"/>
  <c r="S23" i="39"/>
  <c r="AB39" i="39"/>
  <c r="W34" i="39"/>
  <c r="U38" i="39"/>
  <c r="S8" i="39"/>
  <c r="S20" i="36"/>
  <c r="AC25" i="36"/>
  <c r="S28" i="36"/>
  <c r="U32" i="36"/>
  <c r="W29" i="36"/>
  <c r="U25" i="36"/>
  <c r="AB28" i="36"/>
  <c r="AA13" i="36"/>
  <c r="W9" i="36"/>
  <c r="W22" i="36"/>
  <c r="W23" i="36"/>
  <c r="S9" i="36"/>
  <c r="AB20" i="35"/>
  <c r="AC25" i="35"/>
  <c r="U25" i="35"/>
  <c r="S24" i="35"/>
  <c r="W33" i="35"/>
  <c r="AA30" i="35"/>
  <c r="U24" i="35"/>
  <c r="S35" i="35"/>
  <c r="AA16" i="35"/>
  <c r="AA35" i="37"/>
  <c r="W36" i="37"/>
  <c r="S27" i="37"/>
  <c r="U36" i="37"/>
  <c r="S40" i="37"/>
  <c r="AB37" i="37"/>
  <c r="S33" i="37"/>
  <c r="AC34" i="37"/>
  <c r="AB35" i="37"/>
  <c r="AA31" i="37"/>
  <c r="U19" i="37"/>
  <c r="AA29" i="37"/>
  <c r="AA8" i="37"/>
  <c r="U8" i="37"/>
  <c r="U19" i="34"/>
  <c r="AA31" i="34"/>
  <c r="AB47" i="34"/>
  <c r="U25" i="34"/>
  <c r="AB36" i="34"/>
  <c r="W33" i="34"/>
  <c r="AC32" i="34"/>
  <c r="AC29" i="34"/>
  <c r="W29" i="34"/>
  <c r="W46" i="34"/>
  <c r="S32" i="34"/>
  <c r="AA32" i="34"/>
  <c r="U38" i="34"/>
  <c r="AC40" i="34"/>
  <c r="W40" i="34"/>
  <c r="AA36" i="34"/>
  <c r="AA8" i="34"/>
  <c r="U32" i="34"/>
  <c r="AB32" i="34"/>
  <c r="U14" i="34"/>
  <c r="AB14" i="34"/>
  <c r="AC43" i="34"/>
  <c r="W23" i="34"/>
  <c r="AB28" i="33"/>
  <c r="U39" i="33"/>
  <c r="U38" i="33"/>
  <c r="U44" i="33"/>
  <c r="AB44" i="33"/>
  <c r="AC14" i="33"/>
  <c r="W14" i="33"/>
  <c r="S31" i="33"/>
  <c r="AA31" i="33"/>
  <c r="W13" i="33"/>
  <c r="AC13" i="33"/>
  <c r="U15" i="33"/>
  <c r="S11" i="33"/>
  <c r="U37" i="33"/>
  <c r="AC28" i="33"/>
  <c r="S28" i="33"/>
  <c r="W8" i="33"/>
  <c r="S44" i="21"/>
  <c r="AB42" i="21"/>
  <c r="U28" i="21"/>
  <c r="AA11" i="21"/>
  <c r="S45" i="21"/>
  <c r="I101" i="21"/>
  <c r="J101" i="21" s="1"/>
  <c r="K101" i="21" s="1"/>
  <c r="L101" i="21" s="1"/>
  <c r="M101" i="21" s="1"/>
  <c r="F33" i="21"/>
  <c r="S33" i="21" s="1"/>
  <c r="J33" i="21"/>
  <c r="AC33" i="21" s="1"/>
  <c r="H33" i="21"/>
  <c r="AB33" i="21" s="1"/>
  <c r="F37" i="21"/>
  <c r="AA37" i="21" s="1"/>
  <c r="AA26" i="21"/>
  <c r="AB46" i="21"/>
  <c r="U40" i="21"/>
  <c r="AB31" i="21"/>
  <c r="U31" i="21"/>
  <c r="U13" i="21"/>
  <c r="AB13" i="21"/>
  <c r="S35" i="21"/>
  <c r="J37" i="21"/>
  <c r="W37" i="21" s="1"/>
  <c r="H15" i="21"/>
  <c r="U15" i="21" s="1"/>
  <c r="J17" i="21"/>
  <c r="AC19" i="21"/>
  <c r="W39" i="21"/>
  <c r="S46" i="21"/>
  <c r="H45" i="21"/>
  <c r="U45" i="21" s="1"/>
  <c r="F29" i="21"/>
  <c r="S29" i="21" s="1"/>
  <c r="F13" i="21"/>
  <c r="AA13" i="21" s="1"/>
  <c r="H32" i="21"/>
  <c r="AB32" i="21" s="1"/>
  <c r="H9" i="21"/>
  <c r="AB9" i="21" s="1"/>
  <c r="J9" i="21"/>
  <c r="J32" i="21"/>
  <c r="AC32" i="21" s="1"/>
  <c r="F32" i="21"/>
  <c r="AA32" i="21" s="1"/>
  <c r="AA31" i="21"/>
  <c r="U17" i="21"/>
  <c r="W29" i="21"/>
  <c r="S19" i="21"/>
  <c r="S9" i="21"/>
  <c r="AA9" i="21"/>
  <c r="K141" i="21"/>
  <c r="K144" i="21"/>
  <c r="K143" i="21"/>
  <c r="AB25" i="21"/>
  <c r="AA30" i="21"/>
  <c r="W13" i="21"/>
  <c r="W42" i="21"/>
  <c r="F10" i="21"/>
  <c r="AA10" i="21" s="1"/>
  <c r="K145" i="21"/>
  <c r="W31" i="21"/>
  <c r="S27" i="21"/>
  <c r="AA15" i="21"/>
  <c r="AC26" i="21"/>
  <c r="S28" i="21"/>
  <c r="AC34" i="21"/>
  <c r="W10" i="21"/>
  <c r="AB36" i="21"/>
  <c r="W30" i="40"/>
  <c r="C19" i="39"/>
  <c r="C15" i="40"/>
  <c r="C17" i="40"/>
  <c r="C23" i="40"/>
  <c r="C21" i="40"/>
  <c r="U30" i="40"/>
  <c r="B54" i="43"/>
  <c r="B65" i="43"/>
  <c r="B49" i="43"/>
  <c r="B52" i="43"/>
  <c r="B56" i="43"/>
  <c r="B60" i="43"/>
  <c r="B63" i="43"/>
  <c r="B67" i="43"/>
  <c r="E4" i="4"/>
  <c r="B5" i="62" s="1"/>
  <c r="B73" i="72" s="1"/>
  <c r="C4" i="4"/>
  <c r="F28" i="67"/>
  <c r="F52" i="9"/>
  <c r="F32" i="67"/>
  <c r="F60" i="67" s="1"/>
  <c r="M18" i="15"/>
  <c r="F28" i="15"/>
  <c r="AA39" i="40"/>
  <c r="S39" i="40"/>
  <c r="D68" i="9"/>
  <c r="F54" i="9"/>
  <c r="J32" i="39"/>
  <c r="W32" i="39" s="1"/>
  <c r="H32" i="39"/>
  <c r="AB32" i="39" s="1"/>
  <c r="S32" i="39"/>
  <c r="AA21" i="39"/>
  <c r="S21" i="39"/>
  <c r="U9" i="35"/>
  <c r="AB9" i="35"/>
  <c r="AA9" i="35"/>
  <c r="S9" i="35"/>
  <c r="S17" i="37"/>
  <c r="J19" i="37"/>
  <c r="W19" i="37" s="1"/>
  <c r="AA23" i="37"/>
  <c r="J23" i="37"/>
  <c r="AC23" i="37" s="1"/>
  <c r="G79" i="37"/>
  <c r="J10" i="37"/>
  <c r="AC10" i="37" s="1"/>
  <c r="I60" i="37"/>
  <c r="H11" i="37"/>
  <c r="U11" i="37" s="1"/>
  <c r="AB10" i="37"/>
  <c r="U10" i="37"/>
  <c r="G70" i="34"/>
  <c r="H70" i="34" s="1"/>
  <c r="H11" i="34"/>
  <c r="U11" i="34" s="1"/>
  <c r="J10" i="34"/>
  <c r="AC10" i="34" s="1"/>
  <c r="AB41" i="33"/>
  <c r="U41" i="33"/>
  <c r="H111" i="33"/>
  <c r="I111" i="33" s="1"/>
  <c r="J111" i="33" s="1"/>
  <c r="K111" i="33" s="1"/>
  <c r="L111" i="33" s="1"/>
  <c r="M111" i="33" s="1"/>
  <c r="J36" i="33"/>
  <c r="W36" i="33" s="1"/>
  <c r="H36" i="33"/>
  <c r="AC32" i="33"/>
  <c r="W32" i="33"/>
  <c r="U27" i="33"/>
  <c r="AB27" i="33"/>
  <c r="G91" i="33"/>
  <c r="H91" i="33" s="1"/>
  <c r="I91" i="33" s="1"/>
  <c r="J91" i="33" s="1"/>
  <c r="K91" i="33" s="1"/>
  <c r="L91" i="33" s="1"/>
  <c r="M91" i="33" s="1"/>
  <c r="J27" i="33"/>
  <c r="W27" i="33" s="1"/>
  <c r="AB25" i="33"/>
  <c r="AA25" i="33"/>
  <c r="J25" i="33"/>
  <c r="W25" i="33" s="1"/>
  <c r="F23" i="33"/>
  <c r="S23" i="33" s="1"/>
  <c r="G85" i="33"/>
  <c r="AC23" i="33"/>
  <c r="W23" i="33"/>
  <c r="AA19" i="33"/>
  <c r="H19" i="33"/>
  <c r="AB19" i="33" s="1"/>
  <c r="G81" i="33"/>
  <c r="H17" i="33"/>
  <c r="U17" i="33" s="1"/>
  <c r="F17" i="33"/>
  <c r="S17" i="33" s="1"/>
  <c r="AB10" i="33"/>
  <c r="AC10" i="33"/>
  <c r="W10" i="33"/>
  <c r="S37" i="21"/>
  <c r="AA23" i="21"/>
  <c r="J23" i="21"/>
  <c r="AC23" i="21" s="1"/>
  <c r="H23" i="21"/>
  <c r="AB23" i="21" s="1"/>
  <c r="D6" i="52"/>
  <c r="AP7" i="1"/>
  <c r="W33" i="21"/>
  <c r="W9" i="21"/>
  <c r="AC9" i="21"/>
  <c r="AC32" i="39"/>
  <c r="AC19" i="37"/>
  <c r="W23" i="37"/>
  <c r="AB11" i="37"/>
  <c r="J11" i="37"/>
  <c r="AC11" i="37" s="1"/>
  <c r="W10" i="37"/>
  <c r="I70" i="34"/>
  <c r="J70" i="34" s="1"/>
  <c r="K70" i="34" s="1"/>
  <c r="L70" i="34" s="1"/>
  <c r="M70" i="34" s="1"/>
  <c r="J11" i="34"/>
  <c r="AC11" i="34" s="1"/>
  <c r="U36" i="33"/>
  <c r="AB36" i="33"/>
  <c r="AB17" i="33"/>
  <c r="AG6" i="1"/>
  <c r="H109" i="9"/>
  <c r="D16" i="53" s="1"/>
  <c r="H112" i="9"/>
  <c r="D21" i="53" s="1"/>
  <c r="B39" i="72" s="1"/>
  <c r="H111" i="9"/>
  <c r="D19" i="53" s="1"/>
  <c r="AD3" i="71"/>
  <c r="J1" i="73"/>
  <c r="H76" i="43"/>
  <c r="H59" i="43"/>
  <c r="H60" i="43"/>
  <c r="M4" i="43"/>
  <c r="M5" i="43"/>
  <c r="N12" i="43"/>
  <c r="N11" i="43"/>
  <c r="M10" i="43"/>
  <c r="M2" i="43"/>
  <c r="M7" i="43"/>
  <c r="N9" i="43"/>
  <c r="M8" i="43"/>
  <c r="N10" i="43"/>
  <c r="M6" i="43"/>
  <c r="N7" i="43"/>
  <c r="N4" i="43"/>
  <c r="N2" i="43"/>
  <c r="O17" i="43"/>
  <c r="M17" i="43"/>
  <c r="E46" i="36"/>
  <c r="F46" i="36" s="1"/>
  <c r="G46" i="36" s="1"/>
  <c r="H46" i="36" s="1"/>
  <c r="I46" i="36" s="1"/>
  <c r="C19" i="71"/>
  <c r="D19" i="71" s="1"/>
  <c r="D20" i="71"/>
  <c r="D21" i="71"/>
  <c r="U21" i="71" s="1"/>
  <c r="T21" i="71"/>
  <c r="AB19" i="71"/>
  <c r="X17" i="71"/>
  <c r="X16" i="71"/>
  <c r="AA17" i="71"/>
  <c r="AA16" i="71"/>
  <c r="X20" i="71"/>
  <c r="Y16" i="71"/>
  <c r="Z16" i="71" s="1"/>
  <c r="AB17" i="71"/>
  <c r="AB16" i="71"/>
  <c r="Y17" i="71"/>
  <c r="Z17" i="71" s="1"/>
  <c r="X3" i="71"/>
  <c r="G20" i="43"/>
  <c r="E41" i="43" s="1"/>
  <c r="C41" i="43" s="1"/>
  <c r="E2" i="69"/>
  <c r="D2" i="35"/>
  <c r="D2" i="21"/>
  <c r="F6" i="73"/>
  <c r="D4" i="73"/>
  <c r="E9" i="76"/>
  <c r="E12" i="76"/>
  <c r="D2" i="34"/>
  <c r="B8" i="76"/>
  <c r="AO13" i="1"/>
  <c r="E7" i="76"/>
  <c r="E2" i="68"/>
  <c r="AO11" i="1"/>
  <c r="D5" i="73"/>
  <c r="F7" i="73"/>
  <c r="B9" i="76"/>
  <c r="D6" i="73"/>
  <c r="B13" i="76"/>
  <c r="E10" i="76"/>
  <c r="AO12" i="1"/>
  <c r="D2" i="33"/>
  <c r="E8" i="76"/>
  <c r="B11" i="76"/>
  <c r="B12" i="76"/>
  <c r="AO10" i="1"/>
  <c r="D2" i="37"/>
  <c r="B7" i="76"/>
  <c r="F20" i="31"/>
  <c r="F5" i="73"/>
  <c r="F4" i="73"/>
  <c r="F3" i="73"/>
  <c r="B10" i="76"/>
  <c r="E13" i="76"/>
  <c r="E11" i="76"/>
  <c r="D2" i="36"/>
  <c r="F44" i="34" l="1"/>
  <c r="J44" i="34"/>
  <c r="AC44" i="34" s="1"/>
  <c r="H44" i="34"/>
  <c r="AB30" i="34"/>
  <c r="AA30" i="34"/>
  <c r="U27" i="34"/>
  <c r="J30" i="34"/>
  <c r="F46" i="34"/>
  <c r="AA41" i="34"/>
  <c r="AA40" i="34"/>
  <c r="W35" i="34"/>
  <c r="AB23" i="34"/>
  <c r="S19" i="34"/>
  <c r="W11" i="34"/>
  <c r="AB10" i="34"/>
  <c r="BA14" i="3"/>
  <c r="AZ546" i="3"/>
  <c r="AZ532" i="3"/>
  <c r="AZ526" i="3"/>
  <c r="W31" i="34"/>
  <c r="AC31" i="34"/>
  <c r="H112" i="34"/>
  <c r="I112" i="34" s="1"/>
  <c r="J112" i="34" s="1"/>
  <c r="K112" i="34" s="1"/>
  <c r="L112" i="34" s="1"/>
  <c r="M112" i="34" s="1"/>
  <c r="F37" i="34"/>
  <c r="AA37" i="34" s="1"/>
  <c r="BL541" i="3"/>
  <c r="AZ541" i="3" s="1"/>
  <c r="BA541" i="3"/>
  <c r="BL538" i="3"/>
  <c r="BL536" i="3"/>
  <c r="BF5" i="3"/>
  <c r="H77" i="43"/>
  <c r="AA23" i="33"/>
  <c r="AC36" i="33"/>
  <c r="W10" i="34"/>
  <c r="U32" i="21"/>
  <c r="S32" i="21"/>
  <c r="U33" i="21"/>
  <c r="AC17" i="37"/>
  <c r="C28" i="15"/>
  <c r="C28" i="67"/>
  <c r="AB37" i="21"/>
  <c r="AA45" i="39"/>
  <c r="H71" i="43"/>
  <c r="U23" i="37"/>
  <c r="AC15" i="37"/>
  <c r="AA10" i="35"/>
  <c r="S30" i="40"/>
  <c r="F52" i="93"/>
  <c r="D68" i="92"/>
  <c r="F48" i="92"/>
  <c r="O52" i="92" s="1"/>
  <c r="F52" i="91"/>
  <c r="F30" i="86"/>
  <c r="F53" i="91"/>
  <c r="F30" i="87"/>
  <c r="F54" i="93"/>
  <c r="F53" i="92"/>
  <c r="F54" i="91"/>
  <c r="F30" i="90"/>
  <c r="F30" i="89"/>
  <c r="D68" i="93"/>
  <c r="F48" i="93"/>
  <c r="O52" i="93" s="1"/>
  <c r="F52" i="92"/>
  <c r="D68" i="91"/>
  <c r="F48" i="91"/>
  <c r="O52" i="91" s="1"/>
  <c r="F30" i="88"/>
  <c r="F53" i="93"/>
  <c r="F54" i="92"/>
  <c r="F30" i="84"/>
  <c r="F53" i="83"/>
  <c r="F48" i="83"/>
  <c r="O52" i="83" s="1"/>
  <c r="D68" i="83"/>
  <c r="F54" i="83"/>
  <c r="F52" i="83"/>
  <c r="AZ342" i="3"/>
  <c r="AZ337" i="3"/>
  <c r="AZ376" i="3"/>
  <c r="AZ341" i="3"/>
  <c r="S25" i="21"/>
  <c r="AA25" i="21"/>
  <c r="BL531" i="3"/>
  <c r="AC11" i="36"/>
  <c r="W11" i="36"/>
  <c r="J37" i="34"/>
  <c r="AC37" i="34" s="1"/>
  <c r="U12" i="33"/>
  <c r="AB12" i="33"/>
  <c r="J28" i="34"/>
  <c r="F28" i="34"/>
  <c r="H38" i="40"/>
  <c r="F38" i="40"/>
  <c r="J38" i="40"/>
  <c r="AA35" i="39"/>
  <c r="S35" i="39"/>
  <c r="BL582" i="3"/>
  <c r="BA578" i="3"/>
  <c r="G575" i="3"/>
  <c r="AB36" i="39"/>
  <c r="U36" i="39"/>
  <c r="BA504" i="3"/>
  <c r="AZ504" i="3" s="1"/>
  <c r="H74" i="43"/>
  <c r="H70" i="43"/>
  <c r="AC27" i="33"/>
  <c r="AB15" i="21"/>
  <c r="W25" i="21"/>
  <c r="AB34" i="33"/>
  <c r="AB33" i="34"/>
  <c r="AA11" i="37"/>
  <c r="H78" i="43"/>
  <c r="D9" i="87"/>
  <c r="D9" i="86"/>
  <c r="W19" i="33"/>
  <c r="AA25" i="34"/>
  <c r="H26" i="35"/>
  <c r="U25" i="39"/>
  <c r="AB27" i="40"/>
  <c r="AZ318" i="3"/>
  <c r="BL573" i="3"/>
  <c r="AB13" i="37"/>
  <c r="AB30" i="33"/>
  <c r="U30" i="33"/>
  <c r="J12" i="33"/>
  <c r="F12" i="33"/>
  <c r="J30" i="33"/>
  <c r="F30" i="33"/>
  <c r="J46" i="33"/>
  <c r="F46" i="33"/>
  <c r="F29" i="34"/>
  <c r="H29" i="34"/>
  <c r="J45" i="34"/>
  <c r="H45" i="34"/>
  <c r="J13" i="35"/>
  <c r="H13" i="35"/>
  <c r="U12" i="36"/>
  <c r="AB12" i="36"/>
  <c r="J32" i="40"/>
  <c r="H32" i="40"/>
  <c r="C77" i="92"/>
  <c r="C74" i="92" s="1"/>
  <c r="C77" i="91"/>
  <c r="C74" i="91" s="1"/>
  <c r="C77" i="93"/>
  <c r="C74" i="93" s="1"/>
  <c r="C77" i="83"/>
  <c r="C74" i="83" s="1"/>
  <c r="W34" i="33"/>
  <c r="AC34" i="33"/>
  <c r="BL534" i="3"/>
  <c r="C13" i="12"/>
  <c r="U23" i="21"/>
  <c r="W32" i="21"/>
  <c r="AB29" i="21"/>
  <c r="S17" i="21"/>
  <c r="S33" i="33"/>
  <c r="AC37" i="33"/>
  <c r="AB35" i="34"/>
  <c r="J26" i="35"/>
  <c r="AC30" i="35"/>
  <c r="AA22" i="36"/>
  <c r="BL499" i="3"/>
  <c r="BL549" i="3"/>
  <c r="BL555" i="3"/>
  <c r="AA13" i="35"/>
  <c r="AC40" i="37"/>
  <c r="W40" i="37"/>
  <c r="AB17" i="34"/>
  <c r="H37" i="34"/>
  <c r="U37" i="34" s="1"/>
  <c r="BA587" i="3"/>
  <c r="H9" i="37"/>
  <c r="F9" i="37"/>
  <c r="AZ527" i="3"/>
  <c r="BA552" i="3"/>
  <c r="AZ552" i="3" s="1"/>
  <c r="BA544" i="3"/>
  <c r="AZ544" i="3" s="1"/>
  <c r="AZ538" i="3"/>
  <c r="BA536" i="3"/>
  <c r="AZ536" i="3" s="1"/>
  <c r="BA531" i="3"/>
  <c r="AZ531" i="3" s="1"/>
  <c r="AA27" i="35"/>
  <c r="S27" i="35"/>
  <c r="AC25" i="37"/>
  <c r="W25" i="37"/>
  <c r="J33" i="40"/>
  <c r="H33" i="40"/>
  <c r="AA31" i="35"/>
  <c r="S31" i="35"/>
  <c r="G582" i="3"/>
  <c r="G574" i="3"/>
  <c r="AZ322" i="3"/>
  <c r="AZ311" i="3"/>
  <c r="AZ306" i="3"/>
  <c r="AZ379" i="3"/>
  <c r="AZ305" i="3"/>
  <c r="E7" i="34"/>
  <c r="I7" i="34"/>
  <c r="G7" i="34"/>
  <c r="H7" i="34" s="1"/>
  <c r="AA41" i="39"/>
  <c r="AC33" i="36"/>
  <c r="BL495" i="3"/>
  <c r="BL533" i="3"/>
  <c r="AZ533" i="3" s="1"/>
  <c r="BL539" i="3"/>
  <c r="AZ539" i="3" s="1"/>
  <c r="BL545" i="3"/>
  <c r="U31" i="33"/>
  <c r="H13" i="40"/>
  <c r="AA38" i="34"/>
  <c r="AA12" i="36"/>
  <c r="S38" i="39"/>
  <c r="AB35" i="33"/>
  <c r="AA35" i="34"/>
  <c r="S35" i="34"/>
  <c r="U8" i="39"/>
  <c r="AB8" i="39"/>
  <c r="AZ343" i="3"/>
  <c r="BL529" i="3"/>
  <c r="BL535" i="3"/>
  <c r="BL547" i="3"/>
  <c r="AZ547" i="3" s="1"/>
  <c r="BL553" i="3"/>
  <c r="AA34" i="37"/>
  <c r="AB33" i="35"/>
  <c r="U33" i="35"/>
  <c r="BA585" i="3"/>
  <c r="J27" i="21"/>
  <c r="H27" i="21"/>
  <c r="K8" i="1"/>
  <c r="M8" i="1" s="1"/>
  <c r="O8" i="1" s="1"/>
  <c r="M18" i="92"/>
  <c r="B118" i="92" s="1"/>
  <c r="G41" i="69"/>
  <c r="G41" i="88"/>
  <c r="G22" i="88"/>
  <c r="G41" i="90"/>
  <c r="G22" i="90"/>
  <c r="G41" i="87"/>
  <c r="G22" i="87"/>
  <c r="G41" i="86"/>
  <c r="G22" i="86"/>
  <c r="G41" i="89"/>
  <c r="G22" i="89"/>
  <c r="G41" i="84"/>
  <c r="G22" i="84"/>
  <c r="C64" i="71"/>
  <c r="D65" i="71"/>
  <c r="Z12" i="43"/>
  <c r="Z10" i="43"/>
  <c r="M18" i="91"/>
  <c r="B118" i="91" s="1"/>
  <c r="D10" i="86"/>
  <c r="C10" i="86" s="1"/>
  <c r="D10" i="87"/>
  <c r="C10" i="87" s="1"/>
  <c r="D78" i="9"/>
  <c r="D78" i="92"/>
  <c r="D93" i="93"/>
  <c r="D93" i="91"/>
  <c r="D78" i="93"/>
  <c r="D78" i="91"/>
  <c r="D93" i="92"/>
  <c r="D93" i="83"/>
  <c r="D78" i="83"/>
  <c r="BA400" i="3"/>
  <c r="G402" i="3"/>
  <c r="BA402" i="3"/>
  <c r="BA420" i="3"/>
  <c r="BA422" i="3"/>
  <c r="BL427" i="3"/>
  <c r="G452" i="3"/>
  <c r="BL457" i="3"/>
  <c r="BA468" i="3"/>
  <c r="G475" i="3"/>
  <c r="G480" i="3"/>
  <c r="G484" i="3"/>
  <c r="BL386" i="3"/>
  <c r="BL396" i="3"/>
  <c r="BL397" i="3"/>
  <c r="G220" i="3"/>
  <c r="BL224" i="3"/>
  <c r="G225" i="3"/>
  <c r="G243" i="3"/>
  <c r="G248" i="3"/>
  <c r="BL263" i="3"/>
  <c r="G264" i="3"/>
  <c r="G268" i="3"/>
  <c r="BL271" i="3"/>
  <c r="BA273" i="3"/>
  <c r="BL293" i="3"/>
  <c r="W28" i="36"/>
  <c r="U30" i="37"/>
  <c r="AA38" i="33"/>
  <c r="W16" i="36"/>
  <c r="AC31" i="40"/>
  <c r="BL584" i="3"/>
  <c r="BA584" i="3"/>
  <c r="AZ584" i="3" s="1"/>
  <c r="G584" i="3"/>
  <c r="BA583" i="3"/>
  <c r="BA582" i="3"/>
  <c r="BA581" i="3"/>
  <c r="BA580" i="3"/>
  <c r="BL579" i="3"/>
  <c r="G579" i="3"/>
  <c r="BL578" i="3"/>
  <c r="G577" i="3"/>
  <c r="BL576" i="3"/>
  <c r="BA576" i="3"/>
  <c r="G576" i="3"/>
  <c r="BL575" i="3"/>
  <c r="BA575" i="3"/>
  <c r="BA574" i="3"/>
  <c r="BA573" i="3"/>
  <c r="BL571" i="3"/>
  <c r="AZ571" i="3" s="1"/>
  <c r="BA571" i="3"/>
  <c r="G571" i="3"/>
  <c r="BL570" i="3"/>
  <c r="BA570" i="3"/>
  <c r="BL568" i="3"/>
  <c r="BA568" i="3"/>
  <c r="G568" i="3"/>
  <c r="G567" i="3"/>
  <c r="BL566" i="3"/>
  <c r="BL565" i="3"/>
  <c r="AZ565" i="3" s="1"/>
  <c r="BL563" i="3"/>
  <c r="BA563" i="3"/>
  <c r="BL562" i="3"/>
  <c r="BA562" i="3"/>
  <c r="G561" i="3"/>
  <c r="BN5" i="3"/>
  <c r="BL559" i="3"/>
  <c r="G559" i="3"/>
  <c r="BL558" i="3"/>
  <c r="BG5" i="3"/>
  <c r="BS5" i="3"/>
  <c r="BO5" i="3"/>
  <c r="BJ5" i="3"/>
  <c r="BA556" i="3"/>
  <c r="S22" i="31"/>
  <c r="R22" i="31" s="1"/>
  <c r="E19" i="68"/>
  <c r="E19" i="87"/>
  <c r="E19" i="86"/>
  <c r="E19" i="90"/>
  <c r="E19" i="89"/>
  <c r="E19" i="88"/>
  <c r="E19" i="84"/>
  <c r="M18" i="93"/>
  <c r="B118" i="93" s="1"/>
  <c r="F11" i="12"/>
  <c r="C23" i="12" s="1"/>
  <c r="F34" i="90"/>
  <c r="F34" i="89"/>
  <c r="F34" i="88"/>
  <c r="F34" i="87"/>
  <c r="C36" i="87" s="1"/>
  <c r="F34" i="86"/>
  <c r="C36" i="86" s="1"/>
  <c r="F34" i="84"/>
  <c r="A15" i="62"/>
  <c r="B61" i="72" s="1"/>
  <c r="G400" i="3"/>
  <c r="BL406" i="3"/>
  <c r="BL409" i="3"/>
  <c r="BL412" i="3"/>
  <c r="G415" i="3"/>
  <c r="BA419" i="3"/>
  <c r="BL419" i="3"/>
  <c r="G422" i="3"/>
  <c r="BA448" i="3"/>
  <c r="BA454" i="3"/>
  <c r="BA456" i="3"/>
  <c r="G464" i="3"/>
  <c r="BA471" i="3"/>
  <c r="BA476" i="3"/>
  <c r="G478" i="3"/>
  <c r="BA487" i="3"/>
  <c r="BA489" i="3"/>
  <c r="BL490" i="3"/>
  <c r="BA339" i="3"/>
  <c r="AZ339" i="3" s="1"/>
  <c r="BL367" i="3"/>
  <c r="G369" i="3"/>
  <c r="BL375" i="3"/>
  <c r="AZ375" i="3" s="1"/>
  <c r="G213" i="3"/>
  <c r="BA222" i="3"/>
  <c r="AZ222" i="3" s="1"/>
  <c r="BL237" i="3"/>
  <c r="G238" i="3"/>
  <c r="BL249" i="3"/>
  <c r="G250" i="3"/>
  <c r="BA252" i="3"/>
  <c r="BA259" i="3"/>
  <c r="BL261" i="3"/>
  <c r="BL282" i="3"/>
  <c r="U21" i="34"/>
  <c r="AB21" i="34"/>
  <c r="BL399" i="3"/>
  <c r="BL408" i="3"/>
  <c r="BA411" i="3"/>
  <c r="G425" i="3"/>
  <c r="BA431" i="3"/>
  <c r="BA433" i="3"/>
  <c r="AZ433" i="3" s="1"/>
  <c r="G435" i="3"/>
  <c r="BL435" i="3"/>
  <c r="BL436" i="3"/>
  <c r="G441" i="3"/>
  <c r="BL441" i="3"/>
  <c r="BL442" i="3"/>
  <c r="BA444" i="3"/>
  <c r="BA447" i="3"/>
  <c r="G469" i="3"/>
  <c r="G474" i="3"/>
  <c r="BL480" i="3"/>
  <c r="G481" i="3"/>
  <c r="G485" i="3"/>
  <c r="BL488" i="3"/>
  <c r="G490" i="3"/>
  <c r="BA491" i="3"/>
  <c r="BL308" i="3"/>
  <c r="AZ308" i="3" s="1"/>
  <c r="BA315" i="3"/>
  <c r="AZ315" i="3" s="1"/>
  <c r="BA335" i="3"/>
  <c r="AZ335" i="3" s="1"/>
  <c r="BL216" i="3"/>
  <c r="BA228" i="3"/>
  <c r="G232" i="3"/>
  <c r="BA235" i="3"/>
  <c r="BL244" i="3"/>
  <c r="BL248" i="3"/>
  <c r="BL277" i="3"/>
  <c r="BL287" i="3"/>
  <c r="BA290" i="3"/>
  <c r="BL291" i="3"/>
  <c r="G292" i="3"/>
  <c r="BA120" i="3"/>
  <c r="AZ120" i="3" s="1"/>
  <c r="BA145" i="3"/>
  <c r="M108" i="43"/>
  <c r="M100" i="43"/>
  <c r="W21" i="37"/>
  <c r="AC21" i="37"/>
  <c r="AB14" i="71"/>
  <c r="BL332" i="3"/>
  <c r="BL359" i="3"/>
  <c r="AZ359" i="3" s="1"/>
  <c r="BL363" i="3"/>
  <c r="AZ363" i="3" s="1"/>
  <c r="BA366" i="3"/>
  <c r="AZ366" i="3" s="1"/>
  <c r="BL385" i="3"/>
  <c r="BA392" i="3"/>
  <c r="AZ392" i="3" s="1"/>
  <c r="BL395" i="3"/>
  <c r="G209" i="3"/>
  <c r="BL209" i="3"/>
  <c r="BL210" i="3"/>
  <c r="BL212" i="3"/>
  <c r="BL219" i="3"/>
  <c r="G221" i="3"/>
  <c r="G229" i="3"/>
  <c r="G230" i="3"/>
  <c r="G240" i="3"/>
  <c r="BL240" i="3"/>
  <c r="BA243" i="3"/>
  <c r="BA244" i="3"/>
  <c r="AZ244" i="3" s="1"/>
  <c r="BL246" i="3"/>
  <c r="BA247" i="3"/>
  <c r="G252" i="3"/>
  <c r="BA254" i="3"/>
  <c r="G260" i="3"/>
  <c r="BL266" i="3"/>
  <c r="BA267" i="3"/>
  <c r="BA277" i="3"/>
  <c r="BA281" i="3"/>
  <c r="BA282" i="3"/>
  <c r="AZ282" i="3" s="1"/>
  <c r="G285" i="3"/>
  <c r="G286" i="3"/>
  <c r="BA292" i="3"/>
  <c r="BA293" i="3"/>
  <c r="AZ293" i="3" s="1"/>
  <c r="G295" i="3"/>
  <c r="G296" i="3"/>
  <c r="BA296" i="3"/>
  <c r="G299" i="3"/>
  <c r="BL113" i="3"/>
  <c r="BL114" i="3"/>
  <c r="G138" i="3"/>
  <c r="G158" i="3"/>
  <c r="BA180" i="3"/>
  <c r="AZ180" i="3" s="1"/>
  <c r="BL31" i="3"/>
  <c r="BL101" i="3"/>
  <c r="V77" i="71"/>
  <c r="F76" i="71"/>
  <c r="F75" i="71" s="1"/>
  <c r="BA407" i="3"/>
  <c r="BL407" i="3"/>
  <c r="BA409" i="3"/>
  <c r="AZ409" i="3" s="1"/>
  <c r="G412" i="3"/>
  <c r="G413" i="3"/>
  <c r="BA413" i="3"/>
  <c r="G418" i="3"/>
  <c r="BL423" i="3"/>
  <c r="BL424" i="3"/>
  <c r="G426" i="3"/>
  <c r="G427" i="3"/>
  <c r="BA446" i="3"/>
  <c r="G448" i="3"/>
  <c r="BL451" i="3"/>
  <c r="G453" i="3"/>
  <c r="BA458" i="3"/>
  <c r="G461" i="3"/>
  <c r="G466" i="3"/>
  <c r="G472" i="3"/>
  <c r="BA473" i="3"/>
  <c r="BA480" i="3"/>
  <c r="AZ480" i="3" s="1"/>
  <c r="G486" i="3"/>
  <c r="BL486" i="3"/>
  <c r="BA303" i="3"/>
  <c r="AZ303" i="3" s="1"/>
  <c r="BA319" i="3"/>
  <c r="AZ319" i="3" s="1"/>
  <c r="G334" i="3"/>
  <c r="G358" i="3"/>
  <c r="G362" i="3"/>
  <c r="G366" i="3"/>
  <c r="G374" i="3"/>
  <c r="BL383" i="3"/>
  <c r="AZ383" i="3" s="1"/>
  <c r="BL208" i="3"/>
  <c r="G212" i="3"/>
  <c r="BA214" i="3"/>
  <c r="AZ214" i="3" s="1"/>
  <c r="BA217" i="3"/>
  <c r="BA224" i="3"/>
  <c r="BL225" i="3"/>
  <c r="G227" i="3"/>
  <c r="G234" i="3"/>
  <c r="BA237" i="3"/>
  <c r="BL239" i="3"/>
  <c r="BA242" i="3"/>
  <c r="G245" i="3"/>
  <c r="BL245" i="3"/>
  <c r="BA249" i="3"/>
  <c r="AZ249" i="3" s="1"/>
  <c r="BA253" i="3"/>
  <c r="G255" i="3"/>
  <c r="BA263" i="3"/>
  <c r="AZ263" i="3" s="1"/>
  <c r="BL265" i="3"/>
  <c r="BL268" i="3"/>
  <c r="BA270" i="3"/>
  <c r="BA274" i="3"/>
  <c r="G278" i="3"/>
  <c r="BA280" i="3"/>
  <c r="G283" i="3"/>
  <c r="BA285" i="3"/>
  <c r="G288" i="3"/>
  <c r="BL288" i="3"/>
  <c r="G294" i="3"/>
  <c r="G178" i="3"/>
  <c r="G190" i="3"/>
  <c r="BL22" i="3"/>
  <c r="BA61" i="3"/>
  <c r="G108" i="43"/>
  <c r="G100" i="43"/>
  <c r="AA18" i="36"/>
  <c r="S18" i="36"/>
  <c r="D85" i="71"/>
  <c r="C84" i="71"/>
  <c r="BL121" i="3"/>
  <c r="BA122" i="3"/>
  <c r="BA125" i="3"/>
  <c r="BA137" i="3"/>
  <c r="BA138" i="3"/>
  <c r="G140" i="3"/>
  <c r="G147" i="3"/>
  <c r="G150" i="3"/>
  <c r="G164" i="3"/>
  <c r="G182" i="3"/>
  <c r="G196" i="3"/>
  <c r="BA197" i="3"/>
  <c r="G205" i="3"/>
  <c r="BA24" i="3"/>
  <c r="G27" i="3"/>
  <c r="BA30" i="3"/>
  <c r="BL39" i="3"/>
  <c r="BL40" i="3"/>
  <c r="G41" i="3"/>
  <c r="BL41" i="3"/>
  <c r="G46" i="3"/>
  <c r="BL46" i="3"/>
  <c r="BA48" i="3"/>
  <c r="G51" i="3"/>
  <c r="BA53" i="3"/>
  <c r="BL57" i="3"/>
  <c r="G60" i="3"/>
  <c r="G61" i="3"/>
  <c r="BA64" i="3"/>
  <c r="BL68" i="3"/>
  <c r="G70" i="3"/>
  <c r="BL70" i="3"/>
  <c r="G75" i="3"/>
  <c r="G76" i="3"/>
  <c r="BA85" i="3"/>
  <c r="BA101" i="3"/>
  <c r="AZ101" i="3" s="1"/>
  <c r="G1" i="90"/>
  <c r="G1" i="88"/>
  <c r="G1" i="87"/>
  <c r="G1" i="89"/>
  <c r="G1" i="86"/>
  <c r="G1" i="84"/>
  <c r="M56" i="9"/>
  <c r="J56" i="93"/>
  <c r="J57" i="93" s="1"/>
  <c r="J59" i="93" s="1"/>
  <c r="J61" i="93" s="1"/>
  <c r="M56" i="92"/>
  <c r="J56" i="91"/>
  <c r="J57" i="91" s="1"/>
  <c r="J59" i="91" s="1"/>
  <c r="J61" i="91" s="1"/>
  <c r="N56" i="93"/>
  <c r="K56" i="92"/>
  <c r="N56" i="91"/>
  <c r="M56" i="93"/>
  <c r="J56" i="92"/>
  <c r="J57" i="92" s="1"/>
  <c r="J59" i="92" s="1"/>
  <c r="J61" i="92" s="1"/>
  <c r="M56" i="91"/>
  <c r="K56" i="93"/>
  <c r="N56" i="92"/>
  <c r="K56" i="91"/>
  <c r="J56" i="83"/>
  <c r="J57" i="83" s="1"/>
  <c r="J59" i="83" s="1"/>
  <c r="J61" i="83" s="1"/>
  <c r="N56" i="83"/>
  <c r="M56" i="83"/>
  <c r="K56" i="83"/>
  <c r="BA294" i="3"/>
  <c r="G298" i="3"/>
  <c r="BA298" i="3"/>
  <c r="BA113" i="3"/>
  <c r="BL118" i="3"/>
  <c r="BL119" i="3"/>
  <c r="AZ119" i="3" s="1"/>
  <c r="G126" i="3"/>
  <c r="G144" i="3"/>
  <c r="BL146" i="3"/>
  <c r="BL154" i="3"/>
  <c r="BA156" i="3"/>
  <c r="AZ156" i="3" s="1"/>
  <c r="BL157" i="3"/>
  <c r="BL159" i="3"/>
  <c r="AZ159" i="3" s="1"/>
  <c r="BA161" i="3"/>
  <c r="G163" i="3"/>
  <c r="BL167" i="3"/>
  <c r="AZ167" i="3" s="1"/>
  <c r="BA177" i="3"/>
  <c r="BL177" i="3"/>
  <c r="BL179" i="3"/>
  <c r="AZ179" i="3" s="1"/>
  <c r="BL185" i="3"/>
  <c r="BA186" i="3"/>
  <c r="BL189" i="3"/>
  <c r="BL191" i="3"/>
  <c r="AZ191" i="3" s="1"/>
  <c r="BA193" i="3"/>
  <c r="G195" i="3"/>
  <c r="BL198" i="3"/>
  <c r="BA201" i="3"/>
  <c r="BL202" i="3"/>
  <c r="BA20" i="3"/>
  <c r="BA21" i="3"/>
  <c r="BA22" i="3"/>
  <c r="AZ22" i="3" s="1"/>
  <c r="G26" i="3"/>
  <c r="BL29" i="3"/>
  <c r="G31" i="3"/>
  <c r="G32" i="3"/>
  <c r="G33" i="3"/>
  <c r="BL37" i="3"/>
  <c r="G39" i="3"/>
  <c r="G45" i="3"/>
  <c r="BA52" i="3"/>
  <c r="G74" i="3"/>
  <c r="BA79" i="3"/>
  <c r="BL83" i="3"/>
  <c r="G91" i="3"/>
  <c r="BL97" i="3"/>
  <c r="BL98" i="3"/>
  <c r="G102" i="3"/>
  <c r="G103" i="3"/>
  <c r="BL107" i="3"/>
  <c r="G112" i="3"/>
  <c r="BL112" i="3"/>
  <c r="M47" i="93"/>
  <c r="M47" i="91"/>
  <c r="M47" i="92"/>
  <c r="M47" i="83"/>
  <c r="K108" i="43"/>
  <c r="C51" i="10"/>
  <c r="A13" i="51" s="1"/>
  <c r="B11" i="72" s="1"/>
  <c r="A2" i="92"/>
  <c r="A118" i="92"/>
  <c r="A2" i="93"/>
  <c r="A2" i="91"/>
  <c r="A118" i="93"/>
  <c r="A118" i="91"/>
  <c r="A118" i="83"/>
  <c r="A2" i="83"/>
  <c r="AC21" i="21"/>
  <c r="G300" i="3"/>
  <c r="G118" i="3"/>
  <c r="BL122" i="3"/>
  <c r="BL130" i="3"/>
  <c r="BL131" i="3"/>
  <c r="AZ131" i="3" s="1"/>
  <c r="BL134" i="3"/>
  <c r="BL153" i="3"/>
  <c r="G172" i="3"/>
  <c r="BL173" i="3"/>
  <c r="BL175" i="3"/>
  <c r="AZ175" i="3" s="1"/>
  <c r="G184" i="3"/>
  <c r="G198" i="3"/>
  <c r="BL199" i="3"/>
  <c r="AZ199" i="3" s="1"/>
  <c r="G202" i="3"/>
  <c r="BA205" i="3"/>
  <c r="BA206" i="3"/>
  <c r="AZ206" i="3" s="1"/>
  <c r="BA19" i="3"/>
  <c r="G24" i="3"/>
  <c r="BA28" i="3"/>
  <c r="G29" i="3"/>
  <c r="G37" i="3"/>
  <c r="BA39" i="3"/>
  <c r="AZ39" i="3" s="1"/>
  <c r="G43" i="3"/>
  <c r="BA50" i="3"/>
  <c r="BL71" i="3"/>
  <c r="G72" i="3"/>
  <c r="BL76" i="3"/>
  <c r="BL80" i="3"/>
  <c r="BL81" i="3"/>
  <c r="G82" i="3"/>
  <c r="BL82" i="3"/>
  <c r="G86" i="3"/>
  <c r="BL90" i="3"/>
  <c r="BA91" i="3"/>
  <c r="BL93" i="3"/>
  <c r="G100" i="3"/>
  <c r="BL106" i="3"/>
  <c r="G110" i="3"/>
  <c r="C80" i="71"/>
  <c r="C79" i="71" s="1"/>
  <c r="D79" i="71" s="1"/>
  <c r="AB32" i="71"/>
  <c r="AA28" i="71"/>
  <c r="AJ10" i="43"/>
  <c r="N56" i="9"/>
  <c r="D9" i="11"/>
  <c r="C9" i="11" s="1"/>
  <c r="M6" i="1"/>
  <c r="D10" i="84"/>
  <c r="C10" i="84" s="1"/>
  <c r="M18" i="83"/>
  <c r="B118" i="83" s="1"/>
  <c r="S37" i="34"/>
  <c r="AB34" i="34"/>
  <c r="AA11" i="34"/>
  <c r="AB11" i="34"/>
  <c r="AA28" i="37"/>
  <c r="S28" i="37"/>
  <c r="AZ576" i="3"/>
  <c r="AZ568" i="3"/>
  <c r="AZ563" i="3"/>
  <c r="AZ562" i="3"/>
  <c r="C69" i="39"/>
  <c r="D67" i="39"/>
  <c r="D69" i="39" s="1"/>
  <c r="BA572" i="3"/>
  <c r="BR5" i="3"/>
  <c r="BA559" i="3"/>
  <c r="AZ559" i="3" s="1"/>
  <c r="BH5" i="3"/>
  <c r="BA558" i="3"/>
  <c r="AZ558" i="3" s="1"/>
  <c r="G558" i="3"/>
  <c r="H5" i="3"/>
  <c r="W11" i="37"/>
  <c r="S10" i="21"/>
  <c r="U9" i="21"/>
  <c r="AA33" i="21"/>
  <c r="AB45" i="21"/>
  <c r="S13" i="21"/>
  <c r="AC37" i="21"/>
  <c r="AA36" i="33"/>
  <c r="AA19" i="37"/>
  <c r="AA29" i="21"/>
  <c r="AC45" i="21"/>
  <c r="AB44" i="21"/>
  <c r="W8" i="21"/>
  <c r="W19" i="34"/>
  <c r="W32" i="37"/>
  <c r="H85" i="43"/>
  <c r="AA43" i="21"/>
  <c r="S43" i="34"/>
  <c r="S22" i="35"/>
  <c r="U24" i="36"/>
  <c r="AA27" i="40"/>
  <c r="BB5" i="3"/>
  <c r="AZ387" i="3"/>
  <c r="AZ361" i="3"/>
  <c r="AZ357" i="3"/>
  <c r="AZ372" i="3"/>
  <c r="AZ313" i="3"/>
  <c r="AZ378" i="3"/>
  <c r="AZ360" i="3"/>
  <c r="BL567" i="3"/>
  <c r="BL583" i="3"/>
  <c r="AZ583" i="3" s="1"/>
  <c r="BL556" i="3"/>
  <c r="AZ556" i="3" s="1"/>
  <c r="AC47" i="34"/>
  <c r="W47" i="34"/>
  <c r="AB46" i="33"/>
  <c r="U46" i="33"/>
  <c r="AB30" i="36"/>
  <c r="F9" i="33"/>
  <c r="J9" i="33"/>
  <c r="H9" i="33"/>
  <c r="W31" i="37"/>
  <c r="AC31" i="37"/>
  <c r="AC40" i="39"/>
  <c r="W40" i="39"/>
  <c r="AA44" i="39"/>
  <c r="S44" i="39"/>
  <c r="AB38" i="40"/>
  <c r="U38" i="40"/>
  <c r="F40" i="40"/>
  <c r="J40" i="40"/>
  <c r="AB26" i="21"/>
  <c r="U26" i="21"/>
  <c r="AA10" i="36"/>
  <c r="S10" i="36"/>
  <c r="U14" i="37"/>
  <c r="AB14" i="37"/>
  <c r="AZ582" i="3"/>
  <c r="BL580" i="3"/>
  <c r="AZ580" i="3" s="1"/>
  <c r="BA579" i="3"/>
  <c r="AZ579" i="3" s="1"/>
  <c r="BA566" i="3"/>
  <c r="AZ566" i="3" s="1"/>
  <c r="BL564" i="3"/>
  <c r="AZ564" i="3" s="1"/>
  <c r="BA561" i="3"/>
  <c r="AC17" i="33"/>
  <c r="U23" i="33"/>
  <c r="AC20" i="36"/>
  <c r="AB43" i="39"/>
  <c r="S13" i="39"/>
  <c r="AC25" i="39"/>
  <c r="W19" i="40"/>
  <c r="S37" i="40"/>
  <c r="H88" i="43"/>
  <c r="U42" i="33"/>
  <c r="AB14" i="36"/>
  <c r="S28" i="40"/>
  <c r="F30" i="68"/>
  <c r="F32" i="81"/>
  <c r="F60" i="81" s="1"/>
  <c r="M18" i="81"/>
  <c r="F28" i="82"/>
  <c r="C28" i="82" s="1"/>
  <c r="F28" i="80"/>
  <c r="C28" i="80" s="1"/>
  <c r="F28" i="81"/>
  <c r="C28" i="81" s="1"/>
  <c r="F32" i="82"/>
  <c r="F60" i="82" s="1"/>
  <c r="M18" i="82"/>
  <c r="F32" i="80"/>
  <c r="F60" i="80" s="1"/>
  <c r="M18" i="80"/>
  <c r="AZ14" i="3"/>
  <c r="H82" i="43"/>
  <c r="AZ389" i="3"/>
  <c r="AZ543" i="3"/>
  <c r="AB45" i="33"/>
  <c r="H13" i="39"/>
  <c r="AC16" i="35"/>
  <c r="W16" i="35"/>
  <c r="H12" i="21"/>
  <c r="J12" i="21"/>
  <c r="B70" i="43"/>
  <c r="C15" i="39"/>
  <c r="AZ573" i="3"/>
  <c r="S14" i="33"/>
  <c r="AA14" i="33"/>
  <c r="U46" i="34"/>
  <c r="AB46" i="34"/>
  <c r="W14" i="35"/>
  <c r="AC14" i="35"/>
  <c r="BA567" i="3"/>
  <c r="W23" i="21"/>
  <c r="AA17" i="33"/>
  <c r="AC25" i="33"/>
  <c r="AC35" i="33"/>
  <c r="U21" i="39"/>
  <c r="AC38" i="21"/>
  <c r="U19" i="33"/>
  <c r="U32" i="39"/>
  <c r="S26" i="35"/>
  <c r="AC14" i="34"/>
  <c r="AB40" i="34"/>
  <c r="AA39" i="39"/>
  <c r="U15" i="40"/>
  <c r="H84" i="43"/>
  <c r="AB31" i="37"/>
  <c r="AC9" i="37"/>
  <c r="S20" i="35"/>
  <c r="U16" i="36"/>
  <c r="AA19" i="40"/>
  <c r="AZ371" i="3"/>
  <c r="AZ309" i="3"/>
  <c r="W11" i="39"/>
  <c r="W12" i="37"/>
  <c r="AC12" i="37"/>
  <c r="AB43" i="33"/>
  <c r="J13" i="39"/>
  <c r="U33" i="40"/>
  <c r="AB33" i="40"/>
  <c r="S12" i="40"/>
  <c r="W28" i="21"/>
  <c r="AB32" i="33"/>
  <c r="U32" i="33"/>
  <c r="AA34" i="34"/>
  <c r="S34" i="34"/>
  <c r="AB8" i="35"/>
  <c r="U8" i="35"/>
  <c r="H83" i="43"/>
  <c r="H87" i="43"/>
  <c r="AZ578" i="3"/>
  <c r="U23" i="35"/>
  <c r="AB23" i="35"/>
  <c r="J24" i="36"/>
  <c r="F24" i="36"/>
  <c r="AC12" i="40"/>
  <c r="W12" i="40"/>
  <c r="BL560" i="3"/>
  <c r="BA560" i="3"/>
  <c r="BE5" i="3"/>
  <c r="BP5" i="3"/>
  <c r="G29" i="6" s="1"/>
  <c r="BL586" i="3"/>
  <c r="AZ586" i="3" s="1"/>
  <c r="AC9" i="34"/>
  <c r="W9" i="34"/>
  <c r="H12" i="35"/>
  <c r="J12" i="35"/>
  <c r="J23" i="35"/>
  <c r="F23" i="35"/>
  <c r="H34" i="36"/>
  <c r="F34" i="36"/>
  <c r="J34" i="36"/>
  <c r="W34" i="36" s="1"/>
  <c r="AZ351" i="3"/>
  <c r="AZ321" i="3"/>
  <c r="AZ380" i="3"/>
  <c r="AZ325" i="3"/>
  <c r="AB13" i="34"/>
  <c r="AC5" i="3"/>
  <c r="BL557" i="3"/>
  <c r="AZ528" i="3"/>
  <c r="AZ534" i="3"/>
  <c r="W29" i="33"/>
  <c r="AB11" i="35"/>
  <c r="S41" i="33"/>
  <c r="G587" i="3"/>
  <c r="AC33" i="33"/>
  <c r="W33" i="33"/>
  <c r="F12" i="35"/>
  <c r="H44" i="39"/>
  <c r="J44" i="39"/>
  <c r="BA551" i="3"/>
  <c r="AZ551" i="3" s="1"/>
  <c r="BQ5" i="3"/>
  <c r="F28" i="6" s="1"/>
  <c r="AZ553" i="3"/>
  <c r="BL561" i="3"/>
  <c r="AZ561" i="3" s="1"/>
  <c r="BL581" i="3"/>
  <c r="AZ554" i="3"/>
  <c r="AA40" i="21"/>
  <c r="S40" i="21"/>
  <c r="C21" i="39"/>
  <c r="B71" i="43"/>
  <c r="H23" i="36"/>
  <c r="F23" i="36"/>
  <c r="S41" i="21"/>
  <c r="AA41" i="21"/>
  <c r="G566" i="3"/>
  <c r="BL525" i="3"/>
  <c r="BL524" i="3"/>
  <c r="BA524" i="3"/>
  <c r="BL523" i="3"/>
  <c r="BA523" i="3"/>
  <c r="BL522" i="3"/>
  <c r="BA522" i="3"/>
  <c r="BA521" i="3"/>
  <c r="AZ521" i="3" s="1"/>
  <c r="BA520" i="3"/>
  <c r="BA519" i="3"/>
  <c r="G519" i="3"/>
  <c r="BL518" i="3"/>
  <c r="G518" i="3"/>
  <c r="BL517" i="3"/>
  <c r="BA517" i="3"/>
  <c r="BA516" i="3"/>
  <c r="BA514" i="3"/>
  <c r="BL513" i="3"/>
  <c r="AZ513" i="3" s="1"/>
  <c r="BL512" i="3"/>
  <c r="BA511" i="3"/>
  <c r="G511" i="3"/>
  <c r="BL510" i="3"/>
  <c r="BA510" i="3"/>
  <c r="BL509" i="3"/>
  <c r="BA509" i="3"/>
  <c r="BL508" i="3"/>
  <c r="BA507" i="3"/>
  <c r="BL506" i="3"/>
  <c r="BA506" i="3"/>
  <c r="BL505" i="3"/>
  <c r="G505" i="3"/>
  <c r="G504" i="3"/>
  <c r="BA503" i="3"/>
  <c r="AZ503" i="3" s="1"/>
  <c r="BL501" i="3"/>
  <c r="AZ501" i="3" s="1"/>
  <c r="BL500" i="3"/>
  <c r="BA500" i="3"/>
  <c r="BA499" i="3"/>
  <c r="AZ499" i="3" s="1"/>
  <c r="BA498" i="3"/>
  <c r="BL497" i="3"/>
  <c r="BA495" i="3"/>
  <c r="AZ495" i="3" s="1"/>
  <c r="BL494" i="3"/>
  <c r="BA494" i="3"/>
  <c r="BA13" i="3"/>
  <c r="BL398" i="3"/>
  <c r="BL401" i="3"/>
  <c r="BL404" i="3"/>
  <c r="BL405" i="3"/>
  <c r="BA412" i="3"/>
  <c r="AZ412" i="3" s="1"/>
  <c r="G419" i="3"/>
  <c r="BL420" i="3"/>
  <c r="G423" i="3"/>
  <c r="BL426" i="3"/>
  <c r="BA429" i="3"/>
  <c r="BL430" i="3"/>
  <c r="AA10" i="37"/>
  <c r="BL550" i="3"/>
  <c r="G550" i="3"/>
  <c r="G542" i="3"/>
  <c r="BK5" i="3"/>
  <c r="BC5" i="3"/>
  <c r="E8" i="6" s="1"/>
  <c r="BA398" i="3"/>
  <c r="BA399" i="3"/>
  <c r="AZ399" i="3" s="1"/>
  <c r="BA401" i="3"/>
  <c r="AZ401" i="3" s="1"/>
  <c r="BA405" i="3"/>
  <c r="G409" i="3"/>
  <c r="BL410" i="3"/>
  <c r="BL413" i="3"/>
  <c r="AZ413" i="3" s="1"/>
  <c r="G416" i="3"/>
  <c r="BL417" i="3"/>
  <c r="BL418" i="3"/>
  <c r="BL421" i="3"/>
  <c r="BL422" i="3"/>
  <c r="AZ422" i="3" s="1"/>
  <c r="BA424" i="3"/>
  <c r="AZ424" i="3" s="1"/>
  <c r="BA425" i="3"/>
  <c r="BA426" i="3"/>
  <c r="AZ426" i="3" s="1"/>
  <c r="BA427" i="3"/>
  <c r="AZ427" i="3" s="1"/>
  <c r="BL432" i="3"/>
  <c r="BA434" i="3"/>
  <c r="BA435" i="3"/>
  <c r="AZ435" i="3" s="1"/>
  <c r="BA442" i="3"/>
  <c r="AZ442" i="3" s="1"/>
  <c r="BL445" i="3"/>
  <c r="BL446" i="3"/>
  <c r="AZ446" i="3" s="1"/>
  <c r="BA450" i="3"/>
  <c r="AZ450" i="3" s="1"/>
  <c r="BL453" i="3"/>
  <c r="BL454" i="3"/>
  <c r="BL458" i="3"/>
  <c r="BL459" i="3"/>
  <c r="BA462" i="3"/>
  <c r="BA463" i="3"/>
  <c r="M20" i="15"/>
  <c r="M20" i="82"/>
  <c r="M20" i="80"/>
  <c r="F34" i="82"/>
  <c r="F62" i="82" s="1"/>
  <c r="M20" i="81"/>
  <c r="F34" i="80"/>
  <c r="F62" i="80" s="1"/>
  <c r="F34" i="81"/>
  <c r="F62" i="81" s="1"/>
  <c r="BM5" i="3"/>
  <c r="F29" i="6" s="1"/>
  <c r="BL411" i="3"/>
  <c r="BL415" i="3"/>
  <c r="AZ415" i="3" s="1"/>
  <c r="BA423" i="3"/>
  <c r="AZ423" i="3" s="1"/>
  <c r="BA430" i="3"/>
  <c r="BA437" i="3"/>
  <c r="AZ437" i="3" s="1"/>
  <c r="BA439" i="3"/>
  <c r="BL447" i="3"/>
  <c r="BA451" i="3"/>
  <c r="BL455" i="3"/>
  <c r="BL456" i="3"/>
  <c r="AZ456" i="3" s="1"/>
  <c r="AZ487" i="3"/>
  <c r="BT5" i="3"/>
  <c r="AZ406" i="3"/>
  <c r="AZ418" i="3"/>
  <c r="AZ436" i="3"/>
  <c r="BA460" i="3"/>
  <c r="BL464" i="3"/>
  <c r="BA466" i="3"/>
  <c r="G429" i="3"/>
  <c r="G430" i="3"/>
  <c r="BL431" i="3"/>
  <c r="G433" i="3"/>
  <c r="BL434" i="3"/>
  <c r="G437" i="3"/>
  <c r="BL438" i="3"/>
  <c r="BL439" i="3"/>
  <c r="BA441" i="3"/>
  <c r="AZ441" i="3" s="1"/>
  <c r="BA445" i="3"/>
  <c r="BA455" i="3"/>
  <c r="AZ455" i="3" s="1"/>
  <c r="BA457" i="3"/>
  <c r="AZ457" i="3" s="1"/>
  <c r="BA464" i="3"/>
  <c r="BL467" i="3"/>
  <c r="BL468" i="3"/>
  <c r="AZ468" i="3" s="1"/>
  <c r="BL471" i="3"/>
  <c r="G473" i="3"/>
  <c r="BL474" i="3"/>
  <c r="BL475" i="3"/>
  <c r="AZ475" i="3" s="1"/>
  <c r="BA477" i="3"/>
  <c r="BA478" i="3"/>
  <c r="BA481" i="3"/>
  <c r="BA488" i="3"/>
  <c r="AZ488" i="3" s="1"/>
  <c r="G491" i="3"/>
  <c r="BL492" i="3"/>
  <c r="G313" i="3"/>
  <c r="G318" i="3"/>
  <c r="BL328" i="3"/>
  <c r="AZ328" i="3" s="1"/>
  <c r="BA331" i="3"/>
  <c r="AZ331" i="3" s="1"/>
  <c r="BA333" i="3"/>
  <c r="G343" i="3"/>
  <c r="BL348" i="3"/>
  <c r="AZ348" i="3" s="1"/>
  <c r="BA352" i="3"/>
  <c r="AZ352" i="3" s="1"/>
  <c r="BL354" i="3"/>
  <c r="AZ354" i="3" s="1"/>
  <c r="G364" i="3"/>
  <c r="BA367" i="3"/>
  <c r="AZ367" i="3" s="1"/>
  <c r="BA370" i="3"/>
  <c r="AZ370" i="3" s="1"/>
  <c r="G378" i="3"/>
  <c r="BA386" i="3"/>
  <c r="AZ386" i="3" s="1"/>
  <c r="G397" i="3"/>
  <c r="G208" i="3"/>
  <c r="G210" i="3"/>
  <c r="G211" i="3"/>
  <c r="BA213" i="3"/>
  <c r="BA215" i="3"/>
  <c r="BA216" i="3"/>
  <c r="AZ216" i="3" s="1"/>
  <c r="BA218" i="3"/>
  <c r="AZ218" i="3" s="1"/>
  <c r="BL223" i="3"/>
  <c r="BA225" i="3"/>
  <c r="BA226" i="3"/>
  <c r="BA229" i="3"/>
  <c r="BA232" i="3"/>
  <c r="BL236" i="3"/>
  <c r="BA436" i="3"/>
  <c r="BL440" i="3"/>
  <c r="AZ440" i="3" s="1"/>
  <c r="G442" i="3"/>
  <c r="G443" i="3"/>
  <c r="BA443" i="3"/>
  <c r="AZ443" i="3" s="1"/>
  <c r="BL444" i="3"/>
  <c r="G446" i="3"/>
  <c r="G447" i="3"/>
  <c r="BL448" i="3"/>
  <c r="G450" i="3"/>
  <c r="G451" i="3"/>
  <c r="BL452" i="3"/>
  <c r="G454" i="3"/>
  <c r="G455" i="3"/>
  <c r="G458" i="3"/>
  <c r="BL460" i="3"/>
  <c r="G462" i="3"/>
  <c r="BL465" i="3"/>
  <c r="AZ465" i="3" s="1"/>
  <c r="BL476" i="3"/>
  <c r="BL477" i="3"/>
  <c r="G479" i="3"/>
  <c r="G482" i="3"/>
  <c r="BL482" i="3"/>
  <c r="BL483" i="3"/>
  <c r="BA486" i="3"/>
  <c r="G488" i="3"/>
  <c r="BL489" i="3"/>
  <c r="G311" i="3"/>
  <c r="G315" i="3"/>
  <c r="BA317" i="3"/>
  <c r="AZ317" i="3" s="1"/>
  <c r="BA332" i="3"/>
  <c r="G347" i="3"/>
  <c r="BA349" i="3"/>
  <c r="AZ349" i="3" s="1"/>
  <c r="BL353" i="3"/>
  <c r="BL368" i="3"/>
  <c r="BA374" i="3"/>
  <c r="AZ374" i="3" s="1"/>
  <c r="G392" i="3"/>
  <c r="BA396" i="3"/>
  <c r="AZ396" i="3" s="1"/>
  <c r="BA397" i="3"/>
  <c r="BA209" i="3"/>
  <c r="AZ209" i="3" s="1"/>
  <c r="BA210" i="3"/>
  <c r="G214" i="3"/>
  <c r="G218" i="3"/>
  <c r="BL221" i="3"/>
  <c r="BL227" i="3"/>
  <c r="BL230" i="3"/>
  <c r="BA238" i="3"/>
  <c r="BA239" i="3"/>
  <c r="AZ239" i="3" s="1"/>
  <c r="BA246" i="3"/>
  <c r="AZ246" i="3" s="1"/>
  <c r="BL247" i="3"/>
  <c r="AZ247" i="3" s="1"/>
  <c r="BA469" i="3"/>
  <c r="AZ469" i="3" s="1"/>
  <c r="BL470" i="3"/>
  <c r="BL473" i="3"/>
  <c r="AZ473" i="3" s="1"/>
  <c r="BL478" i="3"/>
  <c r="BA482" i="3"/>
  <c r="BA483" i="3"/>
  <c r="BA484" i="3"/>
  <c r="AZ484" i="3" s="1"/>
  <c r="BL491" i="3"/>
  <c r="AZ491" i="3" s="1"/>
  <c r="BA307" i="3"/>
  <c r="AZ307" i="3" s="1"/>
  <c r="BL314" i="3"/>
  <c r="AZ314" i="3" s="1"/>
  <c r="BL324" i="3"/>
  <c r="AZ324" i="3" s="1"/>
  <c r="G345" i="3"/>
  <c r="BA353" i="3"/>
  <c r="BA358" i="3"/>
  <c r="AZ358" i="3" s="1"/>
  <c r="BL365" i="3"/>
  <c r="AZ365" i="3" s="1"/>
  <c r="BA368" i="3"/>
  <c r="BA384" i="3"/>
  <c r="AZ384" i="3" s="1"/>
  <c r="BA388" i="3"/>
  <c r="AZ388" i="3" s="1"/>
  <c r="BA395" i="3"/>
  <c r="AZ395" i="3" s="1"/>
  <c r="BA208" i="3"/>
  <c r="AZ208" i="3" s="1"/>
  <c r="BA211" i="3"/>
  <c r="AZ211" i="3" s="1"/>
  <c r="BL213" i="3"/>
  <c r="BL215" i="3"/>
  <c r="BL220" i="3"/>
  <c r="G222" i="3"/>
  <c r="G224" i="3"/>
  <c r="BA227" i="3"/>
  <c r="AZ227" i="3" s="1"/>
  <c r="BL229" i="3"/>
  <c r="BL231" i="3"/>
  <c r="BL233" i="3"/>
  <c r="AZ233" i="3" s="1"/>
  <c r="BL235" i="3"/>
  <c r="AZ235" i="3" s="1"/>
  <c r="G237" i="3"/>
  <c r="BL241" i="3"/>
  <c r="AZ241" i="3" s="1"/>
  <c r="BL242" i="3"/>
  <c r="AZ242" i="3" s="1"/>
  <c r="BA250" i="3"/>
  <c r="BL253" i="3"/>
  <c r="AZ253" i="3" s="1"/>
  <c r="BL255" i="3"/>
  <c r="G258" i="3"/>
  <c r="G259" i="3"/>
  <c r="G263" i="3"/>
  <c r="G270" i="3"/>
  <c r="BL270" i="3"/>
  <c r="AZ270" i="3" s="1"/>
  <c r="G273" i="3"/>
  <c r="BL274" i="3"/>
  <c r="BA275" i="3"/>
  <c r="BA276" i="3"/>
  <c r="BA278" i="3"/>
  <c r="BL281" i="3"/>
  <c r="AZ281" i="3" s="1"/>
  <c r="BA283" i="3"/>
  <c r="G287" i="3"/>
  <c r="BA289" i="3"/>
  <c r="AZ289" i="3" s="1"/>
  <c r="BL292" i="3"/>
  <c r="AZ292" i="3" s="1"/>
  <c r="G297" i="3"/>
  <c r="BL298" i="3"/>
  <c r="BA299" i="3"/>
  <c r="AZ299" i="3" s="1"/>
  <c r="BA300" i="3"/>
  <c r="BA301" i="3"/>
  <c r="AZ301" i="3" s="1"/>
  <c r="BA114" i="3"/>
  <c r="AZ114" i="3" s="1"/>
  <c r="BA116" i="3"/>
  <c r="AZ116" i="3" s="1"/>
  <c r="BA124" i="3"/>
  <c r="AZ124" i="3" s="1"/>
  <c r="BA126" i="3"/>
  <c r="G131" i="3"/>
  <c r="BL137" i="3"/>
  <c r="BA140" i="3"/>
  <c r="AZ140" i="3" s="1"/>
  <c r="G146" i="3"/>
  <c r="BL150" i="3"/>
  <c r="BL155" i="3"/>
  <c r="AZ155" i="3" s="1"/>
  <c r="G167" i="3"/>
  <c r="BA169" i="3"/>
  <c r="AZ252" i="3"/>
  <c r="BL264" i="3"/>
  <c r="AZ264" i="3" s="1"/>
  <c r="BA266" i="3"/>
  <c r="AZ266" i="3" s="1"/>
  <c r="BA269" i="3"/>
  <c r="AZ298" i="3"/>
  <c r="G216" i="3"/>
  <c r="BL217" i="3"/>
  <c r="AZ217" i="3" s="1"/>
  <c r="BA219" i="3"/>
  <c r="AZ219" i="3" s="1"/>
  <c r="BA221" i="3"/>
  <c r="BA223" i="3"/>
  <c r="AZ223" i="3" s="1"/>
  <c r="BL226" i="3"/>
  <c r="BL228" i="3"/>
  <c r="AZ228" i="3" s="1"/>
  <c r="BA230" i="3"/>
  <c r="BL232" i="3"/>
  <c r="BL234" i="3"/>
  <c r="AZ234" i="3" s="1"/>
  <c r="BA236" i="3"/>
  <c r="BL238" i="3"/>
  <c r="BA240" i="3"/>
  <c r="AZ240" i="3" s="1"/>
  <c r="BL243" i="3"/>
  <c r="AZ243" i="3" s="1"/>
  <c r="BA245" i="3"/>
  <c r="AZ245" i="3" s="1"/>
  <c r="G249" i="3"/>
  <c r="BL251" i="3"/>
  <c r="AZ251" i="3" s="1"/>
  <c r="BL252" i="3"/>
  <c r="BL254" i="3"/>
  <c r="AZ254" i="3" s="1"/>
  <c r="G256" i="3"/>
  <c r="BL256" i="3"/>
  <c r="BA257" i="3"/>
  <c r="AZ257" i="3" s="1"/>
  <c r="BA258" i="3"/>
  <c r="AZ258" i="3" s="1"/>
  <c r="BA261" i="3"/>
  <c r="AZ261" i="3" s="1"/>
  <c r="G266" i="3"/>
  <c r="BA268" i="3"/>
  <c r="AZ268" i="3" s="1"/>
  <c r="BA271" i="3"/>
  <c r="AZ271" i="3" s="1"/>
  <c r="G276" i="3"/>
  <c r="G277" i="3"/>
  <c r="BL279" i="3"/>
  <c r="AZ279" i="3" s="1"/>
  <c r="BL280" i="3"/>
  <c r="AZ280" i="3" s="1"/>
  <c r="BA288" i="3"/>
  <c r="AZ288" i="3" s="1"/>
  <c r="BL290" i="3"/>
  <c r="BA295" i="3"/>
  <c r="AZ295" i="3" s="1"/>
  <c r="G301" i="3"/>
  <c r="G119" i="3"/>
  <c r="BL125" i="3"/>
  <c r="AZ125" i="3" s="1"/>
  <c r="BL126" i="3"/>
  <c r="G127" i="3"/>
  <c r="BA128" i="3"/>
  <c r="AZ128" i="3" s="1"/>
  <c r="G136" i="3"/>
  <c r="BL138" i="3"/>
  <c r="AZ138" i="3" s="1"/>
  <c r="BL141" i="3"/>
  <c r="G143" i="3"/>
  <c r="BA146" i="3"/>
  <c r="AZ146" i="3" s="1"/>
  <c r="BA149" i="3"/>
  <c r="G152" i="3"/>
  <c r="BA157" i="3"/>
  <c r="AZ157" i="3" s="1"/>
  <c r="BA158" i="3"/>
  <c r="G160" i="3"/>
  <c r="BL161" i="3"/>
  <c r="G170" i="3"/>
  <c r="BL250" i="3"/>
  <c r="BA256" i="3"/>
  <c r="BL273" i="3"/>
  <c r="AZ273" i="3" s="1"/>
  <c r="BL275" i="3"/>
  <c r="BL276" i="3"/>
  <c r="BL283" i="3"/>
  <c r="BL285" i="3"/>
  <c r="BA287" i="3"/>
  <c r="AZ287" i="3" s="1"/>
  <c r="BL297" i="3"/>
  <c r="AZ297" i="3" s="1"/>
  <c r="BL299" i="3"/>
  <c r="BL300" i="3"/>
  <c r="BA302" i="3"/>
  <c r="BL117" i="3"/>
  <c r="BA121" i="3"/>
  <c r="AZ121" i="3" s="1"/>
  <c r="BA130" i="3"/>
  <c r="AZ130" i="3" s="1"/>
  <c r="BA134" i="3"/>
  <c r="AZ137" i="3"/>
  <c r="BA148" i="3"/>
  <c r="AZ148" i="3" s="1"/>
  <c r="BA63" i="3"/>
  <c r="AZ63" i="3" s="1"/>
  <c r="BA67" i="3"/>
  <c r="BA69" i="3"/>
  <c r="BA71" i="3"/>
  <c r="AZ71" i="3" s="1"/>
  <c r="BA75" i="3"/>
  <c r="BA80" i="3"/>
  <c r="AZ80" i="3" s="1"/>
  <c r="BA81" i="3"/>
  <c r="AZ81" i="3" s="1"/>
  <c r="BA83" i="3"/>
  <c r="AZ83" i="3" s="1"/>
  <c r="BL95" i="3"/>
  <c r="BA173" i="3"/>
  <c r="AZ173" i="3" s="1"/>
  <c r="G179" i="3"/>
  <c r="BL187" i="3"/>
  <c r="AZ187" i="3" s="1"/>
  <c r="G191" i="3"/>
  <c r="BA198" i="3"/>
  <c r="AZ198" i="3" s="1"/>
  <c r="BL201" i="3"/>
  <c r="BL203" i="3"/>
  <c r="AZ203" i="3" s="1"/>
  <c r="BL207" i="3"/>
  <c r="BL18" i="3"/>
  <c r="BL20" i="3"/>
  <c r="AZ20" i="3" s="1"/>
  <c r="BL24" i="3"/>
  <c r="AZ24" i="3" s="1"/>
  <c r="BL25" i="3"/>
  <c r="BL26" i="3"/>
  <c r="G28" i="3"/>
  <c r="BL33" i="3"/>
  <c r="BL36" i="3"/>
  <c r="BA41" i="3"/>
  <c r="AZ41" i="3" s="1"/>
  <c r="BL43" i="3"/>
  <c r="BA45" i="3"/>
  <c r="BA46" i="3"/>
  <c r="G54" i="3"/>
  <c r="BA55" i="3"/>
  <c r="G59" i="3"/>
  <c r="BL59" i="3"/>
  <c r="BL60" i="3"/>
  <c r="BA68" i="3"/>
  <c r="AZ68" i="3" s="1"/>
  <c r="G71" i="3"/>
  <c r="BL73" i="3"/>
  <c r="BL74" i="3"/>
  <c r="BL75" i="3"/>
  <c r="G77" i="3"/>
  <c r="G159" i="3"/>
  <c r="BA164" i="3"/>
  <c r="AZ164" i="3" s="1"/>
  <c r="BA168" i="3"/>
  <c r="AZ168" i="3" s="1"/>
  <c r="BA172" i="3"/>
  <c r="AZ172" i="3" s="1"/>
  <c r="BL178" i="3"/>
  <c r="BA184" i="3"/>
  <c r="AZ184" i="3" s="1"/>
  <c r="BL186" i="3"/>
  <c r="AZ186" i="3" s="1"/>
  <c r="BA189" i="3"/>
  <c r="AZ189" i="3" s="1"/>
  <c r="BA192" i="3"/>
  <c r="AZ192" i="3" s="1"/>
  <c r="BA194" i="3"/>
  <c r="G20" i="3"/>
  <c r="G22" i="3"/>
  <c r="BA26" i="3"/>
  <c r="BA32" i="3"/>
  <c r="AZ32" i="3" s="1"/>
  <c r="BA33" i="3"/>
  <c r="BA36" i="3"/>
  <c r="BA38" i="3"/>
  <c r="BA40" i="3"/>
  <c r="AZ40" i="3" s="1"/>
  <c r="BA42" i="3"/>
  <c r="AZ42" i="3" s="1"/>
  <c r="BL48" i="3"/>
  <c r="AZ48" i="3" s="1"/>
  <c r="BL54" i="3"/>
  <c r="BA59" i="3"/>
  <c r="AZ59" i="3" s="1"/>
  <c r="BA60" i="3"/>
  <c r="G1" i="82"/>
  <c r="G1" i="80"/>
  <c r="G1" i="81"/>
  <c r="G130" i="3"/>
  <c r="G132" i="3"/>
  <c r="G139" i="3"/>
  <c r="BA142" i="3"/>
  <c r="BL143" i="3"/>
  <c r="AZ143" i="3" s="1"/>
  <c r="BL145" i="3"/>
  <c r="BL147" i="3"/>
  <c r="AZ147" i="3" s="1"/>
  <c r="BA150" i="3"/>
  <c r="AZ150" i="3" s="1"/>
  <c r="BA152" i="3"/>
  <c r="AZ152" i="3" s="1"/>
  <c r="G154" i="3"/>
  <c r="G155" i="3"/>
  <c r="BL158" i="3"/>
  <c r="BA160" i="3"/>
  <c r="AZ160" i="3" s="1"/>
  <c r="G162" i="3"/>
  <c r="BL166" i="3"/>
  <c r="AZ166" i="3" s="1"/>
  <c r="BL169" i="3"/>
  <c r="BL171" i="3"/>
  <c r="AZ171" i="3" s="1"/>
  <c r="G174" i="3"/>
  <c r="BA174" i="3"/>
  <c r="BA178" i="3"/>
  <c r="AZ178" i="3" s="1"/>
  <c r="BL181" i="3"/>
  <c r="AZ181" i="3" s="1"/>
  <c r="BL183" i="3"/>
  <c r="AZ183" i="3" s="1"/>
  <c r="BA188" i="3"/>
  <c r="AZ188" i="3" s="1"/>
  <c r="BA190" i="3"/>
  <c r="G192" i="3"/>
  <c r="BL193" i="3"/>
  <c r="AZ193" i="3" s="1"/>
  <c r="BL195" i="3"/>
  <c r="AZ195" i="3" s="1"/>
  <c r="BL197" i="3"/>
  <c r="AZ197" i="3" s="1"/>
  <c r="G200" i="3"/>
  <c r="BA200" i="3"/>
  <c r="AZ200" i="3" s="1"/>
  <c r="BA207" i="3"/>
  <c r="AZ207" i="3" s="1"/>
  <c r="BA18" i="3"/>
  <c r="AZ18" i="3" s="1"/>
  <c r="BL21" i="3"/>
  <c r="AZ21" i="3" s="1"/>
  <c r="BA25" i="3"/>
  <c r="BA29" i="3"/>
  <c r="AZ29" i="3" s="1"/>
  <c r="BA34" i="3"/>
  <c r="AZ34" i="3" s="1"/>
  <c r="BA37" i="3"/>
  <c r="AZ37" i="3" s="1"/>
  <c r="G42" i="3"/>
  <c r="BL44" i="3"/>
  <c r="AZ44" i="3" s="1"/>
  <c r="BL45" i="3"/>
  <c r="G48" i="3"/>
  <c r="BL49" i="3"/>
  <c r="G56" i="3"/>
  <c r="G57" i="3"/>
  <c r="BA58" i="3"/>
  <c r="G63" i="3"/>
  <c r="G64" i="3"/>
  <c r="G65" i="3"/>
  <c r="BL78" i="3"/>
  <c r="BL85" i="3"/>
  <c r="AZ85" i="3" s="1"/>
  <c r="BL86" i="3"/>
  <c r="BL87" i="3"/>
  <c r="BA90" i="3"/>
  <c r="AZ90" i="3" s="1"/>
  <c r="BA99" i="3"/>
  <c r="AZ99" i="3" s="1"/>
  <c r="C60" i="71"/>
  <c r="D59" i="71"/>
  <c r="BA103" i="3"/>
  <c r="BA104" i="3"/>
  <c r="BA107" i="3"/>
  <c r="AZ107" i="3" s="1"/>
  <c r="BA109" i="3"/>
  <c r="AZ109" i="3" s="1"/>
  <c r="AA3" i="71"/>
  <c r="C72" i="71"/>
  <c r="O65" i="71"/>
  <c r="X34" i="71"/>
  <c r="C32" i="71"/>
  <c r="E44" i="71"/>
  <c r="E45" i="71" s="1"/>
  <c r="U45" i="71" s="1"/>
  <c r="B52" i="71"/>
  <c r="B53" i="71" s="1"/>
  <c r="S53" i="71" s="1"/>
  <c r="F64" i="71"/>
  <c r="P65" i="71"/>
  <c r="B76" i="71"/>
  <c r="B75" i="71" s="1"/>
  <c r="C24" i="12"/>
  <c r="G66" i="3"/>
  <c r="G67" i="3"/>
  <c r="BL67" i="3"/>
  <c r="BA70" i="3"/>
  <c r="AZ70" i="3" s="1"/>
  <c r="BL72" i="3"/>
  <c r="BA74" i="3"/>
  <c r="BA78" i="3"/>
  <c r="G83" i="3"/>
  <c r="BA86" i="3"/>
  <c r="BA87" i="3"/>
  <c r="G89" i="3"/>
  <c r="BA93" i="3"/>
  <c r="AZ93" i="3" s="1"/>
  <c r="BA95" i="3"/>
  <c r="AZ95" i="3" s="1"/>
  <c r="BA98" i="3"/>
  <c r="BA100" i="3"/>
  <c r="BA102" i="3"/>
  <c r="G107" i="3"/>
  <c r="G109" i="3"/>
  <c r="BL111" i="3"/>
  <c r="AZ111" i="3" s="1"/>
  <c r="G1" i="68"/>
  <c r="AC21" i="33"/>
  <c r="U18" i="35"/>
  <c r="S21" i="34"/>
  <c r="C25" i="40"/>
  <c r="E68" i="71"/>
  <c r="E67" i="71" s="1"/>
  <c r="T65" i="71"/>
  <c r="AB25" i="71"/>
  <c r="B36" i="71"/>
  <c r="B37" i="71" s="1"/>
  <c r="S37" i="71" s="1"/>
  <c r="B68" i="71"/>
  <c r="B67" i="71" s="1"/>
  <c r="V73" i="71"/>
  <c r="AC12" i="43"/>
  <c r="K56" i="9"/>
  <c r="F20" i="71"/>
  <c r="F19" i="71" s="1"/>
  <c r="F18" i="71" s="1"/>
  <c r="F17" i="71" s="1"/>
  <c r="F16" i="71" s="1"/>
  <c r="F15" i="71" s="1"/>
  <c r="F14" i="71" s="1"/>
  <c r="AB33" i="71"/>
  <c r="B44" i="71"/>
  <c r="B45" i="71" s="1"/>
  <c r="S45" i="71" s="1"/>
  <c r="BL77" i="3"/>
  <c r="AZ77" i="3" s="1"/>
  <c r="BA82" i="3"/>
  <c r="AZ82" i="3" s="1"/>
  <c r="BL84" i="3"/>
  <c r="G87" i="3"/>
  <c r="G88" i="3"/>
  <c r="BA88" i="3"/>
  <c r="BL94" i="3"/>
  <c r="G97" i="3"/>
  <c r="G98" i="3"/>
  <c r="G99" i="3"/>
  <c r="G101" i="3"/>
  <c r="BL103" i="3"/>
  <c r="BL104" i="3"/>
  <c r="BA108" i="3"/>
  <c r="BA110" i="3"/>
  <c r="BA112" i="3"/>
  <c r="AZ112" i="3" s="1"/>
  <c r="J51" i="81"/>
  <c r="J51" i="80"/>
  <c r="J51" i="82"/>
  <c r="AA22" i="71"/>
  <c r="X21" i="71"/>
  <c r="C18" i="9"/>
  <c r="D18" i="9" s="1"/>
  <c r="G22" i="69"/>
  <c r="D22" i="15"/>
  <c r="E1" i="73"/>
  <c r="D23" i="15"/>
  <c r="F34" i="11"/>
  <c r="C36" i="11" s="1"/>
  <c r="F34" i="68"/>
  <c r="A24" i="51"/>
  <c r="B18" i="72" s="1"/>
  <c r="H56" i="43"/>
  <c r="H75" i="43"/>
  <c r="H49" i="43"/>
  <c r="H55" i="43"/>
  <c r="L17" i="43"/>
  <c r="H48" i="43"/>
  <c r="H54" i="43"/>
  <c r="H67" i="43"/>
  <c r="H63" i="43"/>
  <c r="F38" i="43"/>
  <c r="F34" i="43"/>
  <c r="H50" i="43"/>
  <c r="I17" i="43"/>
  <c r="E17" i="43"/>
  <c r="N17" i="43"/>
  <c r="H61" i="43"/>
  <c r="H51" i="43"/>
  <c r="H64" i="43"/>
  <c r="K17" i="43"/>
  <c r="F39" i="43"/>
  <c r="F36" i="43"/>
  <c r="G11" i="1"/>
  <c r="G10" i="1"/>
  <c r="G13" i="1"/>
  <c r="G9" i="1"/>
  <c r="M20" i="67"/>
  <c r="F34" i="67"/>
  <c r="F62" i="67" s="1"/>
  <c r="C94" i="9"/>
  <c r="C92" i="9"/>
  <c r="F30" i="69"/>
  <c r="F32" i="15"/>
  <c r="F60" i="15" s="1"/>
  <c r="M18" i="67"/>
  <c r="F30" i="11"/>
  <c r="F48" i="68"/>
  <c r="C48" i="68"/>
  <c r="C30" i="68"/>
  <c r="F31" i="12"/>
  <c r="E19" i="11"/>
  <c r="G22" i="11"/>
  <c r="G26" i="12"/>
  <c r="G22" i="68"/>
  <c r="L27" i="6"/>
  <c r="G1" i="15"/>
  <c r="B7" i="1"/>
  <c r="E7" i="1" s="1"/>
  <c r="K7" i="1"/>
  <c r="K1" i="12"/>
  <c r="G1" i="67"/>
  <c r="G1" i="69"/>
  <c r="F30" i="6"/>
  <c r="G28" i="6"/>
  <c r="E28" i="6" s="1"/>
  <c r="K14" i="1" s="1"/>
  <c r="M14" i="1" s="1"/>
  <c r="O14" i="1" s="1"/>
  <c r="P14" i="1" s="1"/>
  <c r="BL13" i="3"/>
  <c r="T12" i="1"/>
  <c r="AR12" i="1"/>
  <c r="BD5" i="3"/>
  <c r="D9" i="69"/>
  <c r="C9" i="69" s="1"/>
  <c r="B113" i="43"/>
  <c r="D117" i="43" s="1"/>
  <c r="E117" i="43" s="1"/>
  <c r="F117" i="43" s="1"/>
  <c r="G117" i="43" s="1"/>
  <c r="H117" i="43" s="1"/>
  <c r="F22" i="43"/>
  <c r="N104" i="46"/>
  <c r="H101" i="43"/>
  <c r="E101" i="43"/>
  <c r="AD11" i="43"/>
  <c r="Z7" i="43"/>
  <c r="AG11" i="43"/>
  <c r="AG13" i="43" s="1"/>
  <c r="Y11" i="43"/>
  <c r="Y13" i="43" s="1"/>
  <c r="S3" i="43"/>
  <c r="H22" i="43"/>
  <c r="M101" i="43"/>
  <c r="M109" i="43" s="1"/>
  <c r="S2" i="43"/>
  <c r="AH11" i="43"/>
  <c r="AH13" i="43" s="1"/>
  <c r="Z11" i="43"/>
  <c r="Z13" i="43" s="1"/>
  <c r="AI11" i="43"/>
  <c r="AI13" i="43" s="1"/>
  <c r="AC11" i="43"/>
  <c r="AC13" i="43" s="1"/>
  <c r="C23" i="43"/>
  <c r="C21" i="43" s="1"/>
  <c r="F101" i="43"/>
  <c r="F106" i="43" s="1"/>
  <c r="D101" i="43"/>
  <c r="G22" i="43"/>
  <c r="AJ11" i="43"/>
  <c r="AJ13" i="43" s="1"/>
  <c r="AB11" i="43"/>
  <c r="AB13" i="43" s="1"/>
  <c r="S5" i="43"/>
  <c r="AE11" i="43"/>
  <c r="AE13" i="43" s="1"/>
  <c r="S6" i="43"/>
  <c r="S7" i="43"/>
  <c r="S4" i="43"/>
  <c r="E22" i="43"/>
  <c r="G101" i="43"/>
  <c r="G105" i="43" s="1"/>
  <c r="L101" i="43"/>
  <c r="L102" i="43" s="1"/>
  <c r="I101" i="43"/>
  <c r="I102" i="43" s="1"/>
  <c r="AF11" i="43"/>
  <c r="AA11" i="43"/>
  <c r="AA13" i="43" s="1"/>
  <c r="AR11" i="1"/>
  <c r="T10" i="1"/>
  <c r="C36" i="69"/>
  <c r="T11" i="1"/>
  <c r="C101" i="43"/>
  <c r="K101" i="43"/>
  <c r="AR10" i="1"/>
  <c r="J101" i="43"/>
  <c r="J109" i="43" s="1"/>
  <c r="N101" i="43"/>
  <c r="D19" i="12"/>
  <c r="C19" i="12" s="1"/>
  <c r="T13" i="1"/>
  <c r="O6" i="1"/>
  <c r="P6" i="1" s="1"/>
  <c r="AR13" i="1"/>
  <c r="P12" i="1"/>
  <c r="G6" i="1"/>
  <c r="G12" i="1"/>
  <c r="G8" i="1"/>
  <c r="A2" i="9"/>
  <c r="A4" i="52"/>
  <c r="B41" i="72" s="1"/>
  <c r="A118" i="9"/>
  <c r="C20" i="43"/>
  <c r="D126" i="9"/>
  <c r="D127" i="9" s="1"/>
  <c r="D13" i="52" s="1"/>
  <c r="D124" i="9"/>
  <c r="D10" i="52" s="1"/>
  <c r="B38" i="72"/>
  <c r="D20" i="53"/>
  <c r="B40" i="72" s="1"/>
  <c r="B34" i="72"/>
  <c r="D17" i="53"/>
  <c r="B36" i="72" s="1"/>
  <c r="C18" i="71"/>
  <c r="H110" i="9"/>
  <c r="D18" i="53" s="1"/>
  <c r="B35" i="72" s="1"/>
  <c r="O11" i="1"/>
  <c r="P11" i="1" s="1"/>
  <c r="AC17" i="21"/>
  <c r="W17" i="21"/>
  <c r="AC15" i="21"/>
  <c r="S39" i="34"/>
  <c r="AA39" i="34"/>
  <c r="AZ557" i="3"/>
  <c r="U27" i="36"/>
  <c r="AB27" i="36"/>
  <c r="AZ535" i="3"/>
  <c r="F48" i="9"/>
  <c r="O52" i="9" s="1"/>
  <c r="F53" i="9"/>
  <c r="O9" i="1"/>
  <c r="P9" i="1" s="1"/>
  <c r="AZ581" i="3"/>
  <c r="AZ524" i="3"/>
  <c r="AZ522" i="3"/>
  <c r="AZ517" i="3"/>
  <c r="AZ510" i="3"/>
  <c r="AZ509" i="3"/>
  <c r="AZ506" i="3"/>
  <c r="AZ500" i="3"/>
  <c r="AZ494" i="3"/>
  <c r="AB20" i="36"/>
  <c r="C31" i="12"/>
  <c r="AA13" i="33"/>
  <c r="AZ529" i="3"/>
  <c r="AZ537" i="3"/>
  <c r="AZ545" i="3"/>
  <c r="AZ567" i="3"/>
  <c r="AB26" i="33"/>
  <c r="AA14" i="37"/>
  <c r="S14" i="37"/>
  <c r="AC34" i="36"/>
  <c r="W8" i="34"/>
  <c r="AC40" i="33"/>
  <c r="W40" i="33"/>
  <c r="U12" i="35"/>
  <c r="AB12" i="35"/>
  <c r="U8" i="36"/>
  <c r="AB8" i="36"/>
  <c r="AC8" i="40"/>
  <c r="W8" i="40"/>
  <c r="H39" i="40"/>
  <c r="J39" i="40"/>
  <c r="K5" i="4"/>
  <c r="B47" i="48" s="1"/>
  <c r="AB34" i="39"/>
  <c r="AC36" i="34"/>
  <c r="AC32" i="36"/>
  <c r="U13" i="33"/>
  <c r="S45" i="33"/>
  <c r="W13" i="36"/>
  <c r="W30" i="34"/>
  <c r="AC30" i="34"/>
  <c r="B77" i="43"/>
  <c r="C25" i="39"/>
  <c r="J26" i="33"/>
  <c r="F26" i="33"/>
  <c r="F27" i="34"/>
  <c r="J27" i="34"/>
  <c r="J28" i="37"/>
  <c r="H28" i="37"/>
  <c r="J39" i="37"/>
  <c r="F39" i="37"/>
  <c r="AC32" i="40"/>
  <c r="W32" i="40"/>
  <c r="AA33" i="34"/>
  <c r="U33" i="37"/>
  <c r="S21" i="40"/>
  <c r="AZ570" i="3"/>
  <c r="S44" i="33"/>
  <c r="AA44" i="33"/>
  <c r="AA44" i="34"/>
  <c r="S44" i="34"/>
  <c r="AA29" i="35"/>
  <c r="S29" i="35"/>
  <c r="BL587" i="3"/>
  <c r="AZ587" i="3" s="1"/>
  <c r="AC8" i="35"/>
  <c r="W8" i="35"/>
  <c r="J12" i="34"/>
  <c r="H12" i="34"/>
  <c r="F12" i="34"/>
  <c r="AC11" i="35"/>
  <c r="W11" i="35"/>
  <c r="H34" i="35"/>
  <c r="F34" i="35"/>
  <c r="J34" i="35"/>
  <c r="BL577" i="3"/>
  <c r="BA577" i="3"/>
  <c r="BL574" i="3"/>
  <c r="AZ574" i="3" s="1"/>
  <c r="BL572" i="3"/>
  <c r="AZ572" i="3" s="1"/>
  <c r="BL569" i="3"/>
  <c r="BA569" i="3"/>
  <c r="AZ555" i="3"/>
  <c r="AZ575" i="3"/>
  <c r="AZ518" i="3"/>
  <c r="BA549" i="3"/>
  <c r="AZ549" i="3" s="1"/>
  <c r="BA525" i="3"/>
  <c r="AZ525" i="3" s="1"/>
  <c r="BL520" i="3"/>
  <c r="AZ520" i="3" s="1"/>
  <c r="BL519" i="3"/>
  <c r="AZ519" i="3" s="1"/>
  <c r="BL516" i="3"/>
  <c r="AZ516" i="3" s="1"/>
  <c r="BA515" i="3"/>
  <c r="AZ515" i="3" s="1"/>
  <c r="BL514" i="3"/>
  <c r="AZ514" i="3" s="1"/>
  <c r="BA512" i="3"/>
  <c r="AZ512" i="3" s="1"/>
  <c r="BL511" i="3"/>
  <c r="AZ511" i="3" s="1"/>
  <c r="BA508" i="3"/>
  <c r="AZ508" i="3" s="1"/>
  <c r="BL507" i="3"/>
  <c r="AZ507" i="3" s="1"/>
  <c r="BA505" i="3"/>
  <c r="AZ505" i="3" s="1"/>
  <c r="BA502" i="3"/>
  <c r="AZ502" i="3" s="1"/>
  <c r="BL498" i="3"/>
  <c r="AZ498" i="3" s="1"/>
  <c r="BA497" i="3"/>
  <c r="AZ497" i="3" s="1"/>
  <c r="BL496" i="3"/>
  <c r="BA496" i="3"/>
  <c r="BL585" i="3"/>
  <c r="AZ585" i="3" s="1"/>
  <c r="F12" i="21"/>
  <c r="J14" i="21"/>
  <c r="H14" i="21"/>
  <c r="H30" i="21"/>
  <c r="J30" i="21"/>
  <c r="J35" i="35"/>
  <c r="H35" i="35"/>
  <c r="AB34" i="40"/>
  <c r="U34" i="40"/>
  <c r="F36" i="39"/>
  <c r="J36" i="39"/>
  <c r="G578" i="3"/>
  <c r="BA550" i="3"/>
  <c r="AZ550" i="3" s="1"/>
  <c r="G526" i="3"/>
  <c r="AZ454" i="3"/>
  <c r="H9" i="34"/>
  <c r="J26" i="37"/>
  <c r="F26" i="37"/>
  <c r="J37" i="39"/>
  <c r="F37" i="39"/>
  <c r="H14" i="40"/>
  <c r="F14" i="40"/>
  <c r="H35" i="39"/>
  <c r="J35" i="39"/>
  <c r="AZ429" i="3"/>
  <c r="AZ447" i="3"/>
  <c r="AZ332" i="3"/>
  <c r="AA11" i="36"/>
  <c r="S11" i="36"/>
  <c r="W33" i="37"/>
  <c r="AB30" i="35"/>
  <c r="U30" i="35"/>
  <c r="AC28" i="35"/>
  <c r="W28" i="35"/>
  <c r="H36" i="35"/>
  <c r="J36" i="35"/>
  <c r="H27" i="37"/>
  <c r="J27" i="37"/>
  <c r="H38" i="37"/>
  <c r="F38" i="37"/>
  <c r="H45" i="39"/>
  <c r="J45" i="39"/>
  <c r="G562" i="3"/>
  <c r="BL548" i="3"/>
  <c r="AZ548" i="3" s="1"/>
  <c r="AZ476" i="3"/>
  <c r="AZ430" i="3"/>
  <c r="AZ419" i="3"/>
  <c r="AZ451" i="3"/>
  <c r="AZ458" i="3"/>
  <c r="U18" i="36"/>
  <c r="AB18" i="36"/>
  <c r="AA15" i="71"/>
  <c r="BL16" i="3"/>
  <c r="AZ16" i="3" s="1"/>
  <c r="AZ402" i="3"/>
  <c r="AZ407" i="3"/>
  <c r="AZ410" i="3"/>
  <c r="AZ444" i="3"/>
  <c r="AZ464" i="3"/>
  <c r="AZ470" i="3"/>
  <c r="AZ482" i="3"/>
  <c r="AZ486" i="3"/>
  <c r="AZ489" i="3"/>
  <c r="AZ141" i="3"/>
  <c r="AZ161" i="3"/>
  <c r="B21" i="71"/>
  <c r="P8" i="1"/>
  <c r="BL15" i="3"/>
  <c r="AZ411" i="3"/>
  <c r="AZ420" i="3"/>
  <c r="AZ431" i="3"/>
  <c r="AZ445" i="3"/>
  <c r="AZ448" i="3"/>
  <c r="AZ452" i="3"/>
  <c r="AZ459" i="3"/>
  <c r="AZ460" i="3"/>
  <c r="AZ462" i="3"/>
  <c r="AZ466" i="3"/>
  <c r="AZ471" i="3"/>
  <c r="AZ477" i="3"/>
  <c r="AZ478" i="3"/>
  <c r="AZ385" i="3"/>
  <c r="AZ397" i="3"/>
  <c r="AZ210" i="3"/>
  <c r="AZ212" i="3"/>
  <c r="AZ220" i="3"/>
  <c r="AZ231" i="3"/>
  <c r="AZ276" i="3"/>
  <c r="AZ290" i="3"/>
  <c r="AZ113" i="3"/>
  <c r="AZ118" i="3"/>
  <c r="AZ201" i="3"/>
  <c r="AZ87" i="3"/>
  <c r="B24" i="71"/>
  <c r="B23" i="71" s="1"/>
  <c r="S25" i="71"/>
  <c r="Y33" i="71"/>
  <c r="Z33" i="71" s="1"/>
  <c r="Y34" i="71"/>
  <c r="Z34" i="71" s="1"/>
  <c r="Y35" i="71"/>
  <c r="Z35" i="71" s="1"/>
  <c r="Y14" i="71"/>
  <c r="Z14" i="71" s="1"/>
  <c r="G398" i="3"/>
  <c r="BL400" i="3"/>
  <c r="AZ400" i="3" s="1"/>
  <c r="BA403" i="3"/>
  <c r="AZ403" i="3" s="1"/>
  <c r="BA404" i="3"/>
  <c r="AZ404" i="3" s="1"/>
  <c r="BA408" i="3"/>
  <c r="AZ408" i="3" s="1"/>
  <c r="BL414" i="3"/>
  <c r="AZ414" i="3" s="1"/>
  <c r="BA417" i="3"/>
  <c r="AZ417" i="3" s="1"/>
  <c r="BA421" i="3"/>
  <c r="AZ421" i="3" s="1"/>
  <c r="BL425" i="3"/>
  <c r="AZ425" i="3" s="1"/>
  <c r="BA428" i="3"/>
  <c r="AZ428" i="3" s="1"/>
  <c r="BA432" i="3"/>
  <c r="AZ432" i="3" s="1"/>
  <c r="G436" i="3"/>
  <c r="BA438" i="3"/>
  <c r="AZ438" i="3" s="1"/>
  <c r="BA449" i="3"/>
  <c r="AZ449" i="3" s="1"/>
  <c r="BA453" i="3"/>
  <c r="AZ453" i="3" s="1"/>
  <c r="BA461" i="3"/>
  <c r="AZ461" i="3" s="1"/>
  <c r="BL463" i="3"/>
  <c r="AZ463" i="3" s="1"/>
  <c r="G465" i="3"/>
  <c r="BA467" i="3"/>
  <c r="AZ467" i="3" s="1"/>
  <c r="BA472" i="3"/>
  <c r="AZ472" i="3" s="1"/>
  <c r="BA474" i="3"/>
  <c r="AZ474" i="3" s="1"/>
  <c r="BA479" i="3"/>
  <c r="AZ479" i="3" s="1"/>
  <c r="BL481" i="3"/>
  <c r="AZ481" i="3" s="1"/>
  <c r="G483" i="3"/>
  <c r="BL485" i="3"/>
  <c r="AZ485" i="3" s="1"/>
  <c r="G487" i="3"/>
  <c r="BA490" i="3"/>
  <c r="AZ490" i="3" s="1"/>
  <c r="BA492" i="3"/>
  <c r="AZ492" i="3" s="1"/>
  <c r="BL312" i="3"/>
  <c r="AZ312" i="3" s="1"/>
  <c r="BA316" i="3"/>
  <c r="AZ316" i="3" s="1"/>
  <c r="BA323" i="3"/>
  <c r="AZ323" i="3" s="1"/>
  <c r="BL330" i="3"/>
  <c r="AZ330" i="3" s="1"/>
  <c r="BL333" i="3"/>
  <c r="AZ333" i="3" s="1"/>
  <c r="G349" i="3"/>
  <c r="AZ221" i="3"/>
  <c r="AZ225" i="3"/>
  <c r="AZ236" i="3"/>
  <c r="AZ274" i="3"/>
  <c r="AZ285" i="3"/>
  <c r="AZ300" i="3"/>
  <c r="AZ122" i="3"/>
  <c r="X10" i="71"/>
  <c r="AZ145" i="3"/>
  <c r="AZ46" i="3"/>
  <c r="AZ49" i="3"/>
  <c r="AZ73" i="3"/>
  <c r="AB29" i="39"/>
  <c r="U29" i="39"/>
  <c r="Q64" i="71"/>
  <c r="F63" i="71"/>
  <c r="T69" i="71"/>
  <c r="D69" i="71"/>
  <c r="C68" i="71"/>
  <c r="P74" i="67"/>
  <c r="P61" i="67"/>
  <c r="BA248" i="3"/>
  <c r="AZ248" i="3" s="1"/>
  <c r="BA260" i="3"/>
  <c r="AZ260" i="3" s="1"/>
  <c r="BA265" i="3"/>
  <c r="AZ265" i="3" s="1"/>
  <c r="BL269" i="3"/>
  <c r="AZ269" i="3" s="1"/>
  <c r="BL272" i="3"/>
  <c r="AZ272" i="3" s="1"/>
  <c r="BL278" i="3"/>
  <c r="AZ278" i="3" s="1"/>
  <c r="BA286" i="3"/>
  <c r="AZ286" i="3" s="1"/>
  <c r="BA291" i="3"/>
  <c r="AZ291" i="3" s="1"/>
  <c r="BL296" i="3"/>
  <c r="AZ296" i="3" s="1"/>
  <c r="BL302" i="3"/>
  <c r="AZ302" i="3" s="1"/>
  <c r="AZ126" i="3"/>
  <c r="BA133" i="3"/>
  <c r="AZ133" i="3" s="1"/>
  <c r="AZ134" i="3"/>
  <c r="BA144" i="3"/>
  <c r="AZ144" i="3" s="1"/>
  <c r="BA154" i="3"/>
  <c r="AZ154" i="3" s="1"/>
  <c r="AZ177" i="3"/>
  <c r="BL190" i="3"/>
  <c r="AZ190" i="3" s="1"/>
  <c r="BL19" i="3"/>
  <c r="AZ19" i="3" s="1"/>
  <c r="BA66" i="3"/>
  <c r="AZ66" i="3" s="1"/>
  <c r="BA76" i="3"/>
  <c r="AZ76" i="3" s="1"/>
  <c r="F40" i="68"/>
  <c r="C21" i="68"/>
  <c r="W25" i="40"/>
  <c r="AC25" i="40"/>
  <c r="Y27" i="71"/>
  <c r="Z27" i="71" s="1"/>
  <c r="Y22" i="71"/>
  <c r="Z22" i="71" s="1"/>
  <c r="Y11" i="71"/>
  <c r="Z11" i="71" s="1"/>
  <c r="Y19" i="71"/>
  <c r="Z19" i="71" s="1"/>
  <c r="Y10" i="71"/>
  <c r="Z10" i="71" s="1"/>
  <c r="X30" i="71"/>
  <c r="B31" i="71"/>
  <c r="B32" i="71" s="1"/>
  <c r="B33" i="71" s="1"/>
  <c r="S33" i="71" s="1"/>
  <c r="X29" i="71"/>
  <c r="X22" i="71"/>
  <c r="X32" i="71"/>
  <c r="X31" i="71"/>
  <c r="C52" i="71"/>
  <c r="D51" i="71"/>
  <c r="C56" i="71"/>
  <c r="D55" i="71"/>
  <c r="S73" i="71"/>
  <c r="B72" i="71"/>
  <c r="B71" i="71" s="1"/>
  <c r="AB24" i="71"/>
  <c r="AB23" i="71"/>
  <c r="AB20" i="71"/>
  <c r="E21" i="71"/>
  <c r="AA21" i="71"/>
  <c r="AA14" i="71"/>
  <c r="AA10" i="71"/>
  <c r="G241" i="3"/>
  <c r="G246" i="3"/>
  <c r="G251" i="3"/>
  <c r="BA255" i="3"/>
  <c r="AZ255" i="3" s="1"/>
  <c r="BL259" i="3"/>
  <c r="AZ259" i="3" s="1"/>
  <c r="BL262" i="3"/>
  <c r="AZ262" i="3" s="1"/>
  <c r="BL267" i="3"/>
  <c r="AZ267" i="3" s="1"/>
  <c r="G284" i="3"/>
  <c r="G289" i="3"/>
  <c r="BL294" i="3"/>
  <c r="AZ294" i="3" s="1"/>
  <c r="BA117" i="3"/>
  <c r="AZ117" i="3" s="1"/>
  <c r="G120" i="3"/>
  <c r="BA132" i="3"/>
  <c r="AZ132" i="3" s="1"/>
  <c r="BL139" i="3"/>
  <c r="AZ139" i="3" s="1"/>
  <c r="BL149" i="3"/>
  <c r="AZ149" i="3" s="1"/>
  <c r="BL151" i="3"/>
  <c r="AZ151" i="3" s="1"/>
  <c r="BL163" i="3"/>
  <c r="AZ163" i="3" s="1"/>
  <c r="BA165" i="3"/>
  <c r="AZ165" i="3" s="1"/>
  <c r="BA23" i="3"/>
  <c r="AZ25" i="3"/>
  <c r="BA27" i="3"/>
  <c r="AZ27" i="3" s="1"/>
  <c r="BL30" i="3"/>
  <c r="AZ30" i="3" s="1"/>
  <c r="BA35" i="3"/>
  <c r="BL47" i="3"/>
  <c r="AZ47" i="3" s="1"/>
  <c r="BL50" i="3"/>
  <c r="AZ50" i="3" s="1"/>
  <c r="BL52" i="3"/>
  <c r="AZ52" i="3" s="1"/>
  <c r="BL53" i="3"/>
  <c r="AZ53" i="3" s="1"/>
  <c r="BL55" i="3"/>
  <c r="AZ55" i="3" s="1"/>
  <c r="BL56" i="3"/>
  <c r="AZ56" i="3" s="1"/>
  <c r="BL58" i="3"/>
  <c r="AZ58" i="3" s="1"/>
  <c r="G62" i="3"/>
  <c r="L108" i="43"/>
  <c r="L100" i="43"/>
  <c r="D108" i="43"/>
  <c r="D100" i="43"/>
  <c r="C40" i="68"/>
  <c r="F40" i="69"/>
  <c r="C21" i="69"/>
  <c r="C40" i="69"/>
  <c r="P27" i="6"/>
  <c r="E64" i="71"/>
  <c r="AB26" i="71"/>
  <c r="F27" i="71"/>
  <c r="F28" i="71" s="1"/>
  <c r="F29" i="71" s="1"/>
  <c r="V29" i="71" s="1"/>
  <c r="AA29" i="71"/>
  <c r="AA25" i="71"/>
  <c r="C40" i="71"/>
  <c r="D39" i="71"/>
  <c r="AF10" i="43"/>
  <c r="AF12" i="43"/>
  <c r="AF13" i="43" s="1"/>
  <c r="AA23" i="71"/>
  <c r="AA9" i="71"/>
  <c r="BL129" i="3"/>
  <c r="AZ129" i="3" s="1"/>
  <c r="BA136" i="3"/>
  <c r="AZ136" i="3" s="1"/>
  <c r="BL142" i="3"/>
  <c r="AZ142" i="3" s="1"/>
  <c r="G148" i="3"/>
  <c r="BA153" i="3"/>
  <c r="AZ153" i="3" s="1"/>
  <c r="BL162" i="3"/>
  <c r="AZ162" i="3" s="1"/>
  <c r="BA170" i="3"/>
  <c r="AZ170" i="3" s="1"/>
  <c r="BA176" i="3"/>
  <c r="AZ176" i="3" s="1"/>
  <c r="BA182" i="3"/>
  <c r="AZ182" i="3" s="1"/>
  <c r="G186" i="3"/>
  <c r="BA196" i="3"/>
  <c r="AZ196" i="3" s="1"/>
  <c r="G203" i="3"/>
  <c r="BL23" i="3"/>
  <c r="BA31" i="3"/>
  <c r="AZ31" i="3" s="1"/>
  <c r="BL35" i="3"/>
  <c r="BL38" i="3"/>
  <c r="AZ38" i="3" s="1"/>
  <c r="G44" i="3"/>
  <c r="BA51" i="3"/>
  <c r="AZ51" i="3" s="1"/>
  <c r="G55" i="3"/>
  <c r="G58" i="3"/>
  <c r="BA62" i="3"/>
  <c r="AZ62" i="3" s="1"/>
  <c r="BA65" i="3"/>
  <c r="AZ65" i="3" s="1"/>
  <c r="BL69" i="3"/>
  <c r="AZ69" i="3" s="1"/>
  <c r="G73" i="3"/>
  <c r="BL79" i="3"/>
  <c r="AZ79" i="3" s="1"/>
  <c r="G85" i="3"/>
  <c r="BA89" i="3"/>
  <c r="AZ89" i="3" s="1"/>
  <c r="BA94" i="3"/>
  <c r="AZ94" i="3" s="1"/>
  <c r="AZ98" i="3"/>
  <c r="G104" i="3"/>
  <c r="K13" i="1"/>
  <c r="B13" i="1"/>
  <c r="E13" i="1" s="1"/>
  <c r="E59" i="43"/>
  <c r="B57" i="43" s="1"/>
  <c r="B66" i="43"/>
  <c r="B55" i="43"/>
  <c r="D80" i="71"/>
  <c r="AB30" i="71"/>
  <c r="C28" i="71"/>
  <c r="AB28" i="71"/>
  <c r="AB27" i="71"/>
  <c r="AA32" i="71"/>
  <c r="C35" i="71"/>
  <c r="Y32" i="71"/>
  <c r="Z32" i="71" s="1"/>
  <c r="Y28" i="71"/>
  <c r="Z28" i="71" s="1"/>
  <c r="Y30" i="71"/>
  <c r="Z30" i="71" s="1"/>
  <c r="U77" i="71"/>
  <c r="E76" i="71"/>
  <c r="E75" i="71" s="1"/>
  <c r="AD12" i="43"/>
  <c r="AD10" i="43"/>
  <c r="AA20" i="71"/>
  <c r="X19" i="71"/>
  <c r="AA18" i="71"/>
  <c r="AB18" i="71"/>
  <c r="AB15" i="71"/>
  <c r="AB12" i="71"/>
  <c r="AB11" i="71"/>
  <c r="AB8" i="71"/>
  <c r="AB9" i="71"/>
  <c r="AB10" i="71"/>
  <c r="G166" i="3"/>
  <c r="BL174" i="3"/>
  <c r="AZ174" i="3" s="1"/>
  <c r="G180" i="3"/>
  <c r="BA185" i="3"/>
  <c r="AZ185" i="3" s="1"/>
  <c r="BL194" i="3"/>
  <c r="AZ194" i="3" s="1"/>
  <c r="BA202" i="3"/>
  <c r="AZ202" i="3" s="1"/>
  <c r="BL205" i="3"/>
  <c r="AZ205" i="3" s="1"/>
  <c r="BL28" i="3"/>
  <c r="AZ28" i="3" s="1"/>
  <c r="G34" i="3"/>
  <c r="BA43" i="3"/>
  <c r="AZ43" i="3" s="1"/>
  <c r="G47" i="3"/>
  <c r="G50" i="3"/>
  <c r="BA54" i="3"/>
  <c r="AZ54" i="3" s="1"/>
  <c r="BA57" i="3"/>
  <c r="AZ57" i="3" s="1"/>
  <c r="BL61" i="3"/>
  <c r="AZ61" i="3" s="1"/>
  <c r="BL64" i="3"/>
  <c r="AZ64" i="3" s="1"/>
  <c r="G68" i="3"/>
  <c r="BA72" i="3"/>
  <c r="AZ72" i="3" s="1"/>
  <c r="G78" i="3"/>
  <c r="BA84" i="3"/>
  <c r="AZ84" i="3" s="1"/>
  <c r="BL88" i="3"/>
  <c r="AZ88" i="3" s="1"/>
  <c r="G92" i="3"/>
  <c r="BL96" i="3"/>
  <c r="AZ96" i="3" s="1"/>
  <c r="G106" i="3"/>
  <c r="D24" i="67"/>
  <c r="D22" i="67"/>
  <c r="AA18" i="35"/>
  <c r="S18" i="35"/>
  <c r="X26" i="71"/>
  <c r="X27" i="71"/>
  <c r="X23" i="71"/>
  <c r="X28" i="71"/>
  <c r="X24" i="71"/>
  <c r="AB31" i="71"/>
  <c r="AB29" i="71"/>
  <c r="E35" i="71"/>
  <c r="E36" i="71" s="1"/>
  <c r="E37" i="71" s="1"/>
  <c r="U37" i="71" s="1"/>
  <c r="AA34" i="71"/>
  <c r="AA33" i="71"/>
  <c r="AA7" i="71"/>
  <c r="AB35" i="71"/>
  <c r="AB34" i="71"/>
  <c r="Y7" i="71"/>
  <c r="Z7" i="71" s="1"/>
  <c r="Y6" i="71"/>
  <c r="Z6" i="71" s="1"/>
  <c r="V69" i="71"/>
  <c r="F68" i="71"/>
  <c r="F67" i="71" s="1"/>
  <c r="AB21" i="71"/>
  <c r="AB22" i="71"/>
  <c r="X18" i="71"/>
  <c r="AA19" i="71"/>
  <c r="AB7" i="71"/>
  <c r="BA92" i="3"/>
  <c r="AZ92" i="3" s="1"/>
  <c r="BA97" i="3"/>
  <c r="AZ97" i="3" s="1"/>
  <c r="BL102" i="3"/>
  <c r="AZ102" i="3" s="1"/>
  <c r="BA106" i="3"/>
  <c r="AZ106" i="3" s="1"/>
  <c r="BL110" i="3"/>
  <c r="AZ110" i="3" s="1"/>
  <c r="AA24" i="71"/>
  <c r="Y31" i="71"/>
  <c r="Z31" i="71" s="1"/>
  <c r="Y23" i="71"/>
  <c r="Z23" i="71" s="1"/>
  <c r="Y24" i="71"/>
  <c r="Z24" i="71" s="1"/>
  <c r="X15" i="71"/>
  <c r="X9" i="71"/>
  <c r="BL91" i="3"/>
  <c r="AZ91" i="3" s="1"/>
  <c r="G95" i="3"/>
  <c r="BL100" i="3"/>
  <c r="AZ100" i="3" s="1"/>
  <c r="BL105" i="3"/>
  <c r="AZ105" i="3" s="1"/>
  <c r="BL108" i="3"/>
  <c r="AZ108" i="3" s="1"/>
  <c r="F3" i="35"/>
  <c r="N62" i="71"/>
  <c r="E25" i="71"/>
  <c r="Y25" i="71"/>
  <c r="Z25" i="71" s="1"/>
  <c r="C25" i="71"/>
  <c r="AA26" i="71"/>
  <c r="AA30" i="71"/>
  <c r="AB6" i="71"/>
  <c r="C48" i="71"/>
  <c r="P74" i="15"/>
  <c r="P61" i="15"/>
  <c r="Y21" i="71"/>
  <c r="Z21" i="71" s="1"/>
  <c r="Y20" i="71"/>
  <c r="Z20" i="71" s="1"/>
  <c r="Y15" i="71"/>
  <c r="Z15" i="71" s="1"/>
  <c r="Y8" i="71"/>
  <c r="Z8" i="71" s="1"/>
  <c r="X14" i="71"/>
  <c r="Y9" i="71"/>
  <c r="Z9" i="71" s="1"/>
  <c r="X8" i="71"/>
  <c r="AB5" i="71"/>
  <c r="X5" i="71"/>
  <c r="Y5" i="71"/>
  <c r="Z5" i="71" s="1"/>
  <c r="AA5" i="71"/>
  <c r="X25" i="71"/>
  <c r="Y26" i="71"/>
  <c r="Z26" i="71" s="1"/>
  <c r="AA27" i="71"/>
  <c r="Y29" i="71"/>
  <c r="Z29" i="71" s="1"/>
  <c r="AA6" i="71"/>
  <c r="AA36" i="71"/>
  <c r="Y18" i="71"/>
  <c r="Z18" i="71" s="1"/>
  <c r="AA12" i="71"/>
  <c r="AA8" i="71"/>
  <c r="AA11" i="71"/>
  <c r="X6" i="71"/>
  <c r="X12" i="71"/>
  <c r="X7" i="71"/>
  <c r="X11" i="71"/>
  <c r="E67" i="39"/>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B12" i="70"/>
  <c r="B11" i="70"/>
  <c r="B13" i="70"/>
  <c r="D9" i="68"/>
  <c r="M24" i="15"/>
  <c r="M29" i="67"/>
  <c r="F13" i="67"/>
  <c r="D3" i="73"/>
  <c r="F37" i="15"/>
  <c r="F41" i="67"/>
  <c r="M6" i="15"/>
  <c r="F38" i="15"/>
  <c r="F16" i="15"/>
  <c r="M23" i="15"/>
  <c r="F42" i="15"/>
  <c r="M28" i="67"/>
  <c r="C36" i="84"/>
  <c r="F9" i="15"/>
  <c r="L47" i="67"/>
  <c r="F7" i="15"/>
  <c r="M8" i="67"/>
  <c r="F7" i="67"/>
  <c r="F6" i="67"/>
  <c r="F40" i="15"/>
  <c r="F13" i="15"/>
  <c r="D9" i="84"/>
  <c r="M29" i="15"/>
  <c r="F36" i="67"/>
  <c r="M9" i="67"/>
  <c r="F8" i="67"/>
  <c r="F16" i="67"/>
  <c r="M27" i="67"/>
  <c r="C76" i="15"/>
  <c r="J15" i="15"/>
  <c r="F42" i="67"/>
  <c r="M6" i="67"/>
  <c r="F8" i="15"/>
  <c r="M24" i="67"/>
  <c r="F6" i="15"/>
  <c r="D7" i="73"/>
  <c r="M9" i="15"/>
  <c r="F37" i="67"/>
  <c r="F26" i="67"/>
  <c r="F43" i="15"/>
  <c r="M28" i="15"/>
  <c r="L47" i="15"/>
  <c r="F26" i="15"/>
  <c r="F9" i="67"/>
  <c r="C76" i="67"/>
  <c r="L48" i="15"/>
  <c r="F36" i="15"/>
  <c r="M27" i="15"/>
  <c r="F38" i="67"/>
  <c r="J15" i="67"/>
  <c r="M26" i="67"/>
  <c r="L48" i="67"/>
  <c r="M26" i="15"/>
  <c r="F40" i="67"/>
  <c r="M23" i="67"/>
  <c r="M22" i="15"/>
  <c r="F43" i="67"/>
  <c r="M8" i="15"/>
  <c r="M22" i="67"/>
  <c r="M21" i="67"/>
  <c r="F35" i="67"/>
  <c r="G1" i="73"/>
  <c r="AB44" i="34" l="1"/>
  <c r="U44" i="34"/>
  <c r="W44" i="34"/>
  <c r="W37" i="34"/>
  <c r="S46" i="34"/>
  <c r="AA46" i="34"/>
  <c r="AB37" i="34"/>
  <c r="F27" i="6"/>
  <c r="E51" i="40"/>
  <c r="E56" i="39"/>
  <c r="E10" i="6"/>
  <c r="F7" i="36"/>
  <c r="D12" i="52"/>
  <c r="AZ74" i="3"/>
  <c r="AZ36" i="3"/>
  <c r="AZ237" i="3"/>
  <c r="AZ224" i="3"/>
  <c r="AB32" i="40"/>
  <c r="U32" i="40"/>
  <c r="U13" i="35"/>
  <c r="AB13" i="35"/>
  <c r="AB29" i="34"/>
  <c r="U29" i="34"/>
  <c r="S30" i="33"/>
  <c r="AA30" i="33"/>
  <c r="F48" i="90"/>
  <c r="C48" i="90"/>
  <c r="C30" i="90"/>
  <c r="F48" i="87"/>
  <c r="C30" i="87"/>
  <c r="C48" i="87"/>
  <c r="AZ86" i="3"/>
  <c r="AZ60" i="3"/>
  <c r="AZ33" i="3"/>
  <c r="AZ213" i="3"/>
  <c r="AZ405" i="3"/>
  <c r="C63" i="71"/>
  <c r="D64" i="71"/>
  <c r="O64" i="71"/>
  <c r="U13" i="40"/>
  <c r="AB13" i="40"/>
  <c r="W33" i="40"/>
  <c r="AC33" i="40"/>
  <c r="S9" i="37"/>
  <c r="AA9" i="37"/>
  <c r="AC13" i="35"/>
  <c r="W13" i="35"/>
  <c r="S29" i="34"/>
  <c r="AA29" i="34"/>
  <c r="W30" i="33"/>
  <c r="AC30" i="33"/>
  <c r="AA28" i="34"/>
  <c r="S28" i="34"/>
  <c r="C48" i="84"/>
  <c r="C30" i="84"/>
  <c r="F48" i="84"/>
  <c r="F48" i="88"/>
  <c r="C30" i="88"/>
  <c r="C48" i="88"/>
  <c r="AB27" i="21"/>
  <c r="U27" i="21"/>
  <c r="AB9" i="37"/>
  <c r="U9" i="37"/>
  <c r="AC26" i="35"/>
  <c r="W26" i="35"/>
  <c r="U45" i="34"/>
  <c r="AB45" i="34"/>
  <c r="AA46" i="33"/>
  <c r="S46" i="33"/>
  <c r="S12" i="33"/>
  <c r="AA12" i="33"/>
  <c r="C9" i="86"/>
  <c r="D19" i="86"/>
  <c r="D37" i="86" s="1"/>
  <c r="C37" i="86" s="1"/>
  <c r="AC38" i="40"/>
  <c r="W38" i="40"/>
  <c r="W28" i="34"/>
  <c r="AC28" i="34"/>
  <c r="F48" i="86"/>
  <c r="C48" i="86"/>
  <c r="C30" i="86"/>
  <c r="F31" i="6"/>
  <c r="AZ230" i="3"/>
  <c r="C83" i="71"/>
  <c r="D83" i="71" s="1"/>
  <c r="D84" i="71"/>
  <c r="AZ277" i="3"/>
  <c r="W27" i="21"/>
  <c r="AC27" i="21"/>
  <c r="W45" i="34"/>
  <c r="AC45" i="34"/>
  <c r="AC46" i="33"/>
  <c r="W46" i="33"/>
  <c r="AC12" i="33"/>
  <c r="W12" i="33"/>
  <c r="AB26" i="35"/>
  <c r="U26" i="35"/>
  <c r="D19" i="87"/>
  <c r="D37" i="87" s="1"/>
  <c r="C37" i="87" s="1"/>
  <c r="C9" i="87"/>
  <c r="S38" i="40"/>
  <c r="AA38" i="40"/>
  <c r="F48" i="89"/>
  <c r="C30" i="89"/>
  <c r="C48" i="89"/>
  <c r="G17" i="43"/>
  <c r="C16" i="43" s="1"/>
  <c r="C5" i="43" s="1"/>
  <c r="Q17" i="1"/>
  <c r="Q16" i="1"/>
  <c r="AZ13" i="3"/>
  <c r="C9" i="84"/>
  <c r="D19" i="84"/>
  <c r="D37" i="84" s="1"/>
  <c r="C37" i="84" s="1"/>
  <c r="C9" i="68"/>
  <c r="G30" i="6"/>
  <c r="G31" i="6" s="1"/>
  <c r="E29" i="6"/>
  <c r="AZ496" i="3"/>
  <c r="AZ569" i="3"/>
  <c r="AZ577" i="3"/>
  <c r="C33" i="71"/>
  <c r="D32" i="71"/>
  <c r="AZ104" i="3"/>
  <c r="AZ45" i="3"/>
  <c r="AZ158" i="3"/>
  <c r="AZ368" i="3"/>
  <c r="AZ483" i="3"/>
  <c r="AZ215" i="3"/>
  <c r="AZ439" i="3"/>
  <c r="AA23" i="35"/>
  <c r="S23" i="35"/>
  <c r="AB9" i="33"/>
  <c r="U9" i="33"/>
  <c r="AZ103" i="3"/>
  <c r="AZ250" i="3"/>
  <c r="AZ238" i="3"/>
  <c r="AZ232" i="3"/>
  <c r="AZ523" i="3"/>
  <c r="S23" i="36"/>
  <c r="AA23" i="36"/>
  <c r="AC44" i="39"/>
  <c r="W44" i="39"/>
  <c r="AC23" i="35"/>
  <c r="W23" i="35"/>
  <c r="AZ560" i="3"/>
  <c r="AA24" i="36"/>
  <c r="S24" i="36"/>
  <c r="AC12" i="21"/>
  <c r="W12" i="21"/>
  <c r="AB13" i="39"/>
  <c r="U13" i="39"/>
  <c r="AC9" i="33"/>
  <c r="W9" i="33"/>
  <c r="J7" i="36"/>
  <c r="AZ67" i="3"/>
  <c r="AZ229" i="3"/>
  <c r="AZ434" i="3"/>
  <c r="AZ398" i="3"/>
  <c r="AB23" i="36"/>
  <c r="U23" i="36"/>
  <c r="AB44" i="39"/>
  <c r="U44" i="39"/>
  <c r="S34" i="36"/>
  <c r="AA34" i="36"/>
  <c r="W12" i="35"/>
  <c r="AC12" i="35"/>
  <c r="AC24" i="36"/>
  <c r="W24" i="36"/>
  <c r="AB12" i="21"/>
  <c r="U12" i="21"/>
  <c r="AC40" i="40"/>
  <c r="W40" i="40"/>
  <c r="AA9" i="33"/>
  <c r="S9" i="33"/>
  <c r="BA5" i="3"/>
  <c r="E27" i="6" s="1"/>
  <c r="K24" i="6" s="1"/>
  <c r="M24" i="6" s="1"/>
  <c r="I24" i="6" s="1"/>
  <c r="S24" i="6" s="1"/>
  <c r="M7" i="1"/>
  <c r="AZ78" i="3"/>
  <c r="D72" i="71"/>
  <c r="C71" i="71"/>
  <c r="D71" i="71" s="1"/>
  <c r="D60" i="71"/>
  <c r="C61" i="71"/>
  <c r="AZ26" i="3"/>
  <c r="AZ75" i="3"/>
  <c r="AZ256" i="3"/>
  <c r="AZ169" i="3"/>
  <c r="AZ283" i="3"/>
  <c r="AZ275" i="3"/>
  <c r="AZ353" i="3"/>
  <c r="AZ226" i="3"/>
  <c r="S12" i="35"/>
  <c r="AA12" i="35"/>
  <c r="AB34" i="36"/>
  <c r="U34" i="36"/>
  <c r="W13" i="39"/>
  <c r="AC13" i="39"/>
  <c r="AA40" i="40"/>
  <c r="S40" i="40"/>
  <c r="F11" i="82"/>
  <c r="M11" i="82"/>
  <c r="F11" i="81"/>
  <c r="M11" i="81"/>
  <c r="F11" i="80"/>
  <c r="M11" i="80"/>
  <c r="F48" i="69"/>
  <c r="C30" i="69"/>
  <c r="C48" i="69"/>
  <c r="C48" i="11"/>
  <c r="C30" i="11"/>
  <c r="B115" i="43"/>
  <c r="C115" i="43" s="1"/>
  <c r="D115" i="43"/>
  <c r="E115" i="43" s="1"/>
  <c r="F115" i="43" s="1"/>
  <c r="G115" i="43" s="1"/>
  <c r="H115" i="43" s="1"/>
  <c r="D118" i="43"/>
  <c r="E118" i="43" s="1"/>
  <c r="F118" i="43" s="1"/>
  <c r="D109" i="43"/>
  <c r="I115" i="43"/>
  <c r="J115" i="43" s="1"/>
  <c r="K115" i="43" s="1"/>
  <c r="L115" i="43" s="1"/>
  <c r="M115" i="43" s="1"/>
  <c r="C6" i="15"/>
  <c r="C32" i="15" s="1"/>
  <c r="F71" i="15"/>
  <c r="J53" i="15"/>
  <c r="L56" i="15" s="1"/>
  <c r="J57" i="15"/>
  <c r="J55" i="15" s="1"/>
  <c r="J58" i="15" s="1"/>
  <c r="Q50" i="15" s="1"/>
  <c r="I54" i="15"/>
  <c r="F65" i="15"/>
  <c r="F66" i="15"/>
  <c r="Q71" i="15"/>
  <c r="M7" i="15"/>
  <c r="J6" i="15" s="1"/>
  <c r="J18" i="15" s="1"/>
  <c r="F50" i="15"/>
  <c r="C27" i="15"/>
  <c r="F64" i="15"/>
  <c r="N59" i="15"/>
  <c r="L59" i="15"/>
  <c r="Q74" i="15" s="1"/>
  <c r="L58" i="15"/>
  <c r="Q60" i="15" s="1"/>
  <c r="M59" i="15"/>
  <c r="F68" i="15"/>
  <c r="F51" i="15"/>
  <c r="P7" i="1"/>
  <c r="AD13" i="43"/>
  <c r="F70" i="67"/>
  <c r="M59" i="67"/>
  <c r="L59" i="67"/>
  <c r="Q74" i="67" s="1"/>
  <c r="L58" i="67"/>
  <c r="Q60" i="67" s="1"/>
  <c r="N59" i="67"/>
  <c r="F64" i="67"/>
  <c r="F71" i="67"/>
  <c r="F66" i="67"/>
  <c r="F68" i="67"/>
  <c r="Q71" i="67"/>
  <c r="L56" i="67"/>
  <c r="I54" i="67"/>
  <c r="J53" i="67"/>
  <c r="F1" i="67" s="1"/>
  <c r="J57" i="67"/>
  <c r="J55" i="67" s="1"/>
  <c r="J58" i="67" s="1"/>
  <c r="Q50" i="67" s="1"/>
  <c r="F63" i="67"/>
  <c r="C62" i="67" s="1"/>
  <c r="C34" i="67"/>
  <c r="F51" i="67"/>
  <c r="F69" i="67"/>
  <c r="J20" i="67"/>
  <c r="C6" i="67"/>
  <c r="C32" i="67" s="1"/>
  <c r="F50" i="67"/>
  <c r="M7" i="67"/>
  <c r="J6" i="67" s="1"/>
  <c r="J18" i="67" s="1"/>
  <c r="C27" i="67"/>
  <c r="F65" i="67"/>
  <c r="E11" i="6"/>
  <c r="E56" i="40" s="1"/>
  <c r="E13" i="6"/>
  <c r="E62" i="39" s="1"/>
  <c r="J104" i="43"/>
  <c r="L106" i="43"/>
  <c r="G103" i="43"/>
  <c r="L104" i="43"/>
  <c r="I107" i="43"/>
  <c r="I106" i="43"/>
  <c r="E12" i="6"/>
  <c r="E57" i="40" s="1"/>
  <c r="B116" i="43"/>
  <c r="C116" i="43" s="1"/>
  <c r="I117" i="43"/>
  <c r="J117" i="43" s="1"/>
  <c r="K117" i="43" s="1"/>
  <c r="L117" i="43" s="1"/>
  <c r="M117" i="43" s="1"/>
  <c r="I116" i="43"/>
  <c r="J116" i="43" s="1"/>
  <c r="K116" i="43" s="1"/>
  <c r="L116" i="43" s="1"/>
  <c r="M116" i="43" s="1"/>
  <c r="I104" i="43"/>
  <c r="I109" i="43"/>
  <c r="B117" i="43"/>
  <c r="C117" i="43" s="1"/>
  <c r="G118" i="43"/>
  <c r="H118" i="43" s="1"/>
  <c r="B118" i="43"/>
  <c r="C118" i="43" s="1"/>
  <c r="E15" i="6"/>
  <c r="E60" i="40" s="1"/>
  <c r="I103" i="43"/>
  <c r="I105" i="43"/>
  <c r="E14" i="6"/>
  <c r="E63" i="39" s="1"/>
  <c r="D116" i="43"/>
  <c r="E116" i="43" s="1"/>
  <c r="F116" i="43" s="1"/>
  <c r="G116" i="43" s="1"/>
  <c r="H116" i="43" s="1"/>
  <c r="I118" i="43"/>
  <c r="J118" i="43" s="1"/>
  <c r="K118" i="43" s="1"/>
  <c r="L118" i="43" s="1"/>
  <c r="M118" i="43" s="1"/>
  <c r="M106" i="43"/>
  <c r="M107" i="43"/>
  <c r="F107" i="43"/>
  <c r="L103" i="43"/>
  <c r="M104" i="43"/>
  <c r="L105" i="43"/>
  <c r="M102" i="43"/>
  <c r="G104" i="43"/>
  <c r="G107" i="43"/>
  <c r="F104" i="43"/>
  <c r="F102" i="43"/>
  <c r="F109" i="43"/>
  <c r="H103" i="43"/>
  <c r="H104" i="43"/>
  <c r="H109" i="43"/>
  <c r="H107" i="43"/>
  <c r="H102" i="43"/>
  <c r="H105" i="43"/>
  <c r="H106" i="43"/>
  <c r="G106" i="43"/>
  <c r="M105" i="43"/>
  <c r="G102" i="43"/>
  <c r="D22" i="43"/>
  <c r="L109" i="43"/>
  <c r="G109" i="43"/>
  <c r="L107" i="43"/>
  <c r="F103" i="43"/>
  <c r="F105" i="43"/>
  <c r="M103" i="43"/>
  <c r="D104" i="43"/>
  <c r="D107" i="43"/>
  <c r="D103" i="43"/>
  <c r="D102" i="43"/>
  <c r="D105" i="43"/>
  <c r="D106" i="43"/>
  <c r="E106" i="43"/>
  <c r="E102" i="43"/>
  <c r="E105" i="43"/>
  <c r="E107" i="43"/>
  <c r="E103" i="43"/>
  <c r="E109" i="43"/>
  <c r="E104" i="43"/>
  <c r="K103" i="43"/>
  <c r="K107" i="43"/>
  <c r="K106" i="43"/>
  <c r="K102" i="43"/>
  <c r="K105" i="43"/>
  <c r="K104" i="43"/>
  <c r="K109" i="43"/>
  <c r="C104" i="43"/>
  <c r="C106" i="43"/>
  <c r="C109" i="43"/>
  <c r="C107" i="43"/>
  <c r="C105" i="43"/>
  <c r="C102" i="43"/>
  <c r="C103" i="43"/>
  <c r="J107" i="43"/>
  <c r="J102" i="43"/>
  <c r="J106" i="43"/>
  <c r="J103" i="43"/>
  <c r="J105" i="43"/>
  <c r="N102" i="43"/>
  <c r="N104" i="43"/>
  <c r="N103" i="43"/>
  <c r="N107" i="43"/>
  <c r="N109" i="43"/>
  <c r="N106" i="43"/>
  <c r="N105" i="43"/>
  <c r="I14" i="74"/>
  <c r="B8" i="74" s="1"/>
  <c r="D125" i="9"/>
  <c r="D11" i="52" s="1"/>
  <c r="H14" i="74"/>
  <c r="B7" i="74" s="1"/>
  <c r="E63" i="71"/>
  <c r="P64" i="71"/>
  <c r="V21" i="71"/>
  <c r="E20" i="71"/>
  <c r="E19" i="71" s="1"/>
  <c r="E18" i="71" s="1"/>
  <c r="E17" i="71" s="1"/>
  <c r="C67" i="71"/>
  <c r="D67" i="71" s="1"/>
  <c r="D68" i="71"/>
  <c r="U45" i="39"/>
  <c r="AB45" i="39"/>
  <c r="U27" i="37"/>
  <c r="AB27" i="37"/>
  <c r="AB14" i="40"/>
  <c r="U14" i="40"/>
  <c r="AC26" i="37"/>
  <c r="W26" i="37"/>
  <c r="AC30" i="21"/>
  <c r="W30" i="21"/>
  <c r="S12" i="21"/>
  <c r="AA12" i="21"/>
  <c r="W12" i="34"/>
  <c r="AC12" i="34"/>
  <c r="S39" i="37"/>
  <c r="AA39" i="37"/>
  <c r="AC27" i="34"/>
  <c r="W27" i="34"/>
  <c r="M13" i="1"/>
  <c r="H16" i="1"/>
  <c r="C34" i="69"/>
  <c r="C41" i="71"/>
  <c r="D40" i="71"/>
  <c r="C53" i="71"/>
  <c r="D52" i="71"/>
  <c r="BL5" i="3"/>
  <c r="S38" i="37"/>
  <c r="AA38" i="37"/>
  <c r="W36" i="35"/>
  <c r="AC36" i="35"/>
  <c r="AC35" i="39"/>
  <c r="W35" i="39"/>
  <c r="AA37" i="39"/>
  <c r="S37" i="39"/>
  <c r="AB9" i="34"/>
  <c r="U9" i="34"/>
  <c r="U30" i="21"/>
  <c r="AB30" i="21"/>
  <c r="AC34" i="35"/>
  <c r="W34" i="35"/>
  <c r="AC39" i="37"/>
  <c r="W39" i="37"/>
  <c r="AA27" i="34"/>
  <c r="S27" i="34"/>
  <c r="W39" i="40"/>
  <c r="AC39" i="40"/>
  <c r="E30" i="6"/>
  <c r="K15" i="1"/>
  <c r="K16" i="1" s="1"/>
  <c r="G5" i="3"/>
  <c r="B3" i="3" s="1"/>
  <c r="E465" i="3" s="1"/>
  <c r="C49" i="71"/>
  <c r="D48" i="71"/>
  <c r="T25" i="71"/>
  <c r="C24" i="71"/>
  <c r="D25" i="71"/>
  <c r="U25" i="71" s="1"/>
  <c r="J7" i="34"/>
  <c r="AC7" i="34" s="1"/>
  <c r="V49" i="34" s="1"/>
  <c r="I49" i="34" s="1"/>
  <c r="G16" i="1"/>
  <c r="C36" i="71"/>
  <c r="D35" i="71"/>
  <c r="C29" i="71"/>
  <c r="D28" i="71"/>
  <c r="AZ35" i="3"/>
  <c r="AZ23" i="3"/>
  <c r="AB38" i="37"/>
  <c r="U38" i="37"/>
  <c r="AB36" i="35"/>
  <c r="U36" i="35"/>
  <c r="AB35" i="39"/>
  <c r="U35" i="39"/>
  <c r="W37" i="39"/>
  <c r="AC37" i="39"/>
  <c r="W36" i="39"/>
  <c r="AC36" i="39"/>
  <c r="U35" i="35"/>
  <c r="AB35" i="35"/>
  <c r="U14" i="21"/>
  <c r="AB14" i="21"/>
  <c r="AA34" i="35"/>
  <c r="S34" i="35"/>
  <c r="AA12" i="34"/>
  <c r="S12" i="34"/>
  <c r="AB28" i="37"/>
  <c r="U28" i="37"/>
  <c r="AA26" i="33"/>
  <c r="S26" i="33"/>
  <c r="U39" i="40"/>
  <c r="AB39" i="40"/>
  <c r="AZ15" i="3"/>
  <c r="H7" i="36"/>
  <c r="AB7" i="36" s="1"/>
  <c r="T36" i="36" s="1"/>
  <c r="G36" i="36" s="1"/>
  <c r="F7" i="34"/>
  <c r="S7" i="34" s="1"/>
  <c r="C7" i="43"/>
  <c r="E24" i="71"/>
  <c r="E23" i="71" s="1"/>
  <c r="V25" i="71"/>
  <c r="C57" i="71"/>
  <c r="D56" i="71"/>
  <c r="Q63" i="71"/>
  <c r="Q62" i="71"/>
  <c r="B20" i="71"/>
  <c r="B19" i="71" s="1"/>
  <c r="B18" i="71" s="1"/>
  <c r="B17" i="71" s="1"/>
  <c r="S21" i="71"/>
  <c r="AC45" i="39"/>
  <c r="W45" i="39"/>
  <c r="AC27" i="37"/>
  <c r="W27" i="37"/>
  <c r="AA14" i="40"/>
  <c r="S14" i="40"/>
  <c r="AA26" i="37"/>
  <c r="S26" i="37"/>
  <c r="S36" i="39"/>
  <c r="AA36" i="39"/>
  <c r="AC35" i="35"/>
  <c r="W35" i="35"/>
  <c r="W14" i="21"/>
  <c r="AC14" i="21"/>
  <c r="U34" i="35"/>
  <c r="AB34" i="35"/>
  <c r="AB12" i="34"/>
  <c r="U12" i="34"/>
  <c r="AC28" i="37"/>
  <c r="W28" i="37"/>
  <c r="AC26" i="33"/>
  <c r="W26" i="33"/>
  <c r="D18" i="71"/>
  <c r="C17"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2" i="90" s="1"/>
  <c r="H7" i="33"/>
  <c r="J7" i="33"/>
  <c r="D65" i="40"/>
  <c r="E63" i="40"/>
  <c r="F48" i="35"/>
  <c r="S7" i="36"/>
  <c r="AA7" i="36"/>
  <c r="R36" i="36" s="1"/>
  <c r="AC7" i="37"/>
  <c r="V42" i="37" s="1"/>
  <c r="I42" i="37" s="1"/>
  <c r="W7" i="37"/>
  <c r="AB7" i="34"/>
  <c r="U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C36" i="68"/>
  <c r="F36" i="82"/>
  <c r="L48" i="82"/>
  <c r="F9" i="80"/>
  <c r="F16" i="81"/>
  <c r="F26" i="80"/>
  <c r="F9" i="81"/>
  <c r="M8" i="82"/>
  <c r="M26" i="82"/>
  <c r="M27" i="81"/>
  <c r="L48" i="81"/>
  <c r="M9" i="82"/>
  <c r="M8" i="80"/>
  <c r="F13" i="80"/>
  <c r="C17" i="67"/>
  <c r="F26" i="81"/>
  <c r="D9" i="89"/>
  <c r="M29" i="81"/>
  <c r="D9" i="88"/>
  <c r="C76" i="82"/>
  <c r="F16" i="82"/>
  <c r="M6" i="82"/>
  <c r="M24" i="82"/>
  <c r="M6" i="80"/>
  <c r="L47" i="80"/>
  <c r="F40" i="80"/>
  <c r="M24" i="81"/>
  <c r="M22" i="81"/>
  <c r="L47" i="82"/>
  <c r="M27" i="80"/>
  <c r="F40" i="82"/>
  <c r="F36" i="81"/>
  <c r="C76" i="80"/>
  <c r="F40" i="81"/>
  <c r="F6" i="81"/>
  <c r="C36" i="89"/>
  <c r="F6" i="82"/>
  <c r="F13" i="82"/>
  <c r="C16" i="15"/>
  <c r="F8" i="81"/>
  <c r="F7" i="82"/>
  <c r="M22" i="82"/>
  <c r="M29" i="82"/>
  <c r="F7" i="81"/>
  <c r="M28" i="82"/>
  <c r="F27" i="88"/>
  <c r="F6" i="80"/>
  <c r="M26" i="81"/>
  <c r="F42" i="82"/>
  <c r="C14" i="67"/>
  <c r="M28" i="81"/>
  <c r="F38" i="82"/>
  <c r="M29" i="80"/>
  <c r="F27" i="89"/>
  <c r="M23" i="82"/>
  <c r="F43" i="81"/>
  <c r="M28" i="80"/>
  <c r="M8" i="81"/>
  <c r="M9" i="80"/>
  <c r="C16" i="67"/>
  <c r="D9" i="90"/>
  <c r="L48" i="80"/>
  <c r="F37" i="82"/>
  <c r="F42" i="81"/>
  <c r="F43" i="80"/>
  <c r="M22" i="80"/>
  <c r="F38" i="81"/>
  <c r="F8" i="82"/>
  <c r="M26" i="80"/>
  <c r="F37" i="81"/>
  <c r="C36" i="90"/>
  <c r="M27" i="82"/>
  <c r="F8" i="80"/>
  <c r="J15" i="81"/>
  <c r="F27" i="84"/>
  <c r="F16" i="80"/>
  <c r="F38" i="80"/>
  <c r="F26" i="82"/>
  <c r="M6" i="81"/>
  <c r="F42" i="80"/>
  <c r="J15" i="80"/>
  <c r="M24" i="80"/>
  <c r="F37" i="80"/>
  <c r="C36" i="88"/>
  <c r="C76" i="81"/>
  <c r="F27" i="90"/>
  <c r="M23" i="80"/>
  <c r="F43" i="82"/>
  <c r="F9" i="82"/>
  <c r="F36" i="80"/>
  <c r="F7" i="80"/>
  <c r="M23" i="81"/>
  <c r="F13" i="81"/>
  <c r="L47" i="81"/>
  <c r="M9" i="81"/>
  <c r="J15" i="82"/>
  <c r="T49" i="34" l="1"/>
  <c r="G49" i="34" s="1"/>
  <c r="E31" i="6"/>
  <c r="K19" i="6"/>
  <c r="S6" i="1" s="1"/>
  <c r="W7" i="34"/>
  <c r="C29" i="89"/>
  <c r="D27" i="89" s="1"/>
  <c r="F45" i="89"/>
  <c r="C47" i="89"/>
  <c r="D45" i="89" s="1"/>
  <c r="F45" i="90"/>
  <c r="C29" i="90"/>
  <c r="D27" i="90" s="1"/>
  <c r="C47" i="90"/>
  <c r="D45" i="90" s="1"/>
  <c r="C9" i="88"/>
  <c r="C9" i="90"/>
  <c r="C9" i="89"/>
  <c r="C47" i="88"/>
  <c r="D45" i="88" s="1"/>
  <c r="C29" i="88"/>
  <c r="D27" i="88" s="1"/>
  <c r="F45" i="88"/>
  <c r="O63" i="71"/>
  <c r="O62" i="71"/>
  <c r="D63" i="71"/>
  <c r="K22" i="6"/>
  <c r="F27" i="86"/>
  <c r="F27" i="87"/>
  <c r="F45" i="84"/>
  <c r="F45" i="86"/>
  <c r="F45" i="87"/>
  <c r="C34" i="87"/>
  <c r="C34" i="86"/>
  <c r="F41" i="90"/>
  <c r="C24" i="90"/>
  <c r="C26" i="90"/>
  <c r="D22" i="90" s="1"/>
  <c r="C44" i="90"/>
  <c r="D41" i="90" s="1"/>
  <c r="F22" i="88"/>
  <c r="F41" i="88" s="1"/>
  <c r="F22" i="89"/>
  <c r="F22" i="86"/>
  <c r="F41" i="86" s="1"/>
  <c r="F22" i="87"/>
  <c r="O7" i="1"/>
  <c r="C34" i="84"/>
  <c r="C29" i="84"/>
  <c r="D27" i="84" s="1"/>
  <c r="C47" i="84"/>
  <c r="D45" i="84" s="1"/>
  <c r="AZ5" i="3"/>
  <c r="AY6" i="3" s="1"/>
  <c r="E58" i="40"/>
  <c r="F24" i="82"/>
  <c r="C24" i="82" s="1"/>
  <c r="F22" i="84"/>
  <c r="AA7" i="34"/>
  <c r="R49" i="34" s="1"/>
  <c r="F50" i="80"/>
  <c r="M7" i="80"/>
  <c r="J6" i="80" s="1"/>
  <c r="J18" i="80" s="1"/>
  <c r="L59" i="80"/>
  <c r="N59" i="80"/>
  <c r="L58" i="80"/>
  <c r="M59" i="80"/>
  <c r="F65" i="81"/>
  <c r="F66" i="82"/>
  <c r="F71" i="80"/>
  <c r="F66" i="80"/>
  <c r="F51" i="80"/>
  <c r="Q71" i="80"/>
  <c r="C6" i="80"/>
  <c r="C10" i="80" s="1"/>
  <c r="C5" i="80" s="1"/>
  <c r="F68" i="81"/>
  <c r="F64" i="81"/>
  <c r="F51" i="82"/>
  <c r="F71" i="82"/>
  <c r="N59" i="82"/>
  <c r="L58" i="82"/>
  <c r="L59" i="82"/>
  <c r="M59" i="82"/>
  <c r="F66" i="81"/>
  <c r="N59" i="81"/>
  <c r="L58" i="81"/>
  <c r="L59" i="81"/>
  <c r="M59" i="81"/>
  <c r="Q71" i="81"/>
  <c r="C6" i="82"/>
  <c r="C10" i="82" s="1"/>
  <c r="C5" i="82" s="1"/>
  <c r="C27" i="82"/>
  <c r="F68" i="80"/>
  <c r="C27" i="80"/>
  <c r="F71" i="81"/>
  <c r="M7" i="81"/>
  <c r="J6" i="81" s="1"/>
  <c r="J18" i="81" s="1"/>
  <c r="F50" i="81"/>
  <c r="C27" i="81"/>
  <c r="L56" i="82"/>
  <c r="L60" i="82"/>
  <c r="L57" i="82"/>
  <c r="I54" i="82"/>
  <c r="J53" i="82"/>
  <c r="J57" i="82"/>
  <c r="J55" i="82" s="1"/>
  <c r="J58" i="82" s="1"/>
  <c r="Q50" i="82" s="1"/>
  <c r="F65" i="82"/>
  <c r="F50" i="82"/>
  <c r="M7" i="82"/>
  <c r="J6" i="82" s="1"/>
  <c r="J18" i="82" s="1"/>
  <c r="Q71" i="82"/>
  <c r="F64" i="80"/>
  <c r="L57" i="80"/>
  <c r="L56" i="80"/>
  <c r="L60" i="80"/>
  <c r="J53" i="80"/>
  <c r="J57" i="80"/>
  <c r="J55" i="80" s="1"/>
  <c r="J58" i="80" s="1"/>
  <c r="Q50" i="80" s="1"/>
  <c r="I54" i="80"/>
  <c r="F65" i="80"/>
  <c r="L56" i="81"/>
  <c r="L60" i="81"/>
  <c r="L57" i="81"/>
  <c r="J57" i="81"/>
  <c r="J55" i="81" s="1"/>
  <c r="J58" i="81" s="1"/>
  <c r="Q50" i="81" s="1"/>
  <c r="I54" i="81"/>
  <c r="J53" i="81"/>
  <c r="F51" i="81"/>
  <c r="C6" i="81"/>
  <c r="F64" i="82"/>
  <c r="F68" i="82"/>
  <c r="T61" i="71"/>
  <c r="D61" i="71"/>
  <c r="U7" i="37"/>
  <c r="K25" i="6"/>
  <c r="M25" i="6" s="1"/>
  <c r="I25" i="6" s="1"/>
  <c r="S25" i="6" s="1"/>
  <c r="K21" i="6"/>
  <c r="M21" i="6" s="1"/>
  <c r="I21" i="6" s="1"/>
  <c r="E60" i="39"/>
  <c r="D33" i="71"/>
  <c r="T33" i="71"/>
  <c r="K23" i="6"/>
  <c r="M23" i="6" s="1"/>
  <c r="I23" i="6" s="1"/>
  <c r="S23" i="6" s="1"/>
  <c r="K20" i="6"/>
  <c r="M20" i="6" s="1"/>
  <c r="I20" i="6" s="1"/>
  <c r="L18" i="91" s="1"/>
  <c r="K26" i="6"/>
  <c r="M26" i="6" s="1"/>
  <c r="I26" i="6" s="1"/>
  <c r="S26" i="6" s="1"/>
  <c r="C49" i="67"/>
  <c r="D113" i="43"/>
  <c r="J22" i="43" s="1"/>
  <c r="C15" i="67"/>
  <c r="C18" i="67"/>
  <c r="C53" i="82"/>
  <c r="F24" i="80"/>
  <c r="F24" i="81"/>
  <c r="C53" i="81"/>
  <c r="C10" i="81"/>
  <c r="C53" i="80"/>
  <c r="J10" i="15"/>
  <c r="J5" i="15" s="1"/>
  <c r="J24" i="15" s="1"/>
  <c r="Q52" i="67"/>
  <c r="C49" i="15"/>
  <c r="M22" i="6"/>
  <c r="I22" i="6" s="1"/>
  <c r="S9" i="1"/>
  <c r="J5" i="67"/>
  <c r="J26" i="67" s="1"/>
  <c r="J29" i="67" s="1"/>
  <c r="Q61" i="15"/>
  <c r="Q73" i="15"/>
  <c r="Q52" i="15"/>
  <c r="F1" i="15"/>
  <c r="Q61" i="67"/>
  <c r="Q73" i="67"/>
  <c r="AQ6" i="1"/>
  <c r="AR6" i="1"/>
  <c r="T6" i="1"/>
  <c r="E16" i="6"/>
  <c r="E64" i="39"/>
  <c r="E61" i="39"/>
  <c r="E59" i="40"/>
  <c r="E92" i="3"/>
  <c r="E251" i="3"/>
  <c r="E186" i="3"/>
  <c r="E78" i="3"/>
  <c r="E106" i="3"/>
  <c r="E526" i="3"/>
  <c r="E483" i="3"/>
  <c r="E85" i="3"/>
  <c r="E148" i="3"/>
  <c r="E180" i="3"/>
  <c r="E241" i="3"/>
  <c r="E166" i="3"/>
  <c r="E436" i="3"/>
  <c r="E246" i="3"/>
  <c r="E44" i="3"/>
  <c r="E398" i="3"/>
  <c r="E62" i="3"/>
  <c r="E47" i="3"/>
  <c r="E578" i="3"/>
  <c r="E3" i="6"/>
  <c r="D24" i="71"/>
  <c r="C23" i="71"/>
  <c r="D23" i="71" s="1"/>
  <c r="E125" i="3"/>
  <c r="E217" i="3"/>
  <c r="E366" i="3"/>
  <c r="E553" i="3"/>
  <c r="E268" i="3"/>
  <c r="E282" i="3"/>
  <c r="E322" i="3"/>
  <c r="N6" i="3"/>
  <c r="AJ6" i="3"/>
  <c r="E347" i="3"/>
  <c r="E583" i="3"/>
  <c r="AA6" i="3"/>
  <c r="X6" i="3"/>
  <c r="E399" i="3"/>
  <c r="E336" i="3"/>
  <c r="E280"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288" i="3"/>
  <c r="E344" i="3"/>
  <c r="E587" i="3"/>
  <c r="W6" i="3"/>
  <c r="AE6" i="3"/>
  <c r="E571" i="3"/>
  <c r="E577" i="3"/>
  <c r="E537" i="3"/>
  <c r="E429" i="3"/>
  <c r="E450" i="3"/>
  <c r="E468" i="3"/>
  <c r="E471" i="3"/>
  <c r="E496" i="3"/>
  <c r="E433" i="3"/>
  <c r="E454" i="3"/>
  <c r="E475" i="3"/>
  <c r="E72" i="3"/>
  <c r="E54" i="3"/>
  <c r="E111" i="3"/>
  <c r="E146" i="3"/>
  <c r="E168"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340" i="3"/>
  <c r="E364" i="3"/>
  <c r="E20" i="3"/>
  <c r="E176" i="3"/>
  <c r="E218" i="3"/>
  <c r="E265" i="3"/>
  <c r="E365" i="3"/>
  <c r="E524" i="3"/>
  <c r="E101" i="3"/>
  <c r="E53" i="3"/>
  <c r="E175" i="3"/>
  <c r="E319" i="3"/>
  <c r="E530" i="3"/>
  <c r="E501" i="3"/>
  <c r="E343" i="3"/>
  <c r="E153" i="3"/>
  <c r="E305" i="3"/>
  <c r="E426" i="3"/>
  <c r="E508" i="3"/>
  <c r="E328" i="3"/>
  <c r="E237" i="3"/>
  <c r="E261" i="3"/>
  <c r="E304" i="3"/>
  <c r="E528" i="3"/>
  <c r="E565" i="3"/>
  <c r="E183" i="3"/>
  <c r="E213" i="3"/>
  <c r="E361" i="3"/>
  <c r="E17" i="3"/>
  <c r="E503" i="3"/>
  <c r="E302" i="3"/>
  <c r="E415" i="3"/>
  <c r="E260" i="3"/>
  <c r="E239" i="3"/>
  <c r="E539" i="3"/>
  <c r="E555" i="3"/>
  <c r="E569" i="3"/>
  <c r="E461" i="3"/>
  <c r="E337" i="3"/>
  <c r="E229" i="3"/>
  <c r="E165" i="3"/>
  <c r="E311" i="3"/>
  <c r="E385" i="3"/>
  <c r="E511" i="3"/>
  <c r="E570" i="3"/>
  <c r="AI6" i="3"/>
  <c r="AK6" i="3"/>
  <c r="AB6" i="3"/>
  <c r="E423" i="3"/>
  <c r="E306" i="3"/>
  <c r="E335" i="3"/>
  <c r="E263" i="3"/>
  <c r="E262" i="3"/>
  <c r="E189" i="3"/>
  <c r="E191" i="3"/>
  <c r="E236" i="3"/>
  <c r="E91" i="3"/>
  <c r="E181" i="3"/>
  <c r="E89" i="3"/>
  <c r="E140" i="3"/>
  <c r="E77" i="3"/>
  <c r="E277" i="3"/>
  <c r="E197" i="3"/>
  <c r="E199" i="3"/>
  <c r="E133" i="3"/>
  <c r="E327" i="3"/>
  <c r="E393" i="3"/>
  <c r="AD6" i="3"/>
  <c r="Z6" i="3"/>
  <c r="E564" i="3"/>
  <c r="E552" i="3"/>
  <c r="AO6" i="3"/>
  <c r="E427" i="3"/>
  <c r="E464" i="3"/>
  <c r="E485" i="3"/>
  <c r="E507" i="3"/>
  <c r="E400" i="3"/>
  <c r="E440" i="3"/>
  <c r="E459" i="3"/>
  <c r="E345" i="3"/>
  <c r="E376" i="3"/>
  <c r="E566" i="3"/>
  <c r="E557" i="3"/>
  <c r="J6" i="3"/>
  <c r="E582" i="3"/>
  <c r="E531" i="3"/>
  <c r="E419" i="3"/>
  <c r="E460" i="3"/>
  <c r="E489" i="3"/>
  <c r="E401" i="3"/>
  <c r="E28" i="3"/>
  <c r="E40" i="3"/>
  <c r="E90" i="3"/>
  <c r="E70" i="3"/>
  <c r="E108" i="3"/>
  <c r="E131" i="3"/>
  <c r="E182" i="3"/>
  <c r="E119" i="3"/>
  <c r="E155" i="3"/>
  <c r="E211" i="3"/>
  <c r="E242" i="3"/>
  <c r="E297" i="3"/>
  <c r="E273" i="3"/>
  <c r="E276" i="3"/>
  <c r="E348" i="3"/>
  <c r="E377" i="3"/>
  <c r="E333" i="3"/>
  <c r="E375" i="3"/>
  <c r="E572" i="3"/>
  <c r="L6" i="3"/>
  <c r="E109" i="3"/>
  <c r="E43" i="3"/>
  <c r="E540" i="3"/>
  <c r="E484" i="3"/>
  <c r="E412" i="3"/>
  <c r="E46" i="3"/>
  <c r="E129" i="3"/>
  <c r="E195" i="3"/>
  <c r="E200" i="3"/>
  <c r="E275" i="3"/>
  <c r="E266" i="3"/>
  <c r="E371" i="3"/>
  <c r="E342" i="3"/>
  <c r="E584" i="3"/>
  <c r="E84" i="3"/>
  <c r="E87" i="3"/>
  <c r="E184" i="3"/>
  <c r="E341" i="3"/>
  <c r="E80" i="3"/>
  <c r="E154" i="3"/>
  <c r="E264" i="3"/>
  <c r="E308" i="3"/>
  <c r="E373" i="3"/>
  <c r="E21" i="3"/>
  <c r="E69" i="3"/>
  <c r="E563" i="3"/>
  <c r="E445" i="3"/>
  <c r="E329" i="3"/>
  <c r="O6" i="3"/>
  <c r="E579" i="3"/>
  <c r="E510" i="3"/>
  <c r="E359" i="3"/>
  <c r="E247" i="3"/>
  <c r="E205" i="3"/>
  <c r="E97" i="3"/>
  <c r="E353" i="3"/>
  <c r="E568" i="3"/>
  <c r="E559" i="3"/>
  <c r="AN6" i="3"/>
  <c r="E536" i="3"/>
  <c r="V6" i="3"/>
  <c r="E402" i="3"/>
  <c r="E453" i="3"/>
  <c r="E320" i="3"/>
  <c r="E303" i="3"/>
  <c r="E244" i="3"/>
  <c r="E230" i="3"/>
  <c r="E159" i="3"/>
  <c r="E156" i="3"/>
  <c r="E254" i="3"/>
  <c r="E228" i="3"/>
  <c r="E122" i="3"/>
  <c r="E149" i="3"/>
  <c r="E45" i="3"/>
  <c r="E238" i="3"/>
  <c r="E167" i="3"/>
  <c r="E193" i="3"/>
  <c r="E105" i="3"/>
  <c r="E369" i="3"/>
  <c r="E575" i="3"/>
  <c r="E585" i="3"/>
  <c r="E534" i="3"/>
  <c r="R6" i="3"/>
  <c r="E515" i="3"/>
  <c r="E405" i="3"/>
  <c r="E442" i="3"/>
  <c r="E478" i="3"/>
  <c r="E469" i="3"/>
  <c r="E541" i="3"/>
  <c r="E414" i="3"/>
  <c r="E408" i="3"/>
  <c r="E449" i="3"/>
  <c r="E477" i="3"/>
  <c r="E360" i="3"/>
  <c r="I3" i="6"/>
  <c r="E505" i="3"/>
  <c r="E497" i="3"/>
  <c r="E554" i="3"/>
  <c r="AS6" i="3"/>
  <c r="E494" i="3"/>
  <c r="E435" i="3"/>
  <c r="E476" i="3"/>
  <c r="E470" i="3"/>
  <c r="E417" i="3"/>
  <c r="E447" i="3"/>
  <c r="E26" i="3"/>
  <c r="E56" i="3"/>
  <c r="E27" i="3"/>
  <c r="E41" i="3"/>
  <c r="E162" i="3"/>
  <c r="E198" i="3"/>
  <c r="E132" i="3"/>
  <c r="E225" i="3"/>
  <c r="E258" i="3"/>
  <c r="E210" i="3"/>
  <c r="E243" i="3"/>
  <c r="E292" i="3"/>
  <c r="E331" i="3"/>
  <c r="E391" i="3"/>
  <c r="E384" i="3"/>
  <c r="AL6" i="3"/>
  <c r="E544" i="3"/>
  <c r="E94" i="3"/>
  <c r="E59" i="3"/>
  <c r="E441" i="3"/>
  <c r="E482" i="3"/>
  <c r="E446" i="3"/>
  <c r="E64" i="3"/>
  <c r="E114" i="3"/>
  <c r="E395" i="3"/>
  <c r="E550" i="3"/>
  <c r="E388" i="3"/>
  <c r="E516" i="3"/>
  <c r="E567" i="3"/>
  <c r="E410" i="3"/>
  <c r="E396" i="3"/>
  <c r="E227" i="3"/>
  <c r="E143" i="3"/>
  <c r="E151" i="3"/>
  <c r="E314" i="3"/>
  <c r="E514" i="3"/>
  <c r="E518" i="3"/>
  <c r="E16" i="3"/>
  <c r="M6" i="3"/>
  <c r="E434" i="3"/>
  <c r="E387" i="3"/>
  <c r="E382" i="3"/>
  <c r="E296" i="3"/>
  <c r="E215" i="3"/>
  <c r="E245" i="3"/>
  <c r="E136" i="3"/>
  <c r="E134" i="3"/>
  <c r="E188" i="3"/>
  <c r="E269" i="3"/>
  <c r="E223" i="3"/>
  <c r="E253" i="3"/>
  <c r="E177" i="3"/>
  <c r="E173" i="3"/>
  <c r="E312" i="3"/>
  <c r="E576" i="3"/>
  <c r="E493" i="3"/>
  <c r="E542" i="3"/>
  <c r="AG6" i="3"/>
  <c r="E543" i="3"/>
  <c r="E421" i="3"/>
  <c r="E448" i="3"/>
  <c r="E486" i="3"/>
  <c r="P6" i="3"/>
  <c r="E422" i="3"/>
  <c r="E416" i="3"/>
  <c r="E443" i="3"/>
  <c r="E490" i="3"/>
  <c r="E374" i="3"/>
  <c r="E558" i="3"/>
  <c r="AH6" i="3"/>
  <c r="E500" i="3"/>
  <c r="E581" i="3"/>
  <c r="E498" i="3"/>
  <c r="E413" i="3"/>
  <c r="E444" i="3"/>
  <c r="E520" i="3"/>
  <c r="E404" i="3"/>
  <c r="E463" i="3"/>
  <c r="E39" i="3"/>
  <c r="E88" i="3"/>
  <c r="E25" i="3"/>
  <c r="E57" i="3"/>
  <c r="E121" i="3"/>
  <c r="E178" i="3"/>
  <c r="E187" i="3"/>
  <c r="E202" i="3"/>
  <c r="E240" i="3"/>
  <c r="E295" i="3"/>
  <c r="E226" i="3"/>
  <c r="E259" i="3"/>
  <c r="E316" i="3"/>
  <c r="E346" i="3"/>
  <c r="E378" i="3"/>
  <c r="E334" i="3"/>
  <c r="E372" i="3"/>
  <c r="E504" i="3"/>
  <c r="E30" i="3"/>
  <c r="E60" i="3"/>
  <c r="E110" i="3"/>
  <c r="E480" i="3"/>
  <c r="E428" i="3"/>
  <c r="E521" i="3"/>
  <c r="E467" i="3"/>
  <c r="E96" i="3"/>
  <c r="E65" i="3"/>
  <c r="E160" i="3"/>
  <c r="E174" i="3"/>
  <c r="E248" i="3"/>
  <c r="E249" i="3"/>
  <c r="E324" i="3"/>
  <c r="E386" i="3"/>
  <c r="E492" i="3"/>
  <c r="E35" i="3"/>
  <c r="E278" i="3"/>
  <c r="E172" i="3"/>
  <c r="E535" i="3"/>
  <c r="E509" i="3"/>
  <c r="E545" i="3"/>
  <c r="E574" i="3"/>
  <c r="E431" i="3"/>
  <c r="E352" i="3"/>
  <c r="E285" i="3"/>
  <c r="E201" i="3"/>
  <c r="E128" i="3"/>
  <c r="E397" i="3"/>
  <c r="E358" i="3"/>
  <c r="E495" i="3"/>
  <c r="I6" i="3"/>
  <c r="E551" i="3"/>
  <c r="E586" i="3"/>
  <c r="E549" i="3"/>
  <c r="E407" i="3"/>
  <c r="E350" i="3"/>
  <c r="E368" i="3"/>
  <c r="E294" i="3"/>
  <c r="E301" i="3"/>
  <c r="E196" i="3"/>
  <c r="E130" i="3"/>
  <c r="E99" i="3"/>
  <c r="E221" i="3"/>
  <c r="E157" i="3"/>
  <c r="E212" i="3"/>
  <c r="E224" i="3"/>
  <c r="E116" i="3"/>
  <c r="E141" i="3"/>
  <c r="E286" i="3"/>
  <c r="E379" i="3"/>
  <c r="E525" i="3"/>
  <c r="E499" i="3"/>
  <c r="U6" i="3"/>
  <c r="T6" i="3"/>
  <c r="E502" i="3"/>
  <c r="E411" i="3"/>
  <c r="E456" i="3"/>
  <c r="E466" i="3"/>
  <c r="E548" i="3"/>
  <c r="E512" i="3"/>
  <c r="E430" i="3"/>
  <c r="E432" i="3"/>
  <c r="E451" i="3"/>
  <c r="E255" i="3"/>
  <c r="E367" i="3"/>
  <c r="E556" i="3"/>
  <c r="AP6" i="3"/>
  <c r="E547" i="3"/>
  <c r="E13" i="3"/>
  <c r="E517" i="3"/>
  <c r="E403" i="3"/>
  <c r="E452" i="3"/>
  <c r="E491" i="3"/>
  <c r="E546" i="3"/>
  <c r="E420" i="3"/>
  <c r="E479" i="3"/>
  <c r="E71" i="3"/>
  <c r="E37" i="3"/>
  <c r="E115" i="3"/>
  <c r="E152" i="3"/>
  <c r="E126" i="3"/>
  <c r="E139" i="3"/>
  <c r="E192" i="3"/>
  <c r="E272" i="3"/>
  <c r="E281" i="3"/>
  <c r="E291" i="3"/>
  <c r="E332" i="3"/>
  <c r="E363" i="3"/>
  <c r="E317" i="3"/>
  <c r="E356" i="3"/>
  <c r="E389" i="3"/>
  <c r="AM6" i="3"/>
  <c r="E42" i="3"/>
  <c r="E76" i="3"/>
  <c r="E29" i="3"/>
  <c r="E488" i="3"/>
  <c r="E462" i="3"/>
  <c r="E425" i="3"/>
  <c r="E18" i="3"/>
  <c r="E98" i="3"/>
  <c r="E103" i="3"/>
  <c r="E190" i="3"/>
  <c r="E163" i="3"/>
  <c r="E267" i="3"/>
  <c r="E235" i="3"/>
  <c r="E307" i="3"/>
  <c r="E310" i="3"/>
  <c r="E522" i="3"/>
  <c r="E66" i="3"/>
  <c r="E67" i="3"/>
  <c r="E49" i="3"/>
  <c r="E127" i="3"/>
  <c r="E233" i="3"/>
  <c r="E370" i="3"/>
  <c r="Y6" i="3"/>
  <c r="E63" i="3"/>
  <c r="E113" i="3"/>
  <c r="E179" i="3"/>
  <c r="E283" i="3"/>
  <c r="E326" i="3"/>
  <c r="E82" i="3"/>
  <c r="E142" i="3"/>
  <c r="E383" i="3"/>
  <c r="E24" i="3"/>
  <c r="E206" i="3"/>
  <c r="E355" i="3"/>
  <c r="E51" i="3"/>
  <c r="E158" i="3"/>
  <c r="E309" i="3"/>
  <c r="E220" i="3"/>
  <c r="E354" i="3"/>
  <c r="E48" i="3"/>
  <c r="E232" i="3"/>
  <c r="E381" i="3"/>
  <c r="E19" i="3"/>
  <c r="E287" i="3"/>
  <c r="E513" i="3"/>
  <c r="E209" i="3"/>
  <c r="E23" i="3"/>
  <c r="E33" i="3"/>
  <c r="E250" i="3"/>
  <c r="AF6" i="3"/>
  <c r="E81" i="3"/>
  <c r="E222" i="3"/>
  <c r="E22" i="3"/>
  <c r="E138" i="3"/>
  <c r="E300" i="3"/>
  <c r="E86" i="3"/>
  <c r="E144" i="3"/>
  <c r="E102" i="3"/>
  <c r="E118" i="3"/>
  <c r="E323" i="3"/>
  <c r="E83" i="3"/>
  <c r="E487" i="3"/>
  <c r="E284" i="3"/>
  <c r="E55" i="3"/>
  <c r="E95" i="3"/>
  <c r="E289" i="3"/>
  <c r="E203" i="3"/>
  <c r="E34" i="3"/>
  <c r="D57" i="71"/>
  <c r="T57" i="71"/>
  <c r="D29" i="71"/>
  <c r="T29" i="71"/>
  <c r="D49" i="71"/>
  <c r="T49" i="71"/>
  <c r="T53" i="71"/>
  <c r="D53" i="71"/>
  <c r="D41" i="71"/>
  <c r="T41" i="71"/>
  <c r="U7" i="36"/>
  <c r="B16" i="71"/>
  <c r="B15" i="71" s="1"/>
  <c r="B14" i="71" s="1"/>
  <c r="B13" i="71" s="1"/>
  <c r="S17" i="71"/>
  <c r="E562" i="3"/>
  <c r="E104" i="3"/>
  <c r="C37" i="71"/>
  <c r="D36" i="71"/>
  <c r="H10" i="40"/>
  <c r="J10" i="40"/>
  <c r="F10" i="39"/>
  <c r="J10" i="39"/>
  <c r="F10" i="40"/>
  <c r="H10" i="39"/>
  <c r="E349" i="3"/>
  <c r="E120" i="3"/>
  <c r="F27" i="69"/>
  <c r="F27" i="11"/>
  <c r="F28" i="12"/>
  <c r="C29" i="12" s="1"/>
  <c r="D28" i="12" s="1"/>
  <c r="O13" i="1"/>
  <c r="O16" i="1" s="1"/>
  <c r="M16" i="1"/>
  <c r="E16" i="71"/>
  <c r="E15" i="71" s="1"/>
  <c r="E14" i="71" s="1"/>
  <c r="E13" i="71" s="1"/>
  <c r="V17" i="71"/>
  <c r="E58" i="3"/>
  <c r="E68" i="3"/>
  <c r="C16" i="71"/>
  <c r="D17" i="71"/>
  <c r="U17" i="71" s="1"/>
  <c r="T17" i="71"/>
  <c r="C35" i="69"/>
  <c r="C38" i="69"/>
  <c r="E50" i="3"/>
  <c r="P63" i="71"/>
  <c r="P62" i="71"/>
  <c r="E73" i="3"/>
  <c r="M19" i="6"/>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F27" i="68"/>
  <c r="C16" i="81"/>
  <c r="C17" i="15"/>
  <c r="C16" i="80"/>
  <c r="AE6" i="1"/>
  <c r="C14" i="15"/>
  <c r="D10" i="90"/>
  <c r="C16" i="82"/>
  <c r="C17" i="82"/>
  <c r="R50" i="34" l="1"/>
  <c r="E49" i="34"/>
  <c r="E54" i="34" s="1"/>
  <c r="F54" i="34" s="1"/>
  <c r="S8" i="1"/>
  <c r="E6" i="70"/>
  <c r="C10" i="90"/>
  <c r="D19" i="90"/>
  <c r="D37" i="90" s="1"/>
  <c r="C37" i="90" s="1"/>
  <c r="S21" i="6"/>
  <c r="L18" i="92"/>
  <c r="E8" i="70"/>
  <c r="S22" i="6"/>
  <c r="L18" i="93"/>
  <c r="E9" i="70"/>
  <c r="C29" i="87"/>
  <c r="D27" i="87" s="1"/>
  <c r="C47" i="87"/>
  <c r="D45" i="87" s="1"/>
  <c r="C29" i="86"/>
  <c r="D27" i="86" s="1"/>
  <c r="C47" i="86"/>
  <c r="D45" i="86" s="1"/>
  <c r="C49" i="81"/>
  <c r="C48" i="81" s="1"/>
  <c r="C66" i="81" s="1"/>
  <c r="C35" i="87"/>
  <c r="C38" i="87"/>
  <c r="C35" i="86"/>
  <c r="C38" i="86"/>
  <c r="C26" i="88"/>
  <c r="D22" i="88" s="1"/>
  <c r="C44" i="88"/>
  <c r="D41" i="88" s="1"/>
  <c r="F41" i="89"/>
  <c r="C24" i="89"/>
  <c r="C26" i="89"/>
  <c r="D22" i="89" s="1"/>
  <c r="C44" i="89"/>
  <c r="D41" i="89" s="1"/>
  <c r="C26" i="86"/>
  <c r="D22" i="86" s="1"/>
  <c r="C24" i="86"/>
  <c r="C44" i="86"/>
  <c r="D41" i="86" s="1"/>
  <c r="F41" i="87"/>
  <c r="C26" i="87"/>
  <c r="D22" i="87" s="1"/>
  <c r="C24" i="87"/>
  <c r="C44" i="87"/>
  <c r="D41" i="87" s="1"/>
  <c r="S20" i="6"/>
  <c r="K27" i="6"/>
  <c r="S7" i="1"/>
  <c r="S16" i="1" s="1"/>
  <c r="C35" i="84"/>
  <c r="C38" i="84"/>
  <c r="F41" i="84"/>
  <c r="C24" i="84"/>
  <c r="C26" i="84"/>
  <c r="D22" i="84" s="1"/>
  <c r="C44" i="84"/>
  <c r="D41" i="84" s="1"/>
  <c r="J10" i="82"/>
  <c r="J5" i="82" s="1"/>
  <c r="J26" i="82" s="1"/>
  <c r="J10" i="80"/>
  <c r="J5" i="80" s="1"/>
  <c r="J26" i="80" s="1"/>
  <c r="C5" i="81"/>
  <c r="C38" i="81" s="1"/>
  <c r="C49" i="80"/>
  <c r="C48" i="80" s="1"/>
  <c r="C15" i="15"/>
  <c r="C18" i="15"/>
  <c r="C32" i="81"/>
  <c r="C33" i="81"/>
  <c r="Q52" i="82"/>
  <c r="F1" i="82"/>
  <c r="Q61" i="81"/>
  <c r="Q74" i="81"/>
  <c r="Q61" i="80"/>
  <c r="Q74" i="80"/>
  <c r="Q66" i="81"/>
  <c r="Q57" i="81"/>
  <c r="Q66" i="82"/>
  <c r="Q57" i="82"/>
  <c r="C32" i="82"/>
  <c r="C33" i="82"/>
  <c r="Q73" i="81"/>
  <c r="Q60" i="81"/>
  <c r="Q61" i="82"/>
  <c r="Q74" i="82"/>
  <c r="C32" i="80"/>
  <c r="C33" i="80"/>
  <c r="J10" i="81"/>
  <c r="J5" i="81" s="1"/>
  <c r="F1" i="80"/>
  <c r="Q52" i="80"/>
  <c r="Q66" i="80"/>
  <c r="Q57" i="80"/>
  <c r="Q60" i="82"/>
  <c r="Q73" i="82"/>
  <c r="C49" i="82"/>
  <c r="C48" i="82" s="1"/>
  <c r="Q73" i="80"/>
  <c r="Q60" i="80"/>
  <c r="F1" i="81"/>
  <c r="Q52" i="81"/>
  <c r="C48" i="67"/>
  <c r="C66" i="67" s="1"/>
  <c r="C19" i="67"/>
  <c r="C20" i="67" s="1"/>
  <c r="C26" i="67" s="1"/>
  <c r="AC6" i="3"/>
  <c r="C38" i="82"/>
  <c r="C24" i="80"/>
  <c r="C24" i="81"/>
  <c r="C38" i="80"/>
  <c r="J26" i="15"/>
  <c r="C48" i="15"/>
  <c r="C60" i="15" s="1"/>
  <c r="J24" i="67"/>
  <c r="AR9" i="1"/>
  <c r="T9" i="1"/>
  <c r="AQ9" i="1"/>
  <c r="T8" i="1"/>
  <c r="AQ8" i="1"/>
  <c r="AR8" i="1"/>
  <c r="E65" i="39"/>
  <c r="H6" i="3"/>
  <c r="M27" i="6"/>
  <c r="I19" i="6"/>
  <c r="L18" i="83" s="1"/>
  <c r="AB10" i="40"/>
  <c r="U10" i="40"/>
  <c r="C15" i="71"/>
  <c r="D16" i="71"/>
  <c r="E12" i="71"/>
  <c r="E11" i="71" s="1"/>
  <c r="E10" i="71" s="1"/>
  <c r="E9" i="71" s="1"/>
  <c r="V13" i="71"/>
  <c r="W10" i="39"/>
  <c r="AC10" i="39"/>
  <c r="D3" i="21"/>
  <c r="D37" i="11"/>
  <c r="C37" i="11" s="1"/>
  <c r="M18" i="9"/>
  <c r="B118" i="9" s="1"/>
  <c r="D3" i="34"/>
  <c r="D19" i="11"/>
  <c r="C19" i="11" s="1"/>
  <c r="C24" i="11" s="1"/>
  <c r="L18" i="9"/>
  <c r="E6" i="6"/>
  <c r="D3" i="33"/>
  <c r="D14" i="12"/>
  <c r="D3" i="37"/>
  <c r="C17" i="4"/>
  <c r="B4" i="52" s="1"/>
  <c r="B43" i="72" s="1"/>
  <c r="C29" i="69"/>
  <c r="D27" i="69" s="1"/>
  <c r="C47" i="69"/>
  <c r="D45" i="69" s="1"/>
  <c r="F45" i="69"/>
  <c r="L16" i="1"/>
  <c r="N16" i="1"/>
  <c r="C34" i="11"/>
  <c r="C29" i="68"/>
  <c r="D27" i="68" s="1"/>
  <c r="F45" i="68"/>
  <c r="C47" i="68"/>
  <c r="D45" i="68" s="1"/>
  <c r="S10" i="39"/>
  <c r="AA10" i="39"/>
  <c r="D37" i="71"/>
  <c r="T37" i="71"/>
  <c r="B12" i="71"/>
  <c r="B11" i="71" s="1"/>
  <c r="B10" i="71" s="1"/>
  <c r="B9" i="71" s="1"/>
  <c r="S13"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44" i="3"/>
  <c r="BO6" i="3"/>
  <c r="AY105" i="3"/>
  <c r="AY92" i="3"/>
  <c r="AY53" i="3"/>
  <c r="AY52"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AY573" i="3"/>
  <c r="AY533" i="3"/>
  <c r="AY555" i="3"/>
  <c r="AY100" i="3"/>
  <c r="AY61" i="3"/>
  <c r="AY68" i="3"/>
  <c r="AY20" i="3"/>
  <c r="AY190" i="3"/>
  <c r="AY178" i="3"/>
  <c r="AY173" i="3"/>
  <c r="AY133" i="3"/>
  <c r="AY117" i="3"/>
  <c r="AY286" i="3"/>
  <c r="AY247" i="3"/>
  <c r="AY254" i="3"/>
  <c r="AY227" i="3"/>
  <c r="AY397" i="3"/>
  <c r="AY365" i="3"/>
  <c r="AY507" i="3"/>
  <c r="AY109" i="3"/>
  <c r="AY57" i="3"/>
  <c r="AY29" i="3"/>
  <c r="AY67" i="3"/>
  <c r="AY191" i="3"/>
  <c r="AY95" i="3"/>
  <c r="AY123" i="3"/>
  <c r="AY147" i="3"/>
  <c r="AY382" i="3"/>
  <c r="AY489" i="3"/>
  <c r="AY425" i="3"/>
  <c r="AY300" i="3"/>
  <c r="AY379" i="3"/>
  <c r="AY481" i="3"/>
  <c r="AY401" i="3"/>
  <c r="AY540" i="3"/>
  <c r="AY89" i="3"/>
  <c r="AY76" i="3"/>
  <c r="AY198" i="3"/>
  <c r="AY146" i="3"/>
  <c r="AY125" i="3"/>
  <c r="AY255" i="3"/>
  <c r="AY222" i="3"/>
  <c r="AY374" i="3"/>
  <c r="BB6" i="3"/>
  <c r="AY40" i="3"/>
  <c r="AY161" i="3"/>
  <c r="AY279" i="3"/>
  <c r="AY242" i="3"/>
  <c r="AY353" i="3"/>
  <c r="AY309" i="3"/>
  <c r="AY308" i="3"/>
  <c r="AY464" i="3"/>
  <c r="AY430" i="3"/>
  <c r="AY419" i="3"/>
  <c r="AY580" i="3"/>
  <c r="BN6" i="3"/>
  <c r="AY495" i="3"/>
  <c r="AY501" i="3"/>
  <c r="AY496" i="3"/>
  <c r="AY112" i="3"/>
  <c r="AY32" i="3"/>
  <c r="AY158" i="3"/>
  <c r="AY113" i="3"/>
  <c r="AY250" i="3"/>
  <c r="AY385" i="3"/>
  <c r="AY329" i="3"/>
  <c r="AY312" i="3"/>
  <c r="AY476" i="3"/>
  <c r="AY450" i="3"/>
  <c r="AY431" i="3"/>
  <c r="AY506" i="3"/>
  <c r="AY522" i="3"/>
  <c r="AY551" i="3"/>
  <c r="AY548" i="3"/>
  <c r="AY99" i="3"/>
  <c r="AY46" i="3"/>
  <c r="AY172" i="3"/>
  <c r="AY120" i="3"/>
  <c r="AY233" i="3"/>
  <c r="AY394" i="3"/>
  <c r="AY362" i="3"/>
  <c r="AY314" i="3"/>
  <c r="AY451" i="3"/>
  <c r="AY437" i="3"/>
  <c r="AY517" i="3"/>
  <c r="AY568" i="3"/>
  <c r="AY91" i="3"/>
  <c r="AY70" i="3"/>
  <c r="AY200" i="3"/>
  <c r="AY148" i="3"/>
  <c r="AY119" i="3"/>
  <c r="AY257" i="3"/>
  <c r="AY224" i="3"/>
  <c r="AY367" i="3"/>
  <c r="AY307" i="3"/>
  <c r="AY490" i="3"/>
  <c r="AY416" i="3"/>
  <c r="AY521" i="3"/>
  <c r="AY511" i="3"/>
  <c r="AY498"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145" i="3"/>
  <c r="AY275" i="3"/>
  <c r="AY215" i="3"/>
  <c r="AY356" i="3"/>
  <c r="AY348" i="3"/>
  <c r="AY475" i="3"/>
  <c r="AY449" i="3"/>
  <c r="AY422" i="3"/>
  <c r="AY403" i="3"/>
  <c r="AY585" i="3"/>
  <c r="AY536" i="3"/>
  <c r="AY552" i="3"/>
  <c r="AY508" i="3"/>
  <c r="AY582" i="3"/>
  <c r="AY65" i="3"/>
  <c r="AY21" i="3"/>
  <c r="AY142" i="3"/>
  <c r="AY298" i="3"/>
  <c r="AY234" i="3"/>
  <c r="AY361" i="3"/>
  <c r="AY305" i="3"/>
  <c r="AY304" i="3"/>
  <c r="AY468" i="3"/>
  <c r="AY426" i="3"/>
  <c r="AY415" i="3"/>
  <c r="AY17" i="3"/>
  <c r="AY575" i="3"/>
  <c r="AY542" i="3"/>
  <c r="BP6" i="3"/>
  <c r="AY79" i="3"/>
  <c r="AY30" i="3"/>
  <c r="AY156" i="3"/>
  <c r="AY285" i="3"/>
  <c r="AY248" i="3"/>
  <c r="AY378" i="3"/>
  <c r="AY331" i="3"/>
  <c r="AY485" i="3"/>
  <c r="AY456" i="3"/>
  <c r="AY405" i="3"/>
  <c r="AY547" i="3"/>
  <c r="BL6" i="3"/>
  <c r="AY86" i="3"/>
  <c r="AY54" i="3"/>
  <c r="AY184" i="3"/>
  <c r="AY159" i="3"/>
  <c r="AY293" i="3"/>
  <c r="AY241" i="3"/>
  <c r="AY213" i="3"/>
  <c r="AY351" i="3"/>
  <c r="AY338" i="3"/>
  <c r="AY459" i="3"/>
  <c r="AY400" i="3"/>
  <c r="BD6" i="3"/>
  <c r="AY504" i="3"/>
  <c r="AY34" i="3"/>
  <c r="AY139" i="3"/>
  <c r="AY31" i="3"/>
  <c r="AY111" i="3"/>
  <c r="AY252" i="3"/>
  <c r="AY350" i="3"/>
  <c r="AY460" i="3"/>
  <c r="AY43" i="3"/>
  <c r="AY244" i="3"/>
  <c r="AY327" i="3"/>
  <c r="AY436" i="3"/>
  <c r="AY562" i="3"/>
  <c r="BE6" i="3"/>
  <c r="AY69" i="3"/>
  <c r="AY36" i="3"/>
  <c r="AY185" i="3"/>
  <c r="AY141" i="3"/>
  <c r="AY302" i="3"/>
  <c r="AY262" i="3"/>
  <c r="AY384" i="3"/>
  <c r="BS6" i="3"/>
  <c r="AY73" i="3"/>
  <c r="AY181" i="3"/>
  <c r="AY130" i="3"/>
  <c r="AY243" i="3"/>
  <c r="AY388" i="3"/>
  <c r="AY341" i="3"/>
  <c r="AY324" i="3"/>
  <c r="AY467" i="3"/>
  <c r="AY462" i="3"/>
  <c r="AY398" i="3"/>
  <c r="AY503" i="3"/>
  <c r="AY516" i="3"/>
  <c r="AY527" i="3"/>
  <c r="BG6" i="3"/>
  <c r="AY532" i="3"/>
  <c r="AY523" i="3"/>
  <c r="AY49" i="3"/>
  <c r="AY194" i="3"/>
  <c r="AY137" i="3"/>
  <c r="AY267" i="3"/>
  <c r="AY218" i="3"/>
  <c r="AY352" i="3"/>
  <c r="AY344" i="3"/>
  <c r="AY479" i="3"/>
  <c r="AY445" i="3"/>
  <c r="AY418" i="3"/>
  <c r="AY407" i="3"/>
  <c r="AY14" i="3"/>
  <c r="AY515" i="3"/>
  <c r="AY530" i="3"/>
  <c r="AY563" i="3"/>
  <c r="AY63" i="3"/>
  <c r="AY19" i="3"/>
  <c r="AY151" i="3"/>
  <c r="AY296" i="3"/>
  <c r="AY232" i="3"/>
  <c r="AY376" i="3"/>
  <c r="AY315" i="3"/>
  <c r="AY469" i="3"/>
  <c r="AY424" i="3"/>
  <c r="AY500" i="3"/>
  <c r="AY560" i="3"/>
  <c r="AY587" i="3"/>
  <c r="AY71" i="3"/>
  <c r="AY38" i="3"/>
  <c r="AY179" i="3"/>
  <c r="AY143" i="3"/>
  <c r="AY277" i="3"/>
  <c r="AY256" i="3"/>
  <c r="AY386" i="3"/>
  <c r="AY354" i="3"/>
  <c r="AY306" i="3"/>
  <c r="AY443" i="3"/>
  <c r="AY429" i="3"/>
  <c r="BC6" i="3"/>
  <c r="BT6"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6" i="3"/>
  <c r="AY295" i="3"/>
  <c r="AY258" i="3"/>
  <c r="AY393" i="3"/>
  <c r="AY325" i="3"/>
  <c r="AY316" i="3"/>
  <c r="AY480" i="3"/>
  <c r="AY438" i="3"/>
  <c r="AY435" i="3"/>
  <c r="BQ6" i="3"/>
  <c r="AY534" i="3"/>
  <c r="AY520" i="3"/>
  <c r="AY559" i="3"/>
  <c r="AY556" i="3"/>
  <c r="AY101" i="3"/>
  <c r="AY64" i="3"/>
  <c r="AY174" i="3"/>
  <c r="AY122" i="3"/>
  <c r="AY251" i="3"/>
  <c r="AY380" i="3"/>
  <c r="AY337" i="3"/>
  <c r="AY336" i="3"/>
  <c r="AY492" i="3"/>
  <c r="AY458" i="3"/>
  <c r="AY402" i="3"/>
  <c r="AY505" i="3"/>
  <c r="AY564" i="3"/>
  <c r="AY565" i="3"/>
  <c r="AY570" i="3"/>
  <c r="AY493" i="3"/>
  <c r="AY47" i="3"/>
  <c r="AY203" i="3"/>
  <c r="AY135" i="3"/>
  <c r="AY265" i="3"/>
  <c r="AY221" i="3"/>
  <c r="AY359" i="3"/>
  <c r="AY346" i="3"/>
  <c r="AY466" i="3"/>
  <c r="AY408" i="3"/>
  <c r="AY558" i="3"/>
  <c r="AY512" i="3"/>
  <c r="AY107" i="3"/>
  <c r="AY55" i="3"/>
  <c r="AY27" i="3"/>
  <c r="AY164" i="3"/>
  <c r="AY128" i="3"/>
  <c r="AY273" i="3"/>
  <c r="AY240" i="3"/>
  <c r="AY391" i="3"/>
  <c r="AY323" i="3"/>
  <c r="AY477" i="3"/>
  <c r="AY448" i="3"/>
  <c r="AY550" i="3"/>
  <c r="AY566" i="3"/>
  <c r="AY586" i="3"/>
  <c r="AA10" i="40"/>
  <c r="S10" i="40"/>
  <c r="P13" i="1"/>
  <c r="P16" i="1" s="1"/>
  <c r="C11" i="12" s="1"/>
  <c r="C47" i="11"/>
  <c r="D45" i="11" s="1"/>
  <c r="C29" i="11"/>
  <c r="D27" i="11" s="1"/>
  <c r="U10" i="39"/>
  <c r="AB10" i="39"/>
  <c r="W10" i="40"/>
  <c r="AC10" i="40"/>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34" i="68"/>
  <c r="D10" i="88"/>
  <c r="AE9" i="1"/>
  <c r="F41" i="15"/>
  <c r="AE8" i="1"/>
  <c r="AE7" i="1"/>
  <c r="C34" i="90"/>
  <c r="C14" i="81"/>
  <c r="C17" i="80"/>
  <c r="D10" i="89"/>
  <c r="E6" i="76"/>
  <c r="C17" i="81"/>
  <c r="C34" i="89"/>
  <c r="C14" i="82"/>
  <c r="B6" i="76"/>
  <c r="D19" i="89" l="1"/>
  <c r="D37" i="89" s="1"/>
  <c r="C37" i="89" s="1"/>
  <c r="C10" i="89"/>
  <c r="C33" i="87"/>
  <c r="C42" i="87" s="1"/>
  <c r="AR7" i="1"/>
  <c r="AQ7" i="1"/>
  <c r="C33" i="84"/>
  <c r="C39" i="84" s="1"/>
  <c r="C33" i="86"/>
  <c r="C39" i="86" s="1"/>
  <c r="C46" i="86" s="1"/>
  <c r="C45" i="86" s="1"/>
  <c r="C38" i="90"/>
  <c r="C35" i="90"/>
  <c r="C10" i="88"/>
  <c r="D19" i="88"/>
  <c r="C35" i="89"/>
  <c r="C38" i="89"/>
  <c r="E6" i="3"/>
  <c r="T7" i="1"/>
  <c r="T16" i="1" s="1"/>
  <c r="B1" i="74"/>
  <c r="F50" i="84"/>
  <c r="F50" i="90"/>
  <c r="F50" i="88"/>
  <c r="F50" i="86"/>
  <c r="F50" i="89"/>
  <c r="F50" i="87"/>
  <c r="E7" i="70"/>
  <c r="E2" i="70" s="1"/>
  <c r="F69" i="15"/>
  <c r="J29" i="15"/>
  <c r="J24" i="82"/>
  <c r="J24" i="80"/>
  <c r="C60" i="81"/>
  <c r="C19" i="15"/>
  <c r="C20" i="15" s="1"/>
  <c r="C26" i="15" s="1"/>
  <c r="C60" i="80"/>
  <c r="C66" i="80"/>
  <c r="C15" i="82"/>
  <c r="C18" i="82"/>
  <c r="C18" i="81"/>
  <c r="C15" i="81"/>
  <c r="C66" i="82"/>
  <c r="C60" i="82"/>
  <c r="J24" i="81"/>
  <c r="J26" i="81"/>
  <c r="C60" i="67"/>
  <c r="C23" i="67"/>
  <c r="C29" i="67" s="1"/>
  <c r="C33" i="67" s="1"/>
  <c r="C31" i="67" s="1"/>
  <c r="C66" i="15"/>
  <c r="B2" i="34"/>
  <c r="B3" i="34" s="1"/>
  <c r="C38" i="11"/>
  <c r="C35" i="11"/>
  <c r="F50" i="68"/>
  <c r="F50" i="11"/>
  <c r="F50" i="69"/>
  <c r="C20" i="11"/>
  <c r="C25" i="11" s="1"/>
  <c r="C22" i="11" s="1"/>
  <c r="E8" i="71"/>
  <c r="E7" i="71" s="1"/>
  <c r="E6" i="71" s="1"/>
  <c r="E5" i="71" s="1"/>
  <c r="V9" i="71"/>
  <c r="D17" i="12"/>
  <c r="C17" i="12" s="1"/>
  <c r="C14" i="12"/>
  <c r="H20" i="6"/>
  <c r="D19" i="6"/>
  <c r="C18" i="4"/>
  <c r="D23" i="6"/>
  <c r="D12" i="6"/>
  <c r="D13" i="6"/>
  <c r="E61" i="40"/>
  <c r="H23" i="6"/>
  <c r="M19" i="9"/>
  <c r="C118" i="9" s="1"/>
  <c r="B2" i="74" s="1"/>
  <c r="C31" i="74" s="1"/>
  <c r="D15" i="6"/>
  <c r="D24" i="6"/>
  <c r="D5" i="6"/>
  <c r="D10" i="6"/>
  <c r="H25" i="6"/>
  <c r="H26" i="6"/>
  <c r="D22" i="6"/>
  <c r="D14" i="6"/>
  <c r="D6" i="6"/>
  <c r="L19" i="9"/>
  <c r="H24" i="6"/>
  <c r="D25" i="6"/>
  <c r="D8" i="6"/>
  <c r="D20" i="6"/>
  <c r="D9" i="6"/>
  <c r="D28" i="6"/>
  <c r="H22" i="6"/>
  <c r="D26" i="6"/>
  <c r="R26" i="6" s="1"/>
  <c r="D21" i="6"/>
  <c r="D11" i="6"/>
  <c r="D29" i="6"/>
  <c r="H21" i="6"/>
  <c r="H19" i="6"/>
  <c r="D10" i="11"/>
  <c r="C10" i="11" s="1"/>
  <c r="D20" i="12"/>
  <c r="C20" i="12" s="1"/>
  <c r="D10" i="69"/>
  <c r="S19" i="6"/>
  <c r="S27" i="6" s="1"/>
  <c r="I27" i="6"/>
  <c r="C15" i="12"/>
  <c r="C12" i="12"/>
  <c r="B8" i="71"/>
  <c r="B7" i="71" s="1"/>
  <c r="B6" i="71" s="1"/>
  <c r="B5" i="71" s="1"/>
  <c r="S9" i="71"/>
  <c r="C35" i="68"/>
  <c r="C38" i="68"/>
  <c r="C14" i="71"/>
  <c r="D15"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D10" i="68"/>
  <c r="F41" i="81"/>
  <c r="C14" i="80"/>
  <c r="F41" i="82"/>
  <c r="F41" i="80"/>
  <c r="C34" i="88"/>
  <c r="C8" i="74" l="1"/>
  <c r="B31" i="74"/>
  <c r="D37" i="88"/>
  <c r="C37" i="88" s="1"/>
  <c r="C19" i="88"/>
  <c r="C24" i="88" s="1"/>
  <c r="C39" i="87"/>
  <c r="C43" i="87" s="1"/>
  <c r="C41" i="87" s="1"/>
  <c r="C7" i="74"/>
  <c r="C42" i="84"/>
  <c r="C42" i="86"/>
  <c r="C33" i="90"/>
  <c r="C42" i="90" s="1"/>
  <c r="C33" i="89"/>
  <c r="C39" i="89" s="1"/>
  <c r="C43" i="89" s="1"/>
  <c r="C43" i="86"/>
  <c r="C35" i="88"/>
  <c r="C38" i="88"/>
  <c r="C18" i="80"/>
  <c r="C15" i="80"/>
  <c r="M19" i="92"/>
  <c r="C118" i="92" s="1"/>
  <c r="L19" i="92"/>
  <c r="M19" i="93"/>
  <c r="C118" i="93" s="1"/>
  <c r="L19" i="93"/>
  <c r="M19" i="91"/>
  <c r="C118" i="91" s="1"/>
  <c r="L19" i="91"/>
  <c r="L19" i="83"/>
  <c r="M19" i="83"/>
  <c r="C118" i="83" s="1"/>
  <c r="C46" i="84"/>
  <c r="C45" i="84" s="1"/>
  <c r="C43" i="84"/>
  <c r="F69" i="81"/>
  <c r="F69" i="82"/>
  <c r="J29" i="82"/>
  <c r="F69" i="80"/>
  <c r="J29" i="80"/>
  <c r="J29" i="81"/>
  <c r="C19" i="81"/>
  <c r="C20" i="81" s="1"/>
  <c r="C26" i="81" s="1"/>
  <c r="C36" i="67"/>
  <c r="C19" i="82"/>
  <c r="C20" i="82" s="1"/>
  <c r="C23" i="15"/>
  <c r="C29" i="15" s="1"/>
  <c r="J59" i="15" s="1"/>
  <c r="J60" i="15" s="1"/>
  <c r="Q48" i="15" s="1"/>
  <c r="J19" i="67"/>
  <c r="J17" i="67" s="1"/>
  <c r="J59" i="67"/>
  <c r="J60" i="67" s="1"/>
  <c r="Q48" i="67" s="1"/>
  <c r="C13" i="67"/>
  <c r="Q70" i="67" s="1"/>
  <c r="Q49" i="67"/>
  <c r="J14" i="67"/>
  <c r="J22" i="67" s="1"/>
  <c r="C57" i="67"/>
  <c r="C61" i="67" s="1"/>
  <c r="C59" i="67" s="1"/>
  <c r="D30" i="6"/>
  <c r="H27" i="6"/>
  <c r="D16" i="6"/>
  <c r="R25" i="6"/>
  <c r="R21" i="6"/>
  <c r="R8" i="1" s="1"/>
  <c r="R22" i="6"/>
  <c r="R9" i="1" s="1"/>
  <c r="C16" i="12"/>
  <c r="C33" i="11"/>
  <c r="C42" i="11" s="1"/>
  <c r="R23" i="6"/>
  <c r="D8" i="74"/>
  <c r="D7" i="74"/>
  <c r="R20" i="6"/>
  <c r="R7" i="1" s="1"/>
  <c r="R24" i="6"/>
  <c r="C4" i="52"/>
  <c r="B45" i="72" s="1"/>
  <c r="A10" i="51"/>
  <c r="B9" i="72" s="1"/>
  <c r="A7" i="51"/>
  <c r="B7" i="72" s="1"/>
  <c r="C28" i="11"/>
  <c r="C27" i="11" s="1"/>
  <c r="C31" i="11" s="1"/>
  <c r="C13" i="71"/>
  <c r="D14" i="71"/>
  <c r="C10" i="69"/>
  <c r="C8" i="69" s="1"/>
  <c r="C5" i="69" s="1"/>
  <c r="D19" i="69"/>
  <c r="C10" i="68"/>
  <c r="C8" i="90" s="1"/>
  <c r="C5" i="90" s="1"/>
  <c r="D19" i="68"/>
  <c r="D27" i="6"/>
  <c r="R19" i="6"/>
  <c r="I69" i="39"/>
  <c r="J67" i="39"/>
  <c r="B3" i="76"/>
  <c r="I63" i="40"/>
  <c r="H65" i="40"/>
  <c r="I58" i="21"/>
  <c r="J58" i="21" s="1"/>
  <c r="K58" i="21" s="1"/>
  <c r="L58" i="21" s="1"/>
  <c r="M58" i="21" s="1"/>
  <c r="N58" i="21" s="1"/>
  <c r="O58" i="21" s="1"/>
  <c r="H7" i="21" s="1"/>
  <c r="J7" i="21"/>
  <c r="F7" i="21"/>
  <c r="J48" i="35"/>
  <c r="M21" i="82"/>
  <c r="F35" i="82"/>
  <c r="M21" i="81"/>
  <c r="F35" i="81"/>
  <c r="C46" i="87" l="1"/>
  <c r="C45" i="87" s="1"/>
  <c r="C49" i="87" s="1"/>
  <c r="C51" i="87" s="1"/>
  <c r="C41" i="84"/>
  <c r="C49" i="84" s="1"/>
  <c r="C51" i="84" s="1"/>
  <c r="C41" i="86"/>
  <c r="C49" i="86" s="1"/>
  <c r="C51" i="86" s="1"/>
  <c r="D31" i="6"/>
  <c r="C39" i="90"/>
  <c r="C43" i="90" s="1"/>
  <c r="C41" i="90" s="1"/>
  <c r="C19" i="80"/>
  <c r="C20" i="80" s="1"/>
  <c r="C33" i="88"/>
  <c r="C39" i="88" s="1"/>
  <c r="C42" i="89"/>
  <c r="C41" i="89" s="1"/>
  <c r="C46" i="89"/>
  <c r="C45" i="89" s="1"/>
  <c r="C20" i="90"/>
  <c r="C25" i="90" s="1"/>
  <c r="C23" i="90"/>
  <c r="C8" i="88"/>
  <c r="C5" i="88" s="1"/>
  <c r="C23" i="88" s="1"/>
  <c r="C8" i="89"/>
  <c r="C5" i="89" s="1"/>
  <c r="C8" i="86"/>
  <c r="C5" i="86" s="1"/>
  <c r="C23" i="86" s="1"/>
  <c r="C8" i="87"/>
  <c r="C5" i="87" s="1"/>
  <c r="C8" i="68"/>
  <c r="C8" i="84"/>
  <c r="C5" i="84" s="1"/>
  <c r="C56" i="67"/>
  <c r="C65" i="67" s="1"/>
  <c r="C23" i="81"/>
  <c r="C29" i="81" s="1"/>
  <c r="J59" i="81" s="1"/>
  <c r="J60" i="81" s="1"/>
  <c r="C26" i="82"/>
  <c r="C23" i="82"/>
  <c r="C36" i="15"/>
  <c r="J19" i="15"/>
  <c r="J14" i="15"/>
  <c r="C57" i="15"/>
  <c r="Q49" i="15"/>
  <c r="C13" i="15"/>
  <c r="J13" i="67"/>
  <c r="J23" i="67" s="1"/>
  <c r="J16" i="67" s="1"/>
  <c r="J25" i="67" s="1"/>
  <c r="C37" i="67"/>
  <c r="C30" i="67" s="1"/>
  <c r="C39" i="67" s="1"/>
  <c r="Q69" i="67" s="1"/>
  <c r="Q68" i="67" s="1"/>
  <c r="C75" i="67"/>
  <c r="C64" i="67"/>
  <c r="L46" i="67"/>
  <c r="C18" i="12"/>
  <c r="C21" i="12" s="1"/>
  <c r="C34" i="82"/>
  <c r="C31" i="82" s="1"/>
  <c r="F63" i="82"/>
  <c r="C62" i="82" s="1"/>
  <c r="J20" i="82"/>
  <c r="J20" i="81"/>
  <c r="F63" i="81"/>
  <c r="C62" i="81" s="1"/>
  <c r="C34" i="81"/>
  <c r="C31" i="81" s="1"/>
  <c r="R27" i="6"/>
  <c r="R6" i="1"/>
  <c r="C39" i="11"/>
  <c r="C46" i="11" s="1"/>
  <c r="C45" i="11" s="1"/>
  <c r="C12" i="71"/>
  <c r="T13" i="71"/>
  <c r="D13" i="71"/>
  <c r="U13" i="71" s="1"/>
  <c r="C19" i="69"/>
  <c r="C24" i="69" s="1"/>
  <c r="D37" i="69"/>
  <c r="C37" i="69" s="1"/>
  <c r="C33" i="69" s="1"/>
  <c r="I6" i="6"/>
  <c r="I5" i="6"/>
  <c r="C23" i="69"/>
  <c r="C19" i="68"/>
  <c r="D37" i="68"/>
  <c r="C37" i="68" s="1"/>
  <c r="C33" i="68" s="1"/>
  <c r="J69" i="39"/>
  <c r="K67" i="39"/>
  <c r="U7" i="21"/>
  <c r="AB7" i="21"/>
  <c r="T48" i="21" s="1"/>
  <c r="G48" i="21" s="1"/>
  <c r="S7" i="21"/>
  <c r="AA7" i="21"/>
  <c r="R48" i="21" s="1"/>
  <c r="J63" i="40"/>
  <c r="I65" i="40"/>
  <c r="K48" i="35"/>
  <c r="L48" i="35" s="1"/>
  <c r="M48" i="35" s="1"/>
  <c r="N48" i="35" s="1"/>
  <c r="O48" i="35" s="1"/>
  <c r="H7" i="35" s="1"/>
  <c r="J7" i="35"/>
  <c r="AC7" i="21"/>
  <c r="V48" i="21" s="1"/>
  <c r="I48" i="21" s="1"/>
  <c r="W7" i="21"/>
  <c r="F35" i="80"/>
  <c r="F35" i="15"/>
  <c r="M21" i="80"/>
  <c r="M21" i="15"/>
  <c r="C46" i="90" l="1"/>
  <c r="C45" i="90" s="1"/>
  <c r="C49" i="90" s="1"/>
  <c r="C51" i="90" s="1"/>
  <c r="C26" i="80"/>
  <c r="C42" i="88"/>
  <c r="C23" i="80"/>
  <c r="C49" i="89"/>
  <c r="C51" i="89" s="1"/>
  <c r="C46" i="88"/>
  <c r="C45" i="88" s="1"/>
  <c r="C43" i="88"/>
  <c r="Q48" i="81"/>
  <c r="L46" i="81"/>
  <c r="C22" i="90"/>
  <c r="C28" i="90"/>
  <c r="C27" i="90" s="1"/>
  <c r="C20" i="88"/>
  <c r="C25" i="88" s="1"/>
  <c r="C22" i="88" s="1"/>
  <c r="C23" i="89"/>
  <c r="C20" i="89"/>
  <c r="C25" i="89" s="1"/>
  <c r="C20" i="86"/>
  <c r="C25" i="86" s="1"/>
  <c r="C22" i="86" s="1"/>
  <c r="C23" i="87"/>
  <c r="C20" i="87"/>
  <c r="C25" i="87" s="1"/>
  <c r="C23" i="84"/>
  <c r="C20" i="84"/>
  <c r="C25" i="84" s="1"/>
  <c r="C58" i="67"/>
  <c r="C67" i="67" s="1"/>
  <c r="C68" i="67" s="1"/>
  <c r="C71" i="67" s="1"/>
  <c r="C29" i="82"/>
  <c r="C61" i="15"/>
  <c r="C64" i="15"/>
  <c r="J22" i="15"/>
  <c r="J13" i="15"/>
  <c r="J23" i="15" s="1"/>
  <c r="C37" i="15"/>
  <c r="I36" i="15" s="1"/>
  <c r="I37" i="15" s="1"/>
  <c r="C75" i="15"/>
  <c r="C56" i="15"/>
  <c r="C65" i="15" s="1"/>
  <c r="Q70" i="15"/>
  <c r="C57" i="81"/>
  <c r="C36" i="81"/>
  <c r="J19" i="81"/>
  <c r="J17" i="81" s="1"/>
  <c r="Q49" i="81"/>
  <c r="C13" i="81"/>
  <c r="J14" i="81"/>
  <c r="C40" i="67"/>
  <c r="Q56" i="67" s="1"/>
  <c r="C80" i="67"/>
  <c r="C79" i="67" s="1"/>
  <c r="C22" i="12"/>
  <c r="C30" i="12" s="1"/>
  <c r="C28" i="12" s="1"/>
  <c r="J20" i="80"/>
  <c r="C34" i="80"/>
  <c r="C31" i="80" s="1"/>
  <c r="F63" i="80"/>
  <c r="C62" i="80" s="1"/>
  <c r="C34" i="15"/>
  <c r="C31" i="15" s="1"/>
  <c r="F63" i="15"/>
  <c r="C62" i="15" s="1"/>
  <c r="J20" i="15"/>
  <c r="J17" i="15" s="1"/>
  <c r="R16" i="1"/>
  <c r="C43" i="11"/>
  <c r="C41" i="11" s="1"/>
  <c r="C49" i="11" s="1"/>
  <c r="C51" i="11" s="1"/>
  <c r="C52" i="11" s="1"/>
  <c r="B2" i="11" s="1"/>
  <c r="B3" i="11" s="1"/>
  <c r="C20" i="69"/>
  <c r="C28" i="69" s="1"/>
  <c r="C27" i="69" s="1"/>
  <c r="C39" i="68"/>
  <c r="C42" i="68"/>
  <c r="C24" i="68"/>
  <c r="C39" i="69"/>
  <c r="C43" i="69" s="1"/>
  <c r="C42" i="69"/>
  <c r="C11" i="71"/>
  <c r="D12" i="71"/>
  <c r="L67" i="39"/>
  <c r="K69" i="39"/>
  <c r="W7" i="35"/>
  <c r="AC7" i="35"/>
  <c r="V38" i="35" s="1"/>
  <c r="I38" i="35" s="1"/>
  <c r="J65" i="40"/>
  <c r="K63" i="40"/>
  <c r="I52" i="21"/>
  <c r="J52" i="21" s="1"/>
  <c r="U7" i="35"/>
  <c r="AB7" i="35"/>
  <c r="T38" i="35" s="1"/>
  <c r="G38" i="35" s="1"/>
  <c r="R49" i="21"/>
  <c r="E48" i="21"/>
  <c r="G52" i="21"/>
  <c r="H52" i="21" s="1"/>
  <c r="G53" i="21"/>
  <c r="H53" i="21" s="1"/>
  <c r="F7" i="35"/>
  <c r="L51" i="67"/>
  <c r="C29" i="80" l="1"/>
  <c r="J59" i="80" s="1"/>
  <c r="J60" i="80" s="1"/>
  <c r="C41" i="88"/>
  <c r="C49" i="88" s="1"/>
  <c r="C51" i="88" s="1"/>
  <c r="C31" i="90"/>
  <c r="C52" i="90" s="1"/>
  <c r="B2" i="90" s="1"/>
  <c r="C57" i="82"/>
  <c r="C64" i="82" s="1"/>
  <c r="J59" i="82"/>
  <c r="J60" i="82" s="1"/>
  <c r="C28" i="88"/>
  <c r="C27" i="88" s="1"/>
  <c r="C31" i="88" s="1"/>
  <c r="C28" i="86"/>
  <c r="C27" i="86" s="1"/>
  <c r="C31" i="86" s="1"/>
  <c r="C52" i="86" s="1"/>
  <c r="B2" i="86" s="1"/>
  <c r="B3" i="86" s="1"/>
  <c r="C22" i="89"/>
  <c r="C28" i="89"/>
  <c r="C27" i="89" s="1"/>
  <c r="C22" i="87"/>
  <c r="C28" i="87"/>
  <c r="C27" i="87" s="1"/>
  <c r="C28" i="84"/>
  <c r="C27" i="84" s="1"/>
  <c r="C22" i="84"/>
  <c r="Q67" i="67"/>
  <c r="L57" i="67"/>
  <c r="L60" i="67" s="1"/>
  <c r="Q57" i="67" s="1"/>
  <c r="Q62" i="67" s="1"/>
  <c r="J14" i="82"/>
  <c r="J22" i="82" s="1"/>
  <c r="C45" i="67"/>
  <c r="C46" i="67" s="1"/>
  <c r="J19" i="82"/>
  <c r="J17" i="82" s="1"/>
  <c r="C13" i="82"/>
  <c r="Q70" i="82" s="1"/>
  <c r="Q49" i="82"/>
  <c r="C36" i="82"/>
  <c r="J16" i="15"/>
  <c r="J25" i="15" s="1"/>
  <c r="C30" i="15"/>
  <c r="C39" i="15" s="1"/>
  <c r="C80" i="15" s="1"/>
  <c r="C79" i="15" s="1"/>
  <c r="C83" i="67"/>
  <c r="C82" i="67" s="1"/>
  <c r="Q47" i="67"/>
  <c r="Q53" i="67" s="1"/>
  <c r="C59" i="15"/>
  <c r="C58" i="15" s="1"/>
  <c r="C67" i="15" s="1"/>
  <c r="C68" i="15" s="1"/>
  <c r="C71" i="15" s="1"/>
  <c r="D2" i="67"/>
  <c r="B3" i="67" s="1"/>
  <c r="J22" i="81"/>
  <c r="J13" i="81"/>
  <c r="J23" i="81" s="1"/>
  <c r="C56" i="81"/>
  <c r="C65" i="81" s="1"/>
  <c r="C75" i="81"/>
  <c r="C37" i="81"/>
  <c r="C30" i="81" s="1"/>
  <c r="C39" i="81" s="1"/>
  <c r="Q70" i="81"/>
  <c r="C61" i="81"/>
  <c r="C59" i="81" s="1"/>
  <c r="C64" i="81"/>
  <c r="Q65" i="67"/>
  <c r="C43" i="67"/>
  <c r="C27" i="12"/>
  <c r="C25" i="12" s="1"/>
  <c r="C32" i="12" s="1"/>
  <c r="B2" i="12" s="1"/>
  <c r="B3" i="12" s="1"/>
  <c r="L57" i="15"/>
  <c r="L60" i="15" s="1"/>
  <c r="L46" i="15" s="1"/>
  <c r="C25" i="69"/>
  <c r="C22" i="69" s="1"/>
  <c r="C31" i="69" s="1"/>
  <c r="C46" i="69"/>
  <c r="C45" i="69" s="1"/>
  <c r="C46" i="68"/>
  <c r="C45" i="68" s="1"/>
  <c r="C43" i="68"/>
  <c r="C41" i="68" s="1"/>
  <c r="C10" i="71"/>
  <c r="D11" i="71"/>
  <c r="C56" i="11"/>
  <c r="C57" i="11" s="1"/>
  <c r="C41" i="69"/>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B3" i="90"/>
  <c r="C36" i="80" l="1"/>
  <c r="J14" i="80"/>
  <c r="J13" i="80" s="1"/>
  <c r="J23" i="80" s="1"/>
  <c r="C57" i="80"/>
  <c r="C64" i="80" s="1"/>
  <c r="J19" i="80"/>
  <c r="J17" i="80" s="1"/>
  <c r="C13" i="80"/>
  <c r="C75" i="80" s="1"/>
  <c r="Q49" i="80"/>
  <c r="C52" i="88"/>
  <c r="B2" i="88" s="1"/>
  <c r="C61" i="82"/>
  <c r="C59" i="82" s="1"/>
  <c r="C57" i="90"/>
  <c r="C56" i="90" s="1"/>
  <c r="Q48" i="82"/>
  <c r="L46" i="82"/>
  <c r="Q48" i="80"/>
  <c r="L46" i="80"/>
  <c r="C57" i="86"/>
  <c r="C56" i="86" s="1"/>
  <c r="C31" i="89"/>
  <c r="C52" i="89" s="1"/>
  <c r="B2" i="89" s="1"/>
  <c r="C31" i="87"/>
  <c r="C52" i="87" s="1"/>
  <c r="C57" i="87" s="1"/>
  <c r="C56" i="87" s="1"/>
  <c r="Q66" i="67"/>
  <c r="Q75" i="67" s="1"/>
  <c r="C31" i="84"/>
  <c r="C52" i="84" s="1"/>
  <c r="B2" i="84" s="1"/>
  <c r="B3" i="84" s="1"/>
  <c r="J13" i="82"/>
  <c r="J23" i="82" s="1"/>
  <c r="J16" i="82" s="1"/>
  <c r="J25" i="82" s="1"/>
  <c r="C75" i="82"/>
  <c r="C37" i="82"/>
  <c r="C30" i="82" s="1"/>
  <c r="C39" i="82" s="1"/>
  <c r="C56" i="82"/>
  <c r="C65" i="82" s="1"/>
  <c r="Q69" i="15"/>
  <c r="Q68" i="15" s="1"/>
  <c r="C40" i="15"/>
  <c r="C46" i="15" s="1"/>
  <c r="B2" i="67"/>
  <c r="J16" i="81"/>
  <c r="J25" i="81" s="1"/>
  <c r="C80" i="81"/>
  <c r="C79" i="81" s="1"/>
  <c r="C58" i="81"/>
  <c r="C67" i="81" s="1"/>
  <c r="C68" i="81" s="1"/>
  <c r="C71" i="81" s="1"/>
  <c r="Q69" i="81"/>
  <c r="Q68" i="81" s="1"/>
  <c r="C40" i="81"/>
  <c r="Q66" i="15"/>
  <c r="Q57" i="15"/>
  <c r="C49" i="69"/>
  <c r="C51" i="69" s="1"/>
  <c r="C52" i="69" s="1"/>
  <c r="B2" i="69" s="1"/>
  <c r="B3" i="69" s="1"/>
  <c r="C49" i="68"/>
  <c r="C51" i="68" s="1"/>
  <c r="D10" i="71"/>
  <c r="C9" i="71"/>
  <c r="M69" i="39"/>
  <c r="N67" i="39"/>
  <c r="R39" i="35"/>
  <c r="E38" i="35"/>
  <c r="M63" i="40"/>
  <c r="L65" i="40"/>
  <c r="L51" i="82"/>
  <c r="L51" i="15"/>
  <c r="D19" i="93"/>
  <c r="D19" i="92"/>
  <c r="B3" i="88"/>
  <c r="D20" i="93"/>
  <c r="L51" i="81"/>
  <c r="B3" i="89"/>
  <c r="J22" i="80" l="1"/>
  <c r="J16" i="80" s="1"/>
  <c r="J25" i="80" s="1"/>
  <c r="C61" i="80"/>
  <c r="C59" i="80" s="1"/>
  <c r="C56" i="80"/>
  <c r="C65" i="80" s="1"/>
  <c r="Q70" i="80"/>
  <c r="C37" i="80"/>
  <c r="C30" i="80" s="1"/>
  <c r="C39" i="80" s="1"/>
  <c r="Q69" i="80" s="1"/>
  <c r="C57" i="88"/>
  <c r="C56" i="88" s="1"/>
  <c r="C58" i="82"/>
  <c r="C67" i="82" s="1"/>
  <c r="C68" i="82" s="1"/>
  <c r="C71" i="82" s="1"/>
  <c r="D103" i="93"/>
  <c r="D21" i="93"/>
  <c r="D102" i="93"/>
  <c r="D21" i="92"/>
  <c r="D102" i="92"/>
  <c r="C57" i="89"/>
  <c r="C56" i="89" s="1"/>
  <c r="B2" i="87"/>
  <c r="B3" i="87" s="1"/>
  <c r="Q67" i="15"/>
  <c r="C57" i="84"/>
  <c r="C56" i="84" s="1"/>
  <c r="C80" i="82"/>
  <c r="C79" i="82" s="1"/>
  <c r="C40" i="82"/>
  <c r="Q47" i="82" s="1"/>
  <c r="Q53" i="82" s="1"/>
  <c r="Q69" i="82"/>
  <c r="Q68" i="82" s="1"/>
  <c r="Q56" i="15"/>
  <c r="Q62" i="15" s="1"/>
  <c r="Q47" i="15"/>
  <c r="Q53" i="15" s="1"/>
  <c r="B2" i="15"/>
  <c r="C83" i="15"/>
  <c r="C82" i="15" s="1"/>
  <c r="C43" i="15"/>
  <c r="Q65" i="15"/>
  <c r="Q75" i="15" s="1"/>
  <c r="Q67" i="81"/>
  <c r="Q67" i="82"/>
  <c r="C46" i="81"/>
  <c r="Q65" i="81"/>
  <c r="Q75" i="81" s="1"/>
  <c r="Q56" i="81"/>
  <c r="Q62" i="81" s="1"/>
  <c r="C83" i="81"/>
  <c r="C82" i="81" s="1"/>
  <c r="Q47" i="81"/>
  <c r="Q53" i="81" s="1"/>
  <c r="C43" i="81"/>
  <c r="B2" i="81"/>
  <c r="C8" i="71"/>
  <c r="T9" i="71"/>
  <c r="D9" i="71"/>
  <c r="U9" i="71" s="1"/>
  <c r="C57" i="69"/>
  <c r="C56" i="69" s="1"/>
  <c r="O67" i="39"/>
  <c r="O69" i="39" s="1"/>
  <c r="N69" i="39"/>
  <c r="F7" i="39"/>
  <c r="C39" i="35"/>
  <c r="B2" i="35" s="1"/>
  <c r="B3" i="35" s="1"/>
  <c r="C38" i="35"/>
  <c r="N63" i="40"/>
  <c r="M65" i="40"/>
  <c r="E43" i="35"/>
  <c r="F43" i="35" s="1"/>
  <c r="E42" i="35"/>
  <c r="F42" i="35" s="1"/>
  <c r="I43" i="35"/>
  <c r="J43" i="35" s="1"/>
  <c r="D19" i="91"/>
  <c r="C19" i="9"/>
  <c r="AO6" i="1"/>
  <c r="C19" i="83"/>
  <c r="AO8" i="1"/>
  <c r="D20" i="92"/>
  <c r="D103" i="92" l="1"/>
  <c r="C80" i="80"/>
  <c r="C79" i="80" s="1"/>
  <c r="C40" i="80"/>
  <c r="C83" i="80" s="1"/>
  <c r="C82" i="80" s="1"/>
  <c r="C58" i="80"/>
  <c r="C67" i="80" s="1"/>
  <c r="C68" i="80" s="1"/>
  <c r="C71" i="80" s="1"/>
  <c r="Q68" i="80"/>
  <c r="D21" i="91"/>
  <c r="D102" i="91"/>
  <c r="B3" i="15"/>
  <c r="C102" i="83"/>
  <c r="C21" i="83"/>
  <c r="C43" i="82"/>
  <c r="B2" i="82"/>
  <c r="Q56" i="82"/>
  <c r="Q62" i="82" s="1"/>
  <c r="Q65" i="82"/>
  <c r="Q75" i="82" s="1"/>
  <c r="C83" i="82"/>
  <c r="C82" i="82" s="1"/>
  <c r="C46" i="82"/>
  <c r="B6" i="70"/>
  <c r="B8" i="70"/>
  <c r="B3" i="81"/>
  <c r="C102" i="9"/>
  <c r="C21" i="9"/>
  <c r="D8" i="71"/>
  <c r="C7" i="71"/>
  <c r="H7" i="39"/>
  <c r="J7" i="39"/>
  <c r="S7" i="39"/>
  <c r="AA7" i="39"/>
  <c r="R47" i="39" s="1"/>
  <c r="O63" i="40"/>
  <c r="O65" i="40" s="1"/>
  <c r="N65" i="40"/>
  <c r="C20" i="9"/>
  <c r="C20" i="83"/>
  <c r="D20" i="91"/>
  <c r="C19" i="92"/>
  <c r="AO9" i="1"/>
  <c r="L51" i="80"/>
  <c r="C19" i="93"/>
  <c r="Q67" i="80" l="1"/>
  <c r="Q47" i="80"/>
  <c r="Q53" i="80" s="1"/>
  <c r="C43" i="80"/>
  <c r="B2" i="80"/>
  <c r="Q65" i="80"/>
  <c r="Q75" i="80" s="1"/>
  <c r="C46" i="80"/>
  <c r="Q56" i="80"/>
  <c r="Q62" i="80" s="1"/>
  <c r="G19" i="93"/>
  <c r="C21" i="93"/>
  <c r="C102" i="93"/>
  <c r="D22" i="93"/>
  <c r="B3" i="82"/>
  <c r="C102" i="92"/>
  <c r="D22" i="92"/>
  <c r="G19" i="92"/>
  <c r="C21" i="92"/>
  <c r="D103" i="91"/>
  <c r="C103" i="83"/>
  <c r="B9" i="70"/>
  <c r="B3" i="80"/>
  <c r="C103" i="9"/>
  <c r="D7" i="71"/>
  <c r="C6" i="71"/>
  <c r="W7" i="39"/>
  <c r="AC7" i="39"/>
  <c r="V47" i="39" s="1"/>
  <c r="I47" i="39" s="1"/>
  <c r="E47" i="39"/>
  <c r="R48" i="39"/>
  <c r="U7" i="39"/>
  <c r="AB7" i="39"/>
  <c r="T47" i="39" s="1"/>
  <c r="G47" i="39" s="1"/>
  <c r="J7" i="40"/>
  <c r="F7" i="40"/>
  <c r="H7" i="40"/>
  <c r="AO7" i="1"/>
  <c r="C20" i="93"/>
  <c r="C20" i="91"/>
  <c r="C19" i="91"/>
  <c r="C20" i="92"/>
  <c r="B7" i="70" l="1"/>
  <c r="B2" i="70" s="1"/>
  <c r="G19" i="91"/>
  <c r="G21" i="91" s="1"/>
  <c r="C102" i="91"/>
  <c r="C21" i="91"/>
  <c r="D22" i="91"/>
  <c r="C32" i="93"/>
  <c r="H118" i="93" s="1"/>
  <c r="D17" i="74" s="1"/>
  <c r="G21" i="93"/>
  <c r="C103" i="93"/>
  <c r="G20" i="93"/>
  <c r="G20" i="92"/>
  <c r="C103" i="92"/>
  <c r="C32" i="92"/>
  <c r="G21" i="92"/>
  <c r="C103" i="91"/>
  <c r="G20" i="91"/>
  <c r="C5" i="71"/>
  <c r="D6"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3"/>
  <c r="D19" i="9"/>
  <c r="C32" i="91" l="1"/>
  <c r="H118" i="91" s="1"/>
  <c r="E17" i="74"/>
  <c r="F17" i="74"/>
  <c r="I118" i="93"/>
  <c r="H119" i="93"/>
  <c r="H101" i="93"/>
  <c r="C104" i="93"/>
  <c r="H118" i="92"/>
  <c r="D16" i="74" s="1"/>
  <c r="D21" i="83"/>
  <c r="D102" i="83"/>
  <c r="G19" i="83"/>
  <c r="D22" i="83"/>
  <c r="B3" i="70"/>
  <c r="G19" i="9"/>
  <c r="G21" i="9" s="1"/>
  <c r="D22" i="9"/>
  <c r="D21" i="9"/>
  <c r="D102" i="9"/>
  <c r="D5" i="71"/>
  <c r="M20"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20" i="9"/>
  <c r="J16" i="74" l="1"/>
  <c r="E16" i="74"/>
  <c r="F16" i="74"/>
  <c r="H119" i="91"/>
  <c r="D15" i="74"/>
  <c r="I118" i="91"/>
  <c r="C105" i="91" s="1"/>
  <c r="C104" i="91"/>
  <c r="H101" i="91"/>
  <c r="M48" i="91" s="1"/>
  <c r="F37" i="6"/>
  <c r="C105" i="93"/>
  <c r="H102" i="93"/>
  <c r="H107" i="93"/>
  <c r="M48" i="93"/>
  <c r="D45" i="93"/>
  <c r="I118" i="92"/>
  <c r="H119" i="92"/>
  <c r="H101" i="92"/>
  <c r="C104" i="92"/>
  <c r="D103" i="83"/>
  <c r="G20" i="83"/>
  <c r="F36" i="6" s="1"/>
  <c r="D103" i="9"/>
  <c r="G20" i="9"/>
  <c r="C32" i="83"/>
  <c r="G21" i="83"/>
  <c r="C32" i="9"/>
  <c r="C42" i="40"/>
  <c r="C43" i="40"/>
  <c r="E47" i="40"/>
  <c r="F47" i="40" s="1"/>
  <c r="E46" i="40"/>
  <c r="F46" i="40" s="1"/>
  <c r="I47" i="40"/>
  <c r="J47" i="40" s="1"/>
  <c r="H107" i="91" l="1"/>
  <c r="D122" i="91" s="1"/>
  <c r="H102" i="91"/>
  <c r="D45" i="91"/>
  <c r="C64" i="91" s="1"/>
  <c r="C63" i="91" s="1"/>
  <c r="C67" i="91" s="1"/>
  <c r="D122" i="93"/>
  <c r="H108" i="93"/>
  <c r="M49" i="93"/>
  <c r="C72" i="93"/>
  <c r="C64" i="93"/>
  <c r="C63" i="93" s="1"/>
  <c r="C67" i="93" s="1"/>
  <c r="D53" i="93"/>
  <c r="C78" i="93"/>
  <c r="C73" i="93" s="1"/>
  <c r="D52" i="93"/>
  <c r="C93" i="93"/>
  <c r="C86" i="93" s="1"/>
  <c r="C85" i="93"/>
  <c r="D55" i="93"/>
  <c r="M53" i="93" s="1"/>
  <c r="H107" i="92"/>
  <c r="M48" i="92"/>
  <c r="D45" i="92"/>
  <c r="C105" i="92"/>
  <c r="H102" i="92"/>
  <c r="H118" i="83"/>
  <c r="B58" i="40"/>
  <c r="F58" i="40" s="1"/>
  <c r="B54" i="40"/>
  <c r="F54" i="40" s="1"/>
  <c r="B53" i="40"/>
  <c r="F53" i="40" s="1"/>
  <c r="B59" i="40"/>
  <c r="F59" i="40" s="1"/>
  <c r="B52" i="40"/>
  <c r="F52" i="40" s="1"/>
  <c r="B56" i="40"/>
  <c r="F56" i="40" s="1"/>
  <c r="B60" i="40"/>
  <c r="F60" i="40" s="1"/>
  <c r="B57" i="40"/>
  <c r="F57" i="40" s="1"/>
  <c r="B51" i="40"/>
  <c r="F51" i="40" s="1"/>
  <c r="F61" i="40"/>
  <c r="B2" i="40" s="1"/>
  <c r="B3" i="40" s="1"/>
  <c r="H118" i="9"/>
  <c r="I118" i="9" s="1"/>
  <c r="D14" i="74" l="1"/>
  <c r="H31" i="74"/>
  <c r="M49" i="91"/>
  <c r="L64" i="91" s="1"/>
  <c r="M64" i="91" s="1"/>
  <c r="H108" i="91"/>
  <c r="D123" i="93"/>
  <c r="G17" i="74"/>
  <c r="D123" i="91"/>
  <c r="G15" i="74"/>
  <c r="C72" i="91"/>
  <c r="D55" i="91"/>
  <c r="M53" i="91" s="1"/>
  <c r="D52" i="91"/>
  <c r="C78" i="91"/>
  <c r="C73" i="91" s="1"/>
  <c r="C85" i="91"/>
  <c r="D53" i="91"/>
  <c r="C93" i="91"/>
  <c r="C86" i="91" s="1"/>
  <c r="C79" i="93"/>
  <c r="L66" i="93"/>
  <c r="M66" i="93" s="1"/>
  <c r="L64" i="93"/>
  <c r="M64" i="93" s="1"/>
  <c r="L68" i="93"/>
  <c r="M68" i="93" s="1"/>
  <c r="L67" i="93"/>
  <c r="M67" i="93" s="1"/>
  <c r="L65" i="93"/>
  <c r="M65" i="93" s="1"/>
  <c r="L63" i="93"/>
  <c r="M63" i="93" s="1"/>
  <c r="C95" i="93"/>
  <c r="D59" i="93"/>
  <c r="M55" i="93" s="1"/>
  <c r="C68" i="93"/>
  <c r="D54" i="93" s="1"/>
  <c r="C72" i="92"/>
  <c r="C64" i="92"/>
  <c r="C63" i="92" s="1"/>
  <c r="C67" i="92" s="1"/>
  <c r="D53" i="92"/>
  <c r="C78" i="92"/>
  <c r="C73" i="92" s="1"/>
  <c r="D52" i="92"/>
  <c r="C93" i="92"/>
  <c r="C86" i="92" s="1"/>
  <c r="C85" i="92"/>
  <c r="D55" i="92"/>
  <c r="M53" i="92" s="1"/>
  <c r="D122" i="92"/>
  <c r="H108" i="92"/>
  <c r="M49" i="92"/>
  <c r="D59" i="91"/>
  <c r="M55" i="91" s="1"/>
  <c r="C68" i="91"/>
  <c r="D54" i="91" s="1"/>
  <c r="E15" i="74"/>
  <c r="F15" i="74"/>
  <c r="I118" i="83"/>
  <c r="H119" i="83"/>
  <c r="C104" i="83"/>
  <c r="H101" i="83"/>
  <c r="I4" i="52"/>
  <c r="H102" i="9"/>
  <c r="D7" i="53" s="1"/>
  <c r="B21" i="72" s="1"/>
  <c r="C105" i="9"/>
  <c r="H4" i="52"/>
  <c r="H101" i="9"/>
  <c r="C104" i="9"/>
  <c r="H119" i="9"/>
  <c r="H5" i="52" s="1"/>
  <c r="H32" i="74" l="1"/>
  <c r="I31" i="74"/>
  <c r="L67" i="91"/>
  <c r="M67" i="91" s="1"/>
  <c r="L65" i="91"/>
  <c r="M65" i="91" s="1"/>
  <c r="L68" i="91"/>
  <c r="M68" i="91" s="1"/>
  <c r="L66" i="91"/>
  <c r="M66" i="91" s="1"/>
  <c r="L63" i="91"/>
  <c r="M63" i="91" s="1"/>
  <c r="D123" i="92"/>
  <c r="G16" i="74"/>
  <c r="C79" i="91"/>
  <c r="C80" i="91" s="1"/>
  <c r="E80" i="91" s="1"/>
  <c r="E81" i="91" s="1"/>
  <c r="C95" i="91"/>
  <c r="C96" i="91" s="1"/>
  <c r="E96" i="91" s="1"/>
  <c r="E97" i="91" s="1"/>
  <c r="C96" i="93"/>
  <c r="E96" i="93" s="1"/>
  <c r="E97" i="93" s="1"/>
  <c r="M69" i="93"/>
  <c r="N69" i="93" s="1"/>
  <c r="C80" i="93"/>
  <c r="E80" i="93" s="1"/>
  <c r="E81" i="93" s="1"/>
  <c r="L66" i="92"/>
  <c r="M66" i="92" s="1"/>
  <c r="L64" i="92"/>
  <c r="M64" i="92" s="1"/>
  <c r="L68" i="92"/>
  <c r="M68" i="92" s="1"/>
  <c r="L67" i="92"/>
  <c r="M67" i="92" s="1"/>
  <c r="L65" i="92"/>
  <c r="M65" i="92" s="1"/>
  <c r="L63" i="92"/>
  <c r="M63" i="92" s="1"/>
  <c r="C95" i="92"/>
  <c r="D59" i="92"/>
  <c r="M55" i="92" s="1"/>
  <c r="C68" i="92"/>
  <c r="D54" i="92" s="1"/>
  <c r="C79" i="92"/>
  <c r="C105" i="83"/>
  <c r="H102" i="83"/>
  <c r="M48" i="83"/>
  <c r="D45" i="83"/>
  <c r="H107" i="83"/>
  <c r="F14" i="74"/>
  <c r="E14" i="74"/>
  <c r="B5" i="74"/>
  <c r="G37" i="6" s="1"/>
  <c r="H41" i="6" s="1"/>
  <c r="D5" i="53"/>
  <c r="H107" i="9"/>
  <c r="M48" i="9"/>
  <c r="D45" i="9"/>
  <c r="M69" i="91" l="1"/>
  <c r="N69" i="91" s="1"/>
  <c r="C97" i="91"/>
  <c r="D58" i="91" s="1"/>
  <c r="D56" i="91" s="1"/>
  <c r="M54" i="91" s="1"/>
  <c r="N57" i="91" s="1"/>
  <c r="N58" i="91" s="1"/>
  <c r="C81" i="93"/>
  <c r="C97" i="93"/>
  <c r="D58" i="93" s="1"/>
  <c r="D56" i="93" s="1"/>
  <c r="M54" i="93" s="1"/>
  <c r="N57" i="93" s="1"/>
  <c r="M69" i="92"/>
  <c r="N69" i="92" s="1"/>
  <c r="C80" i="92"/>
  <c r="E80" i="92" s="1"/>
  <c r="E81" i="92" s="1"/>
  <c r="C96" i="92"/>
  <c r="E96" i="92" s="1"/>
  <c r="E97" i="92" s="1"/>
  <c r="C81" i="91"/>
  <c r="H40" i="6"/>
  <c r="H42" i="6"/>
  <c r="G36" i="6"/>
  <c r="C72" i="83"/>
  <c r="C64" i="83"/>
  <c r="C63" i="83" s="1"/>
  <c r="C67" i="83" s="1"/>
  <c r="C78" i="83"/>
  <c r="C73" i="83" s="1"/>
  <c r="D52" i="83"/>
  <c r="C93" i="83"/>
  <c r="C86" i="83" s="1"/>
  <c r="C85" i="83"/>
  <c r="D53" i="83"/>
  <c r="D55" i="83"/>
  <c r="M53" i="83" s="1"/>
  <c r="D122" i="83"/>
  <c r="H108" i="83"/>
  <c r="M49" i="83"/>
  <c r="B20" i="72"/>
  <c r="D6" i="53"/>
  <c r="B22" i="72" s="1"/>
  <c r="C5" i="74"/>
  <c r="D5" i="74"/>
  <c r="C78" i="9"/>
  <c r="C73" i="9" s="1"/>
  <c r="D53" i="9"/>
  <c r="C72" i="9"/>
  <c r="D55" i="9"/>
  <c r="M53" i="9" s="1"/>
  <c r="D52" i="9"/>
  <c r="C85" i="9"/>
  <c r="C64" i="9"/>
  <c r="C63" i="9" s="1"/>
  <c r="C67" i="9" s="1"/>
  <c r="C93" i="9"/>
  <c r="C86" i="9" s="1"/>
  <c r="H108" i="9"/>
  <c r="D15" i="53" s="1"/>
  <c r="B31" i="72" s="1"/>
  <c r="D13" i="53"/>
  <c r="M49" i="9"/>
  <c r="D122" i="9"/>
  <c r="N59" i="91" l="1"/>
  <c r="N60" i="91" s="1"/>
  <c r="P57" i="91"/>
  <c r="D123" i="83"/>
  <c r="G14" i="74"/>
  <c r="B6" i="74" s="1"/>
  <c r="N58" i="93"/>
  <c r="P57" i="93"/>
  <c r="N59" i="93"/>
  <c r="C97" i="92"/>
  <c r="D58" i="92" s="1"/>
  <c r="D56" i="92" s="1"/>
  <c r="M54" i="92" s="1"/>
  <c r="N57" i="92" s="1"/>
  <c r="C81" i="92"/>
  <c r="C95" i="83"/>
  <c r="C96" i="83" s="1"/>
  <c r="E96" i="83" s="1"/>
  <c r="E97" i="83" s="1"/>
  <c r="L66" i="83"/>
  <c r="M66" i="83" s="1"/>
  <c r="L64" i="83"/>
  <c r="M64" i="83" s="1"/>
  <c r="L68" i="83"/>
  <c r="M68" i="83" s="1"/>
  <c r="L67" i="83"/>
  <c r="M67" i="83" s="1"/>
  <c r="L65" i="83"/>
  <c r="M65" i="83" s="1"/>
  <c r="L63" i="83"/>
  <c r="M63" i="83" s="1"/>
  <c r="D59" i="83"/>
  <c r="M55" i="83" s="1"/>
  <c r="C68" i="83"/>
  <c r="D54" i="83" s="1"/>
  <c r="C79" i="83"/>
  <c r="C95" i="9"/>
  <c r="C96" i="9" s="1"/>
  <c r="E96" i="9" s="1"/>
  <c r="E97" i="9" s="1"/>
  <c r="B30" i="72"/>
  <c r="D14" i="53"/>
  <c r="B32" i="72" s="1"/>
  <c r="D123" i="9"/>
  <c r="D9" i="52" s="1"/>
  <c r="D8" i="52"/>
  <c r="L63" i="9"/>
  <c r="M63" i="9" s="1"/>
  <c r="L65" i="9"/>
  <c r="M65" i="9" s="1"/>
  <c r="L67" i="9"/>
  <c r="M67" i="9" s="1"/>
  <c r="L68" i="9"/>
  <c r="M68" i="9" s="1"/>
  <c r="L66" i="9"/>
  <c r="M66" i="9" s="1"/>
  <c r="L64" i="9"/>
  <c r="M64" i="9" s="1"/>
  <c r="D59" i="9"/>
  <c r="M55" i="9" s="1"/>
  <c r="C68" i="9"/>
  <c r="D54" i="9" s="1"/>
  <c r="C79" i="9"/>
  <c r="N61" i="91" l="1"/>
  <c r="N61" i="93"/>
  <c r="N60" i="93"/>
  <c r="N58" i="92"/>
  <c r="P57" i="92"/>
  <c r="N59" i="92"/>
  <c r="M69" i="83"/>
  <c r="N69" i="83" s="1"/>
  <c r="C97" i="83"/>
  <c r="D58" i="83" s="1"/>
  <c r="D56" i="83" s="1"/>
  <c r="M54" i="83" s="1"/>
  <c r="N57" i="83" s="1"/>
  <c r="C80" i="83"/>
  <c r="E80" i="83" s="1"/>
  <c r="E81" i="83" s="1"/>
  <c r="C6" i="74"/>
  <c r="D6" i="74"/>
  <c r="C97" i="9"/>
  <c r="D58" i="9" s="1"/>
  <c r="D56" i="9" s="1"/>
  <c r="M54" i="9" s="1"/>
  <c r="N57" i="9" s="1"/>
  <c r="C80" i="9"/>
  <c r="E80" i="9" s="1"/>
  <c r="E81" i="9" s="1"/>
  <c r="M69" i="9"/>
  <c r="N69" i="9" s="1"/>
  <c r="N61" i="92" l="1"/>
  <c r="N60" i="92"/>
  <c r="C81" i="83"/>
  <c r="N58" i="83"/>
  <c r="P57" i="83"/>
  <c r="N59" i="83"/>
  <c r="C81" i="9"/>
  <c r="P57" i="9"/>
  <c r="N58" i="9"/>
  <c r="N59" i="9"/>
  <c r="N61" i="83" l="1"/>
  <c r="N60" i="83"/>
  <c r="N60" i="9"/>
  <c r="N61" i="9"/>
  <c r="C7" i="68"/>
  <c r="C5" i="68"/>
  <c r="C23" i="68" l="1"/>
  <c r="C20" i="68"/>
  <c r="C25" i="68" l="1"/>
  <c r="C22" i="68" s="1"/>
  <c r="C28" i="68"/>
  <c r="C27" i="68" s="1"/>
  <c r="C31" i="68" l="1"/>
  <c r="C52" i="68" s="1"/>
  <c r="C57" i="68" s="1"/>
  <c r="C56" i="68" s="1"/>
  <c r="B2" i="68" l="1"/>
  <c r="B3" i="68" l="1"/>
  <c r="D35" i="9"/>
  <c r="D34" i="91"/>
  <c r="D35" i="93"/>
  <c r="D34" i="83"/>
  <c r="D34" i="9"/>
  <c r="D35" i="91"/>
  <c r="D34" i="93"/>
  <c r="D35" i="83"/>
  <c r="D34" i="92"/>
  <c r="D35" i="92"/>
  <c r="C35" i="93" l="1"/>
  <c r="C35" i="92"/>
  <c r="C35" i="91"/>
  <c r="C35" i="9"/>
  <c r="C35" i="83"/>
  <c r="F118" i="93" l="1"/>
  <c r="C34" i="93"/>
  <c r="D118" i="93" s="1"/>
  <c r="D119" i="93" s="1"/>
  <c r="F118" i="92"/>
  <c r="C34" i="92"/>
  <c r="D118" i="92" s="1"/>
  <c r="D119" i="92" s="1"/>
  <c r="F118" i="91"/>
  <c r="C34" i="91"/>
  <c r="D118" i="91" s="1"/>
  <c r="D119" i="91" s="1"/>
  <c r="C34" i="9"/>
  <c r="D118" i="9" s="1"/>
  <c r="F118" i="9"/>
  <c r="C34" i="83"/>
  <c r="D118" i="83" s="1"/>
  <c r="F118" i="83"/>
  <c r="F31" i="74" l="1"/>
  <c r="D31" i="74" s="1"/>
  <c r="D32" i="74" s="1"/>
  <c r="D119" i="83"/>
  <c r="F119" i="93"/>
  <c r="G118" i="93"/>
  <c r="E118" i="93" s="1"/>
  <c r="F119" i="92"/>
  <c r="G118" i="92"/>
  <c r="E118" i="92" s="1"/>
  <c r="F119" i="91"/>
  <c r="G118" i="91"/>
  <c r="E118" i="91" s="1"/>
  <c r="F119" i="83"/>
  <c r="G118" i="83"/>
  <c r="E118" i="83" s="1"/>
  <c r="G118" i="9"/>
  <c r="F119" i="9"/>
  <c r="F5" i="52" s="1"/>
  <c r="B53" i="72" s="1"/>
  <c r="F4" i="52"/>
  <c r="B51" i="72" s="1"/>
  <c r="D4" i="52"/>
  <c r="B47" i="72" s="1"/>
  <c r="D119" i="9"/>
  <c r="D5" i="52" s="1"/>
  <c r="B49" i="72" s="1"/>
  <c r="G31" i="74" l="1"/>
  <c r="E31" i="74" s="1"/>
  <c r="F32" i="74"/>
  <c r="G4" i="52"/>
  <c r="B52" i="72" s="1"/>
  <c r="E118" i="9"/>
  <c r="E4" i="52" s="1"/>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0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0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F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100-000002000000}">
      <text>
        <r>
          <rPr>
            <sz val="11"/>
            <color indexed="81"/>
            <rFont val="宋体"/>
            <family val="3"/>
            <charset val="134"/>
          </rPr>
          <t xml:space="preserve">录入层数，将对应的结果录入至左侧相应层的楼层修正系数单元格中
</t>
        </r>
      </text>
    </comment>
    <comment ref="D17" authorId="2" shapeId="0" xr:uid="{00000000-0006-0000-3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3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3100-000005000000}">
      <text>
        <r>
          <rPr>
            <sz val="9"/>
            <color indexed="81"/>
            <rFont val="宋体"/>
            <family val="3"/>
            <charset val="134"/>
          </rPr>
          <t xml:space="preserve">需在此处填写剩余土地年限
</t>
        </r>
      </text>
    </comment>
    <comment ref="C99" authorId="0" shapeId="0" xr:uid="{00000000-0006-0000-3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3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3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3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3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3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3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3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3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3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3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3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3100-000012000000}">
      <text>
        <r>
          <rPr>
            <b/>
            <sz val="9"/>
            <color indexed="81"/>
            <rFont val="宋体"/>
            <family val="3"/>
            <charset val="134"/>
          </rPr>
          <t xml:space="preserve">容积率
</t>
        </r>
      </text>
    </comment>
    <comment ref="D101" authorId="0" shapeId="0" xr:uid="{00000000-0006-0000-3100-000013000000}">
      <text>
        <r>
          <rPr>
            <b/>
            <sz val="9"/>
            <color indexed="81"/>
            <rFont val="宋体"/>
            <family val="3"/>
            <charset val="134"/>
          </rPr>
          <t xml:space="preserve">容积率
</t>
        </r>
      </text>
    </comment>
    <comment ref="E101" authorId="0" shapeId="0" xr:uid="{00000000-0006-0000-3100-000014000000}">
      <text>
        <r>
          <rPr>
            <b/>
            <sz val="9"/>
            <color indexed="81"/>
            <rFont val="宋体"/>
            <family val="3"/>
            <charset val="134"/>
          </rPr>
          <t xml:space="preserve">容积率
</t>
        </r>
      </text>
    </comment>
    <comment ref="F101" authorId="0" shapeId="0" xr:uid="{00000000-0006-0000-3100-000015000000}">
      <text>
        <r>
          <rPr>
            <b/>
            <sz val="9"/>
            <color indexed="81"/>
            <rFont val="宋体"/>
            <family val="3"/>
            <charset val="134"/>
          </rPr>
          <t xml:space="preserve">容积率
</t>
        </r>
      </text>
    </comment>
    <comment ref="G101" authorId="0" shapeId="0" xr:uid="{00000000-0006-0000-3100-000016000000}">
      <text>
        <r>
          <rPr>
            <b/>
            <sz val="9"/>
            <color indexed="81"/>
            <rFont val="宋体"/>
            <family val="3"/>
            <charset val="134"/>
          </rPr>
          <t xml:space="preserve">容积率
</t>
        </r>
      </text>
    </comment>
    <comment ref="H101" authorId="0" shapeId="0" xr:uid="{00000000-0006-0000-3100-000017000000}">
      <text>
        <r>
          <rPr>
            <b/>
            <sz val="9"/>
            <color indexed="81"/>
            <rFont val="宋体"/>
            <family val="3"/>
            <charset val="134"/>
          </rPr>
          <t xml:space="preserve">容积率
</t>
        </r>
      </text>
    </comment>
    <comment ref="I101" authorId="0" shapeId="0" xr:uid="{00000000-0006-0000-3100-000018000000}">
      <text>
        <r>
          <rPr>
            <b/>
            <sz val="9"/>
            <color indexed="81"/>
            <rFont val="宋体"/>
            <family val="3"/>
            <charset val="134"/>
          </rPr>
          <t xml:space="preserve">容积率
</t>
        </r>
      </text>
    </comment>
    <comment ref="J101" authorId="0" shapeId="0" xr:uid="{00000000-0006-0000-3100-000019000000}">
      <text>
        <r>
          <rPr>
            <b/>
            <sz val="9"/>
            <color indexed="81"/>
            <rFont val="宋体"/>
            <family val="3"/>
            <charset val="134"/>
          </rPr>
          <t xml:space="preserve">容积率
</t>
        </r>
      </text>
    </comment>
    <comment ref="K101" authorId="0" shapeId="0" xr:uid="{00000000-0006-0000-3100-00001A000000}">
      <text>
        <r>
          <rPr>
            <b/>
            <sz val="9"/>
            <color indexed="81"/>
            <rFont val="宋体"/>
            <family val="3"/>
            <charset val="134"/>
          </rPr>
          <t xml:space="preserve">容积率
</t>
        </r>
      </text>
    </comment>
    <comment ref="L101" authorId="0" shapeId="0" xr:uid="{00000000-0006-0000-3100-00001B000000}">
      <text>
        <r>
          <rPr>
            <b/>
            <sz val="9"/>
            <color indexed="81"/>
            <rFont val="宋体"/>
            <family val="3"/>
            <charset val="134"/>
          </rPr>
          <t xml:space="preserve">容积率
</t>
        </r>
      </text>
    </comment>
    <comment ref="M101" authorId="0" shapeId="0" xr:uid="{00000000-0006-0000-3100-00001C000000}">
      <text>
        <r>
          <rPr>
            <b/>
            <sz val="9"/>
            <color indexed="81"/>
            <rFont val="宋体"/>
            <family val="3"/>
            <charset val="134"/>
          </rPr>
          <t xml:space="preserve">容积率
</t>
        </r>
      </text>
    </comment>
    <comment ref="N101" authorId="0" shapeId="0" xr:uid="{00000000-0006-0000-3100-00001D000000}">
      <text>
        <r>
          <rPr>
            <b/>
            <sz val="9"/>
            <color indexed="81"/>
            <rFont val="宋体"/>
            <family val="3"/>
            <charset val="134"/>
          </rPr>
          <t xml:space="preserve">容积率
</t>
        </r>
      </text>
    </comment>
    <comment ref="C108" authorId="0" shapeId="0" xr:uid="{00000000-0006-0000-3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3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3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3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3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3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3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3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3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3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3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3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3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2"/>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<sst xmlns="http://schemas.openxmlformats.org/spreadsheetml/2006/main" count="11496" uniqueCount="3804">
  <si>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</si>
  <si>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</si>
  <si>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</si>
  <si>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</si>
  <si>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</si>
  <si>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</si>
  <si>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</si>
  <si>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</si>
  <si>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</si>
  <si>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</si>
  <si>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</si>
  <si>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</si>
  <si>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</si>
  <si>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</si>
  <si>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</si>
  <si>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</si>
  <si>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</si>
  <si>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</si>
  <si>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</si>
  <si>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</si>
  <si>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</si>
  <si>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</si>
  <si>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</si>
  <si>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</si>
  <si>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</si>
  <si>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</si>
  <si>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</si>
  <si>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</si>
  <si>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</si>
  <si>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</si>
  <si>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</si>
  <si>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</si>
  <si>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</si>
  <si>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</si>
  <si>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</si>
  <si>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</si>
  <si>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</si>
  <si>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</si>
  <si>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</si>
  <si>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</si>
  <si>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</si>
  <si>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</si>
  <si>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</si>
  <si>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</si>
  <si>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</si>
  <si>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</si>
  <si>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</si>
  <si>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</si>
  <si>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</si>
  <si>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</si>
  <si>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</si>
  <si>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</si>
  <si>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</si>
  <si>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</si>
  <si>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</si>
  <si>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</si>
  <si>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</si>
  <si>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</si>
  <si>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</si>
  <si>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</si>
  <si>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</si>
  <si>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</si>
  <si>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</si>
  <si>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</si>
  <si>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</si>
  <si>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</si>
  <si>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</si>
  <si>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</si>
  <si>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</si>
  <si>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</si>
  <si>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</si>
  <si>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</si>
  <si>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</si>
  <si>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</si>
  <si>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</si>
  <si>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</si>
  <si>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</si>
  <si>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</si>
  <si>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</si>
  <si>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</si>
  <si>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</si>
  <si>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</si>
  <si>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</si>
  <si>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</si>
  <si>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</si>
  <si>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</si>
  <si>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</si>
  <si>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</si>
  <si>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</si>
  <si>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</si>
  <si>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</si>
  <si>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</si>
  <si>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</si>
  <si>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</si>
  <si>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</si>
  <si>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</si>
  <si>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</si>
  <si>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</si>
  <si>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</si>
  <si>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</si>
  <si>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</si>
  <si>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</si>
  <si>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</si>
  <si>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</si>
  <si>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</si>
  <si>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</si>
  <si>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</si>
  <si>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</si>
  <si>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</si>
  <si>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</si>
  <si>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</si>
  <si>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</si>
  <si>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</si>
  <si>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</si>
  <si>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</si>
  <si>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</si>
  <si>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</si>
  <si>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</si>
  <si>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</si>
  <si>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</si>
  <si>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</si>
  <si>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</si>
  <si>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</si>
  <si>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</si>
  <si>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</si>
  <si>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</si>
  <si>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</si>
  <si>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</si>
  <si>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</si>
  <si>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</si>
  <si>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</si>
  <si>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</si>
  <si>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</si>
  <si>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</si>
  <si>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</si>
  <si>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</si>
  <si>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</si>
  <si>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</si>
  <si>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</si>
  <si>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</si>
  <si>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</si>
  <si>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</si>
  <si>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</si>
  <si>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</si>
  <si>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</si>
  <si>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</si>
  <si>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</si>
  <si>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</si>
  <si>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</si>
  <si>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</si>
  <si>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</si>
  <si>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</si>
  <si>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</si>
  <si>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</si>
  <si>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</si>
  <si>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</si>
  <si>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</si>
  <si>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</si>
  <si>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</si>
  <si>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</si>
  <si>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</si>
  <si>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</si>
  <si>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</si>
  <si>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</si>
  <si>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</si>
  <si>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</si>
  <si>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</si>
  <si>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</si>
  <si>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</si>
  <si>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</si>
  <si>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</si>
  <si>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</si>
  <si>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</si>
  <si>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</si>
  <si>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</si>
  <si>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</si>
  <si>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</si>
  <si>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</si>
  <si>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</si>
  <si>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</si>
  <si>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</si>
  <si>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</si>
  <si>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</si>
  <si>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</si>
  <si>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</si>
  <si>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</si>
  <si>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</si>
  <si>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</si>
  <si>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</si>
  <si>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</si>
  <si>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</si>
  <si>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</si>
  <si>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</si>
  <si>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</si>
  <si>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</si>
  <si>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</si>
  <si>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</si>
  <si>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</si>
  <si>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</si>
  <si>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</si>
  <si>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</si>
  <si>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</si>
  <si>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</si>
  <si>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</si>
  <si>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</si>
  <si>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</si>
  <si>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</si>
  <si>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</si>
  <si>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</si>
  <si>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</si>
  <si>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</si>
  <si>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</si>
  <si>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</si>
  <si>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</si>
  <si>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</si>
  <si>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</si>
  <si>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</si>
  <si>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</si>
  <si>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</si>
  <si>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</si>
  <si>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</si>
  <si>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</si>
  <si>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</si>
  <si>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</si>
  <si>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</si>
  <si>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</si>
  <si>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</si>
  <si>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</si>
  <si>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</si>
  <si>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</si>
  <si>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</si>
  <si>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</si>
  <si>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</si>
  <si>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</si>
  <si>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</si>
  <si>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</si>
  <si>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</si>
  <si>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</si>
  <si>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</si>
  <si>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</si>
  <si>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</si>
  <si>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</si>
  <si>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</si>
  <si>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</si>
  <si>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</si>
  <si>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</si>
  <si>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</si>
  <si>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</si>
  <si>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</si>
  <si>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</si>
  <si>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</si>
  <si>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</si>
  <si>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</si>
  <si>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</si>
  <si>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</si>
  <si>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</si>
  <si>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</si>
  <si>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</si>
  <si>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</si>
  <si>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</si>
  <si>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</si>
  <si>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</si>
  <si>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</si>
  <si>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</si>
  <si>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</si>
  <si>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</si>
  <si>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</si>
  <si>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</si>
  <si>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</si>
  <si>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</si>
  <si>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</si>
  <si>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</si>
  <si>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</si>
  <si>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</si>
  <si>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</si>
  <si>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</si>
  <si>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</si>
  <si>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</si>
  <si>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</si>
  <si>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</si>
  <si>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</si>
  <si>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</si>
  <si>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</si>
  <si>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</si>
  <si>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</si>
  <si>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</si>
  <si>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</si>
  <si>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</si>
  <si>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</si>
  <si>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</si>
  <si>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</si>
  <si>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</si>
  <si>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</si>
  <si>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</si>
  <si>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</si>
  <si>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</si>
  <si>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</si>
  <si>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</si>
  <si>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</si>
  <si>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</si>
  <si>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</si>
  <si>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</si>
  <si>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</si>
  <si>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</si>
  <si>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</si>
  <si>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</si>
  <si>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</si>
  <si>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</si>
  <si>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</si>
  <si>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</si>
  <si>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</si>
  <si>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</si>
  <si>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</si>
  <si>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</si>
  <si>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</si>
  <si>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</si>
  <si>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</si>
  <si>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</si>
  <si>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</si>
  <si>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</si>
  <si>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</si>
  <si>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</si>
  <si>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</si>
  <si>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</si>
  <si>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</si>
  <si>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</si>
  <si>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</si>
  <si>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</si>
  <si>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</si>
  <si>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</si>
  <si>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</si>
  <si>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</si>
  <si>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</si>
  <si>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</si>
  <si>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</si>
  <si>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</si>
  <si>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</si>
  <si>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</si>
  <si>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</si>
  <si>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</si>
  <si>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</si>
  <si>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</si>
  <si>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</si>
  <si>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</si>
  <si>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</si>
  <si>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</si>
  <si>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</si>
  <si>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</si>
  <si>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</si>
  <si>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</si>
  <si>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</si>
  <si>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</si>
  <si>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</si>
  <si>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</si>
  <si>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</si>
  <si>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</si>
  <si>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</si>
  <si>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</si>
  <si>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</si>
  <si>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</si>
  <si>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</si>
  <si>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</si>
  <si>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</si>
  <si>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</si>
  <si>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</si>
  <si>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</si>
  <si>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</si>
  <si>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</si>
  <si>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</si>
  <si>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</si>
  <si>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</si>
  <si>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</si>
  <si>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</si>
  <si>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</si>
  <si>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</si>
  <si>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</si>
  <si>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</si>
  <si>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</si>
  <si>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</si>
  <si>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</si>
  <si>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</si>
  <si>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</si>
  <si>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</si>
  <si>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</si>
  <si>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</si>
  <si>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</si>
  <si>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</si>
  <si>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</si>
  <si>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</si>
  <si>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</si>
  <si>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</si>
  <si>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</si>
  <si>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</si>
  <si>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</si>
  <si>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</si>
  <si>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</si>
  <si>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</si>
  <si>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</si>
  <si>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</si>
  <si>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</si>
  <si>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</si>
  <si>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</si>
  <si>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</si>
  <si>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</si>
  <si>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</si>
  <si>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</si>
  <si>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</si>
  <si>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</si>
  <si>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</si>
  <si>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</si>
  <si>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</si>
  <si>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</si>
  <si>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</si>
  <si>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</si>
  <si>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</si>
  <si>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</si>
  <si>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</si>
  <si>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</si>
  <si>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</si>
  <si>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</si>
  <si>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</si>
  <si>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</si>
  <si>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</si>
  <si>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</si>
  <si>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</si>
  <si>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</si>
  <si>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</si>
  <si>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</si>
  <si>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</si>
  <si>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</si>
  <si>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</si>
  <si>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</si>
  <si>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</si>
  <si>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</si>
  <si>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</si>
  <si>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</si>
  <si>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</si>
  <si>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</si>
  <si>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</si>
  <si>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</si>
  <si>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</si>
  <si>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</si>
  <si>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</si>
  <si>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</si>
  <si>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</si>
  <si>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</si>
  <si>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</si>
  <si>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</si>
  <si>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</si>
  <si>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</si>
  <si>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</si>
  <si>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</si>
  <si>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</si>
  <si>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</si>
  <si>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</si>
  <si>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</si>
  <si>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</si>
  <si>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</si>
  <si>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</si>
  <si>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</si>
  <si>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</si>
  <si>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</si>
  <si>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</si>
  <si>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</si>
  <si>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</si>
  <si>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</si>
  <si>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</si>
  <si>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</si>
  <si>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</si>
  <si>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</si>
  <si>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</si>
  <si>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</si>
  <si>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</si>
  <si>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</si>
  <si>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</si>
  <si>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</si>
  <si>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</si>
  <si>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</si>
  <si>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</si>
  <si>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</si>
  <si>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</si>
  <si>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</si>
  <si>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</si>
  <si>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</si>
  <si>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</si>
  <si>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</si>
  <si>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</si>
  <si>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</si>
  <si>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</si>
  <si>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</si>
  <si>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</si>
  <si>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</si>
  <si>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</si>
  <si>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</si>
  <si>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</si>
  <si>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</si>
  <si>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</si>
  <si>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</si>
  <si>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</si>
  <si>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</si>
  <si>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</si>
  <si>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</si>
  <si>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</si>
  <si>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</si>
  <si>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</si>
  <si>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</si>
  <si>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</si>
  <si>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</si>
  <si>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</si>
  <si>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</si>
  <si>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</si>
  <si>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</si>
  <si>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</si>
  <si>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</si>
  <si>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</si>
  <si>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</si>
  <si>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</si>
  <si>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</si>
  <si>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</si>
  <si>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</si>
  <si>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</si>
  <si>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</si>
  <si>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</si>
  <si>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</si>
  <si>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</si>
  <si>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</si>
  <si>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</si>
  <si>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</si>
  <si>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</si>
  <si>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</si>
  <si>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</si>
  <si>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</si>
  <si>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</si>
  <si>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</si>
  <si>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</si>
  <si>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</si>
  <si>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</si>
  <si>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</si>
  <si>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</si>
  <si>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</si>
  <si>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</si>
  <si>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</si>
  <si>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</si>
  <si>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</si>
  <si>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</si>
  <si>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</si>
  <si>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</si>
  <si>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</si>
  <si>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</si>
  <si>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</si>
  <si>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</si>
  <si>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</si>
  <si>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</si>
  <si>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</si>
  <si>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</si>
  <si>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</si>
  <si>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</si>
  <si>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</si>
  <si>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</si>
  <si>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</si>
  <si>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</si>
  <si>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</si>
  <si>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</si>
  <si>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</si>
  <si>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</si>
  <si>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</si>
  <si>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</si>
  <si>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</si>
  <si>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</si>
  <si>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</si>
  <si>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</si>
  <si>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</si>
  <si>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</si>
  <si>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</si>
  <si>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</si>
  <si>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</si>
  <si>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</si>
  <si>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</si>
  <si>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</si>
  <si>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</si>
  <si>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</si>
  <si>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</si>
  <si>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</si>
  <si>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</si>
  <si>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</si>
  <si>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</si>
  <si>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</si>
  <si>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</si>
  <si>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</si>
  <si>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</si>
  <si>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</si>
  <si>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</si>
  <si>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</si>
  <si>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</si>
  <si>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</si>
  <si>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</si>
  <si>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</si>
  <si>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</si>
  <si>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</si>
  <si>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</si>
  <si>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</si>
  <si>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</si>
  <si>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</si>
  <si>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</si>
  <si>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</si>
  <si>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</si>
  <si>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</si>
  <si>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</si>
  <si>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</si>
  <si>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</si>
  <si>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</si>
  <si>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</si>
  <si>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</si>
  <si>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</si>
  <si>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</si>
  <si>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</si>
  <si>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</si>
  <si>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</si>
  <si>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</si>
  <si>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</si>
  <si>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</si>
  <si>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</si>
  <si>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</si>
  <si>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</si>
  <si>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</si>
  <si>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</si>
  <si>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</si>
  <si>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</si>
  <si>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</si>
  <si>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</si>
  <si>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</si>
  <si>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</si>
  <si>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</si>
  <si>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</si>
  <si>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</si>
  <si>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</si>
  <si>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</si>
  <si>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</si>
  <si>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</si>
  <si>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</si>
  <si>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</si>
  <si>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</si>
  <si>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</si>
  <si>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</si>
  <si>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</si>
  <si>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</si>
  <si>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</si>
  <si>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</si>
  <si>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</si>
  <si>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</si>
  <si>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</si>
  <si>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</si>
  <si>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</si>
  <si>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</si>
  <si>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</si>
  <si>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</si>
  <si>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</si>
  <si>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</si>
  <si>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</si>
  <si>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</si>
  <si>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</si>
  <si>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</si>
  <si>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</si>
  <si>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</si>
  <si>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</si>
  <si>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</si>
  <si>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</si>
  <si>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</si>
  <si>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</si>
  <si>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</si>
  <si>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</si>
  <si>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</si>
  <si>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</si>
  <si>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</si>
  <si>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</si>
  <si>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</si>
  <si>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</si>
  <si>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</si>
  <si>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</si>
  <si>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</si>
  <si>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</si>
  <si>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</si>
  <si>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</si>
  <si>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</si>
  <si>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</si>
  <si>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</si>
  <si>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</si>
  <si>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</si>
  <si>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</si>
  <si>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</si>
  <si>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</si>
  <si>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</si>
  <si>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</si>
  <si>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</si>
  <si>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</si>
  <si>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</si>
  <si>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</si>
  <si>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</si>
  <si>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</si>
  <si>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</si>
  <si>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</si>
  <si>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</si>
  <si>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</si>
  <si>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</si>
  <si>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</si>
  <si>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</si>
  <si>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</si>
  <si>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</si>
  <si>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</si>
  <si>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</si>
  <si>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</si>
  <si>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</si>
  <si>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</si>
  <si>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</si>
  <si>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</si>
  <si>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</si>
  <si>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</si>
  <si>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</si>
  <si>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</si>
  <si>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</si>
  <si>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</si>
  <si>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</si>
  <si>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</si>
  <si>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</si>
  <si>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</si>
  <si>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</si>
  <si>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</si>
  <si>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</si>
  <si>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</si>
  <si>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</si>
  <si>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</si>
  <si>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</si>
  <si>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</si>
  <si>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</si>
  <si>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</si>
  <si>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</si>
  <si>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</si>
  <si>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</si>
  <si>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</si>
  <si>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</si>
  <si>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</si>
  <si>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</si>
  <si>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</si>
  <si>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</si>
  <si>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</si>
  <si>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</si>
  <si>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</si>
  <si>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</si>
  <si>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</si>
  <si>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</si>
  <si>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</si>
  <si>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</si>
  <si>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</si>
  <si>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</si>
  <si>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</si>
  <si>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</si>
  <si>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</si>
  <si>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</si>
  <si>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</si>
  <si>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</si>
  <si>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</si>
  <si>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</si>
  <si>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</si>
  <si>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</si>
  <si>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</si>
  <si>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</si>
  <si>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</si>
  <si>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</si>
  <si>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</si>
  <si>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</si>
  <si>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</si>
  <si>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</si>
  <si>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</si>
  <si>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</si>
  <si>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</si>
  <si>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</si>
  <si>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</si>
  <si>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</si>
  <si>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</si>
  <si>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</si>
  <si>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</si>
  <si>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</si>
  <si>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</si>
  <si>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</si>
  <si>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</si>
  <si>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</si>
  <si>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</si>
  <si>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</si>
  <si>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</si>
  <si>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</si>
  <si>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</si>
  <si>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</si>
  <si>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</si>
  <si>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</si>
  <si>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</si>
  <si>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</si>
  <si>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</si>
  <si>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</si>
  <si>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</si>
  <si>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</si>
  <si>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</si>
  <si>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</si>
  <si>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</si>
  <si>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</si>
  <si>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</si>
  <si>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</si>
  <si>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</si>
  <si>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</si>
  <si>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</si>
  <si>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</si>
  <si>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</si>
  <si>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</si>
  <si>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</si>
  <si>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</si>
  <si>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</si>
  <si>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</si>
  <si>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</si>
  <si>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</si>
  <si>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</si>
  <si>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</si>
  <si>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</si>
  <si>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</si>
  <si>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</si>
  <si>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</si>
  <si>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</si>
  <si>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</si>
  <si>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</si>
  <si>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</si>
  <si>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</si>
  <si>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</si>
  <si>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</si>
  <si>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</si>
  <si>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</si>
  <si>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</si>
  <si>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</si>
  <si>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</si>
  <si>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</si>
  <si>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</si>
  <si>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</si>
  <si>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</si>
  <si>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</si>
  <si>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</si>
  <si>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</si>
  <si>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</si>
  <si>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</si>
  <si>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</si>
  <si>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</si>
  <si>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</si>
  <si>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</si>
  <si>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</si>
  <si>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</si>
  <si>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</si>
  <si>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</si>
  <si>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</si>
  <si>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</si>
  <si>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</si>
  <si>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</si>
  <si>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</si>
  <si>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</si>
  <si>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</si>
  <si>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</si>
  <si>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</si>
  <si>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</si>
  <si>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</si>
  <si>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</si>
  <si>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</si>
  <si>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</si>
  <si>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</si>
  <si>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</si>
  <si>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</si>
  <si>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</si>
  <si>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</si>
  <si>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</si>
  <si>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</si>
  <si>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</si>
  <si>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</si>
  <si>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</si>
  <si>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</si>
  <si>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</si>
  <si>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</si>
  <si>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</si>
  <si>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</si>
  <si>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</si>
  <si>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</si>
  <si>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</si>
  <si>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</si>
  <si>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</si>
  <si>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</si>
  <si>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</si>
  <si>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</si>
  <si>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</si>
  <si>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</si>
  <si>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</si>
  <si>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</si>
  <si>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</si>
  <si>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</si>
  <si>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</si>
  <si>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</si>
  <si>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</si>
  <si>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</si>
  <si>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</si>
  <si>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</si>
  <si>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</si>
  <si>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</si>
  <si>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</si>
  <si>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</si>
  <si>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</si>
  <si>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</si>
  <si>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</si>
  <si>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</si>
  <si>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</si>
  <si>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</si>
  <si>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</si>
  <si>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</si>
  <si>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</si>
  <si>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</si>
  <si>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</si>
  <si>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</si>
  <si>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</si>
  <si>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</si>
  <si>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</si>
  <si>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</si>
  <si>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</si>
  <si>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</si>
  <si>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</si>
  <si>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</si>
  <si>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</si>
  <si>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</si>
  <si>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</si>
  <si>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</si>
  <si>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</si>
  <si>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</si>
  <si>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</si>
  <si>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</si>
  <si>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</si>
  <si>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</si>
  <si>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</si>
  <si>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</si>
  <si>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</si>
  <si>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</si>
  <si>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</si>
  <si>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</si>
  <si>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</si>
  <si>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</si>
  <si>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</si>
  <si>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</si>
  <si>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</si>
  <si>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</si>
  <si>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</si>
  <si>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</si>
  <si>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</si>
  <si>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</si>
  <si>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</si>
  <si>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</si>
  <si>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</si>
  <si>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</si>
  <si>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</si>
  <si>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</si>
  <si>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</si>
  <si>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</si>
  <si>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</si>
  <si>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</si>
  <si>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</si>
  <si>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</si>
  <si>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</si>
  <si>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</si>
  <si>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</si>
  <si>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</si>
  <si>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</si>
  <si>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</si>
  <si>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</si>
  <si>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</si>
  <si>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</si>
  <si>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</si>
  <si>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</si>
  <si>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</si>
  <si>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</si>
  <si>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</si>
  <si>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</si>
  <si>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</si>
  <si>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</si>
  <si>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</si>
  <si>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</si>
  <si>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</si>
  <si>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</si>
  <si>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</si>
  <si>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</si>
  <si>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</si>
  <si>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</si>
  <si>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</si>
  <si>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</si>
  <si>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</si>
  <si>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</si>
  <si>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</si>
  <si>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</si>
  <si>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</si>
  <si>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</si>
  <si>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</si>
  <si>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</si>
  <si>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</si>
  <si>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</si>
  <si>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</si>
  <si>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</si>
  <si>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</si>
  <si>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</si>
  <si>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</si>
  <si>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</si>
  <si>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</si>
  <si>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</si>
  <si>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</si>
  <si>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</si>
  <si>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</si>
  <si>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</si>
  <si>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</si>
  <si>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</si>
  <si>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</si>
  <si>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</si>
  <si>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</si>
  <si>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</si>
  <si>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</si>
  <si>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</si>
  <si>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</si>
  <si>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</si>
  <si>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</si>
  <si>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</si>
  <si>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</si>
  <si>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</si>
  <si>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</si>
  <si>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</si>
  <si>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</si>
  <si>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</si>
  <si>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</si>
  <si>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</si>
  <si>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</si>
  <si>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</si>
  <si>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</si>
  <si>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</si>
  <si>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</si>
  <si>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</si>
  <si>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</si>
  <si>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</si>
  <si>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</si>
  <si>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</si>
  <si>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</si>
  <si>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</si>
  <si>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</si>
  <si>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</si>
  <si>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</si>
  <si>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</si>
  <si>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</si>
  <si>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</si>
  <si>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</si>
  <si>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</si>
  <si>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</si>
  <si>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</si>
  <si>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</si>
  <si>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</si>
  <si>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</si>
  <si>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</si>
  <si>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</si>
  <si>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</si>
  <si>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</si>
  <si>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</si>
  <si>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</si>
  <si>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</si>
  <si>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</si>
  <si>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</si>
  <si>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</si>
  <si>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</si>
  <si>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</si>
  <si>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</si>
  <si>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</si>
  <si>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</si>
  <si>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</si>
  <si>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</si>
  <si>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</si>
  <si>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</si>
  <si>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</si>
  <si>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</si>
  <si>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</si>
  <si>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</si>
  <si>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</si>
  <si>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</si>
  <si>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</si>
  <si>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</si>
  <si>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</si>
  <si>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</si>
  <si>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</si>
  <si>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</si>
  <si>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</si>
  <si>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</si>
  <si>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</si>
  <si>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</si>
  <si>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</si>
  <si>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</si>
  <si>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</si>
  <si>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</si>
  <si>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</si>
  <si>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</si>
  <si>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</si>
  <si>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</si>
  <si>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</si>
  <si>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</si>
  <si>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</si>
  <si>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</si>
  <si>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</si>
  <si>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</si>
  <si>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</si>
  <si>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</si>
  <si>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</si>
  <si>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</si>
  <si>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</si>
  <si>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</si>
  <si>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</si>
  <si>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</si>
  <si>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</si>
  <si>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</si>
  <si>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</si>
  <si>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</si>
  <si>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</si>
  <si>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</si>
  <si>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</si>
  <si>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</si>
  <si>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</si>
  <si>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</si>
  <si>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</si>
  <si>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</si>
  <si>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</si>
  <si>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</si>
  <si>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</si>
  <si>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</si>
  <si>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</si>
  <si>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</si>
  <si>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</si>
  <si>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</si>
  <si>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</si>
  <si>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</si>
  <si>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</si>
  <si>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</si>
  <si>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</si>
  <si>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</si>
  <si>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</si>
  <si>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</si>
  <si>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</si>
  <si>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</si>
  <si>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</si>
  <si>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</si>
  <si>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</si>
  <si>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</si>
  <si>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</si>
  <si>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</si>
  <si>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</si>
  <si>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</si>
  <si>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</si>
  <si>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</si>
  <si>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</si>
  <si>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</si>
  <si>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</si>
  <si>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</si>
  <si>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</si>
  <si>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</si>
  <si>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</si>
  <si>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</si>
  <si>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</si>
  <si>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</si>
  <si>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</si>
  <si>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</si>
  <si>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</si>
  <si>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</si>
  <si>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</si>
  <si>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</si>
  <si>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</si>
  <si>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</si>
  <si>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</si>
  <si>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</si>
  <si>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</si>
  <si>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</si>
  <si>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</si>
  <si>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</si>
  <si>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</si>
  <si>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</si>
  <si>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</si>
  <si>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</si>
  <si>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</si>
  <si>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</si>
  <si>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</si>
  <si>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</si>
  <si>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</si>
  <si>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</si>
  <si>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</si>
  <si>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</si>
  <si>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</si>
  <si>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</si>
  <si>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</si>
  <si>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</si>
  <si>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</si>
  <si>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</si>
  <si>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</si>
  <si>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</si>
  <si>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</si>
  <si>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</si>
  <si>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</si>
  <si>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</si>
  <si>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</si>
  <si>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</si>
  <si>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</si>
  <si>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</si>
  <si>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</si>
  <si>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</si>
  <si>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</si>
  <si>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</si>
  <si>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</si>
  <si>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</si>
  <si>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</si>
  <si>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</si>
  <si>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</si>
  <si>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</si>
  <si>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</si>
  <si>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</si>
  <si>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</si>
  <si>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</si>
  <si>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</si>
  <si>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</si>
  <si>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</si>
  <si>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</si>
  <si>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</si>
  <si>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</si>
  <si>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</si>
  <si>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</si>
  <si>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</si>
  <si>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</si>
  <si>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</si>
  <si>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</si>
  <si>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</si>
  <si>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</si>
  <si>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</si>
  <si>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</si>
  <si>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</si>
  <si>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</si>
  <si>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</si>
  <si>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</si>
  <si>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</si>
  <si>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</si>
  <si>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</si>
  <si>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</si>
  <si>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</si>
  <si>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</si>
  <si>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</si>
  <si>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</si>
  <si>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</si>
  <si>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</si>
  <si>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</si>
  <si>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</si>
  <si>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</si>
  <si>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</si>
  <si>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</si>
  <si>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</si>
  <si>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</si>
  <si>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</si>
  <si>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</si>
  <si>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</si>
  <si>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</si>
  <si>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</si>
  <si>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</si>
  <si>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</si>
  <si>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</si>
  <si>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</si>
  <si>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</si>
  <si>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</si>
  <si>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</si>
  <si>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</si>
  <si>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</si>
  <si>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</si>
  <si>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</si>
  <si>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</si>
  <si>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</si>
  <si>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</si>
  <si>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</si>
  <si>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</si>
  <si>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</si>
  <si>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</si>
  <si>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</si>
  <si>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</si>
  <si>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</si>
  <si>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</si>
  <si>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</si>
  <si>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</si>
  <si>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</si>
  <si>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</si>
  <si>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</si>
  <si>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</si>
  <si>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</si>
  <si>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</si>
  <si>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</si>
  <si>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</si>
  <si>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</si>
  <si>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</si>
  <si>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</si>
  <si>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</si>
  <si>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</si>
  <si>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</si>
  <si>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</si>
  <si>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</si>
  <si>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</si>
  <si>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</si>
  <si>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</si>
  <si>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</si>
  <si>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</si>
  <si>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</si>
  <si>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</si>
  <si>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</si>
  <si>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</si>
  <si>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</si>
  <si>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</si>
  <si>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</si>
  <si>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</si>
  <si>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</si>
  <si>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</si>
  <si>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</si>
  <si>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</si>
  <si>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</si>
  <si>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</si>
  <si>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</si>
  <si>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</si>
  <si>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</si>
  <si>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</si>
  <si>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</si>
  <si>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</si>
  <si>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</si>
  <si>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</si>
  <si>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</si>
  <si>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</si>
  <si>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</si>
  <si>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</si>
  <si>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</si>
  <si>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</si>
  <si>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</si>
  <si>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</si>
  <si>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</si>
  <si>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</si>
  <si>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</si>
  <si>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</si>
  <si>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</si>
  <si>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</si>
  <si>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</si>
  <si>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</si>
  <si>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</si>
  <si>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</si>
  <si>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</si>
  <si>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</si>
  <si>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</si>
  <si>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</si>
  <si>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</si>
  <si>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</si>
  <si>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</si>
  <si>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</si>
  <si>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</si>
  <si>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</si>
  <si>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</si>
  <si>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</si>
  <si>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</si>
  <si>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</si>
  <si>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</si>
  <si>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</si>
  <si>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</si>
  <si>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</si>
  <si>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</si>
  <si>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</si>
  <si>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</si>
  <si>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</si>
  <si>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</si>
  <si>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</si>
  <si>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</si>
  <si>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</si>
  <si>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</si>
  <si>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</si>
  <si>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</si>
  <si>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</si>
  <si>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</si>
  <si>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</si>
  <si>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</si>
  <si>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</si>
  <si>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</si>
  <si>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</si>
  <si>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</si>
  <si>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</si>
  <si>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</si>
  <si>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</si>
  <si>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</si>
  <si>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</si>
  <si>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</si>
  <si>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</si>
  <si>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</si>
  <si>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</si>
  <si>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</si>
  <si>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</si>
  <si>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</si>
  <si>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</si>
  <si>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</si>
  <si>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</si>
  <si>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</si>
  <si>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</si>
  <si>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</si>
  <si>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</si>
  <si>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</si>
  <si>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</si>
  <si>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</si>
  <si>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</si>
  <si>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</si>
  <si>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</si>
  <si>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</si>
  <si>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</si>
  <si>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</si>
  <si>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</si>
  <si>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</si>
  <si>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</si>
  <si>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</si>
  <si>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</si>
  <si>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</si>
  <si>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</si>
  <si>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</si>
  <si>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</si>
  <si>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</si>
  <si>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</si>
  <si>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</si>
  <si>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</si>
  <si>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</si>
  <si>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</si>
  <si>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</si>
  <si>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</si>
  <si>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</si>
  <si>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</si>
  <si>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</si>
  <si>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</si>
  <si>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</si>
  <si>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</si>
  <si>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</si>
  <si>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</si>
  <si>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</si>
  <si>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</si>
  <si>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</si>
  <si>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</si>
  <si>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</si>
  <si>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</si>
  <si>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</si>
  <si>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</si>
  <si>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</si>
  <si>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</si>
  <si>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</si>
  <si>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</si>
  <si>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</si>
  <si>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</si>
  <si>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</si>
  <si>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</si>
  <si>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</si>
  <si>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</si>
  <si>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</si>
  <si>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</si>
  <si>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</si>
  <si>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</si>
  <si>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</si>
  <si>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</si>
  <si>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</si>
  <si>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</si>
  <si>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</si>
  <si>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</si>
  <si>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</si>
  <si>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</si>
  <si>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</si>
  <si>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</si>
  <si>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</si>
  <si>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</si>
  <si>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</si>
  <si>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</si>
  <si>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</si>
  <si>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</si>
  <si>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</si>
  <si>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</si>
  <si>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</si>
  <si>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</si>
  <si>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</si>
  <si>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</si>
  <si>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</si>
  <si>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</si>
  <si>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</si>
  <si>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</si>
  <si>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</si>
  <si>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</si>
  <si>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</si>
  <si>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</si>
  <si>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</si>
  <si>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</si>
  <si>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</si>
  <si>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</si>
  <si>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</si>
  <si>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</si>
  <si>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</si>
  <si>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</si>
  <si>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</si>
  <si>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</si>
  <si>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</si>
  <si>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</si>
  <si>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</si>
  <si>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</si>
  <si>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</si>
  <si>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</si>
  <si>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</si>
  <si>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</si>
  <si>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</si>
  <si>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</si>
  <si>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</si>
  <si>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</si>
  <si>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</si>
  <si>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</si>
  <si>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</si>
  <si>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</si>
  <si>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</si>
  <si>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</si>
  <si>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</si>
  <si>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</si>
  <si>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</si>
  <si>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</si>
  <si>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</si>
  <si>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</si>
  <si>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</si>
  <si>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</si>
  <si>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</si>
  <si>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</si>
  <si>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</si>
  <si>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</si>
  <si>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</si>
  <si>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</si>
  <si>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</si>
  <si>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</si>
  <si>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</si>
  <si>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</si>
  <si>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</si>
  <si>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</si>
  <si>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</si>
  <si>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</si>
  <si>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</si>
  <si>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</si>
  <si>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</si>
  <si>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</si>
  <si>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</si>
  <si>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</si>
  <si>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</si>
  <si>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</si>
  <si>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</si>
  <si>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</si>
  <si>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</si>
  <si>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</si>
  <si>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</si>
  <si>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</si>
  <si>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</si>
  <si>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</si>
  <si>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</si>
  <si>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</si>
  <si>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</si>
  <si>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</si>
  <si>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</si>
  <si>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</si>
  <si>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</si>
  <si>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</si>
  <si>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</si>
  <si>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</si>
  <si>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</si>
  <si>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</si>
  <si>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</si>
  <si>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</si>
  <si>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</si>
  <si>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</si>
  <si>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</si>
  <si>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</si>
  <si>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</si>
  <si>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</si>
  <si>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</si>
  <si>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</si>
  <si>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</si>
  <si>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</si>
  <si>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</si>
  <si>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</si>
  <si>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</si>
  <si>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</si>
  <si>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</si>
  <si>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</si>
  <si>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</si>
  <si>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</si>
  <si>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</si>
  <si>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</si>
  <si>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</si>
  <si>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</si>
  <si>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</si>
  <si>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</si>
  <si>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</si>
  <si>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</si>
  <si>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</si>
  <si>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</si>
  <si>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</si>
  <si>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</si>
  <si>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</si>
  <si>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</si>
  <si>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</si>
  <si>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</si>
  <si>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</si>
  <si>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</si>
  <si>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</si>
  <si>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</si>
  <si>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</si>
  <si>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</si>
  <si>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</si>
  <si>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</si>
  <si>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</si>
  <si>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</si>
  <si>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</si>
  <si>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</si>
  <si>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</si>
  <si>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</si>
  <si>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</si>
  <si>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</si>
  <si>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</si>
  <si>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</si>
  <si>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</si>
  <si>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</si>
  <si>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</si>
  <si>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</si>
  <si>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</si>
  <si>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</si>
  <si>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</si>
  <si>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</si>
  <si>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</si>
  <si>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</si>
  <si>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</si>
  <si>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</si>
  <si>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</si>
  <si>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</si>
  <si>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</si>
  <si>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</si>
  <si>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</si>
  <si>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</si>
  <si>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</si>
  <si>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</si>
  <si>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</si>
  <si>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</si>
  <si>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</si>
  <si>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</si>
  <si>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</si>
  <si>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</si>
  <si>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</si>
  <si>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</si>
  <si>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</si>
  <si>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</si>
  <si>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</si>
  <si>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</si>
  <si>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</si>
  <si>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</si>
  <si>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</si>
  <si>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</si>
  <si>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</si>
  <si>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</si>
  <si>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</si>
  <si>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</si>
  <si>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</si>
  <si>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</si>
  <si>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</si>
  <si>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</si>
  <si>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</si>
  <si>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</si>
  <si>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</si>
  <si>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</si>
  <si>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</si>
  <si>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</si>
  <si>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</si>
  <si>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</si>
  <si>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</si>
  <si>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</si>
  <si>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</si>
  <si>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</si>
  <si>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</si>
  <si>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</si>
  <si>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</si>
  <si>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</si>
  <si>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</si>
  <si>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</si>
  <si>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</si>
  <si>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</si>
  <si>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</si>
  <si>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</si>
  <si>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</si>
  <si>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</si>
  <si>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</si>
  <si>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</si>
  <si>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</si>
  <si>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</si>
  <si>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</si>
  <si>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</si>
  <si>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</si>
  <si>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</si>
  <si>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</si>
  <si>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</si>
  <si>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</si>
  <si>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</si>
  <si>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</si>
  <si>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</si>
  <si>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</si>
  <si>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</si>
  <si>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</si>
  <si>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</si>
  <si>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</si>
  <si>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</si>
  <si>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</si>
  <si>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</si>
  <si>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</si>
  <si>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</si>
  <si>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</si>
  <si>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</si>
  <si>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</si>
  <si>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</si>
  <si>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</si>
  <si>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</si>
  <si>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</si>
  <si>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</si>
  <si>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</si>
  <si>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</si>
  <si>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</si>
  <si>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</si>
  <si>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</si>
  <si>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</si>
  <si>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</si>
  <si>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</si>
  <si>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</si>
  <si>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</si>
  <si>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</si>
  <si>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</si>
  <si>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</si>
  <si>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</si>
  <si>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</si>
  <si>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</si>
  <si>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</si>
  <si>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</si>
  <si>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</si>
  <si>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</si>
  <si>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</si>
  <si>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</si>
  <si>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</si>
  <si>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</si>
  <si>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</si>
  <si>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</si>
  <si>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</si>
  <si>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</si>
  <si>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</si>
  <si>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</si>
  <si>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</si>
  <si>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</si>
  <si>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</si>
  <si>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</si>
  <si>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</si>
  <si>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</si>
  <si>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</si>
  <si>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</si>
  <si>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</si>
  <si>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</si>
  <si>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</si>
  <si>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</si>
  <si>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</si>
  <si>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</si>
  <si>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</si>
  <si>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</si>
  <si>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</si>
  <si>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</si>
  <si>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</si>
  <si>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</si>
  <si>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</si>
  <si>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</si>
  <si>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</si>
  <si>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</si>
  <si>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</si>
  <si>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</si>
  <si>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</si>
  <si>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</si>
  <si>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</si>
  <si>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</si>
  <si>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</si>
  <si>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</si>
  <si>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</si>
  <si>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</si>
  <si>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</si>
  <si>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</si>
  <si>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</si>
  <si>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</si>
  <si>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</si>
  <si>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</si>
  <si>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</si>
  <si>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</si>
  <si>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</si>
  <si>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</si>
  <si>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</si>
  <si>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</si>
  <si>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</si>
  <si>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</si>
  <si>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</si>
  <si>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</si>
  <si>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</si>
  <si>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</si>
  <si>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</si>
  <si>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</si>
  <si>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</si>
  <si>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</si>
  <si>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</si>
  <si>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</si>
  <si>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</si>
  <si>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</si>
  <si>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</si>
  <si>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</si>
  <si>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</si>
  <si>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</si>
  <si>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</si>
  <si>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</si>
  <si>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</si>
  <si>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</si>
  <si>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</si>
  <si>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</si>
  <si>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</si>
  <si>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</si>
  <si>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</si>
  <si>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</si>
  <si>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</si>
  <si>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</si>
  <si>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</si>
  <si>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</si>
  <si>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</si>
  <si>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</si>
  <si>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</si>
  <si>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</si>
  <si>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</si>
  <si>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</si>
  <si>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</si>
  <si>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</si>
  <si>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</si>
  <si>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</si>
  <si>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</si>
  <si>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</si>
  <si>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</si>
  <si>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</si>
  <si>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</si>
  <si>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</si>
  <si>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</si>
  <si>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</si>
  <si>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</si>
  <si>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</si>
  <si>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</si>
  <si>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</si>
  <si>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</si>
  <si>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</si>
  <si>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</si>
  <si>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</si>
  <si>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</si>
  <si>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</si>
  <si>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</si>
  <si>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</si>
  <si>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</si>
  <si>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</si>
  <si>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</si>
  <si>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</si>
  <si>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</si>
  <si>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</si>
  <si>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</si>
  <si>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</si>
  <si>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</si>
  <si>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</si>
  <si>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</si>
  <si>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</si>
  <si>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</si>
  <si>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</si>
  <si>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</si>
  <si>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</si>
  <si>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</si>
  <si>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</si>
  <si>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</si>
  <si>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</si>
  <si>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</si>
  <si>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</si>
  <si>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</si>
  <si>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</si>
  <si>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</si>
  <si>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</si>
  <si>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</si>
  <si>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</si>
  <si>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</si>
  <si>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</si>
  <si>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</si>
  <si>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</si>
  <si>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</si>
  <si>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</si>
  <si>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</si>
  <si>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</si>
  <si>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</si>
  <si>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</si>
  <si>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</si>
  <si>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</si>
  <si>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</si>
  <si>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</si>
  <si>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</si>
  <si>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</si>
  <si>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</si>
  <si>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</si>
  <si>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</si>
  <si>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</si>
  <si>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</si>
  <si>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</si>
  <si>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</si>
  <si>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</si>
  <si>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</si>
  <si>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</si>
  <si>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</si>
  <si>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</si>
  <si>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</si>
  <si>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</si>
  <si>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</si>
  <si>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</si>
  <si>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</si>
  <si>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</si>
  <si>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</si>
  <si>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</si>
  <si>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</si>
  <si>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</si>
  <si>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</si>
  <si>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</si>
  <si>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</si>
  <si>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</si>
  <si>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</si>
  <si>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</si>
  <si>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</si>
  <si>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</si>
  <si>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</si>
  <si>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</si>
  <si>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</si>
  <si>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</si>
  <si>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</si>
  <si>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</si>
  <si>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</si>
  <si>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</si>
  <si>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</si>
  <si>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</si>
  <si>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</si>
  <si>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</si>
  <si>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</si>
  <si>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</si>
  <si>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</si>
  <si>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</si>
  <si>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</si>
  <si>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</si>
  <si>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</si>
  <si>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</si>
  <si>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</si>
  <si>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</si>
  <si>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</si>
  <si>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</si>
  <si>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</si>
  <si>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</si>
  <si>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</si>
  <si>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</si>
  <si>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</si>
  <si>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</si>
  <si>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</si>
  <si>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</si>
  <si>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</si>
  <si>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</si>
  <si>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</si>
  <si>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</si>
  <si>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</si>
  <si>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</si>
  <si>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</si>
  <si>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</si>
  <si>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</si>
  <si>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</si>
  <si>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</si>
  <si>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</si>
  <si>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</si>
  <si>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</si>
  <si>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</si>
  <si>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</si>
  <si>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</si>
  <si>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</si>
  <si>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</si>
  <si>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</si>
  <si>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</si>
  <si>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</si>
  <si>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</si>
  <si>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</si>
  <si>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</si>
  <si>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</si>
  <si>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</si>
  <si>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</si>
  <si>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</si>
  <si>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</si>
  <si>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</si>
  <si>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</si>
  <si>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</si>
  <si>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</si>
  <si>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</si>
  <si>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</si>
  <si>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</si>
  <si>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</si>
  <si>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</si>
  <si>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</si>
  <si>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</si>
  <si>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</si>
  <si>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</si>
  <si>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</si>
  <si>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</si>
  <si>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</si>
  <si>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</si>
  <si>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</si>
  <si>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</si>
  <si>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</si>
  <si>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</si>
  <si>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</si>
  <si>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</si>
  <si>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</si>
  <si>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</si>
  <si>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</si>
  <si>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</si>
  <si>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</si>
  <si>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</si>
  <si>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</si>
  <si>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</si>
  <si>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</si>
  <si>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</si>
  <si>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</si>
  <si>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</si>
  <si>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</si>
  <si>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</si>
  <si>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</si>
  <si>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</si>
  <si>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</si>
  <si>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</si>
  <si>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</si>
  <si>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</si>
  <si>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</si>
  <si>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</si>
  <si>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</si>
  <si>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</si>
  <si>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</si>
  <si>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</si>
  <si>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</si>
  <si>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</si>
  <si>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</si>
  <si>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</si>
  <si>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</si>
  <si>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</si>
  <si>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</si>
  <si>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</si>
  <si>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</si>
  <si>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</si>
  <si>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</si>
  <si>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</si>
  <si>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</si>
  <si>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</si>
  <si>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</si>
  <si>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</si>
  <si>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</si>
  <si>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</si>
  <si>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</si>
  <si>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</si>
  <si>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</si>
  <si>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</si>
  <si>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</si>
  <si>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</si>
  <si>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</si>
  <si>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</si>
  <si>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</si>
  <si>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</si>
  <si>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</si>
  <si>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</si>
  <si>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</si>
  <si>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</si>
  <si>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</si>
  <si>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</si>
  <si>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</si>
  <si>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</si>
  <si>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</si>
  <si>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</si>
  <si>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</si>
  <si>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</si>
  <si>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</si>
  <si>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</si>
  <si>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</si>
  <si>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</si>
  <si>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</si>
  <si>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</si>
  <si>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</si>
  <si>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</si>
  <si>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</si>
  <si>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</si>
  <si>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</si>
  <si>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</si>
  <si>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</si>
  <si>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</si>
  <si>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</si>
  <si>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</si>
  <si>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</si>
  <si>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</si>
  <si>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</si>
  <si>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</si>
  <si>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</si>
  <si>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</si>
  <si>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</si>
  <si>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</si>
  <si>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</si>
  <si>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</si>
  <si>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</si>
  <si>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</si>
  <si>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</si>
  <si>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</si>
  <si>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</si>
  <si>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</si>
  <si>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</si>
  <si>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</si>
  <si>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</si>
  <si>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</si>
  <si>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</si>
  <si>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</si>
  <si>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</si>
  <si>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</si>
  <si>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</si>
  <si>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</si>
  <si>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</si>
  <si>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</si>
  <si>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</si>
  <si>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</si>
  <si>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</si>
  <si>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</si>
  <si>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</si>
  <si>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</si>
  <si>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</si>
  <si>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</si>
  <si>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</si>
  <si>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</si>
  <si>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</si>
  <si>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</si>
  <si>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</si>
  <si>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</si>
  <si>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</si>
  <si>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</si>
  <si>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</si>
  <si>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</si>
  <si>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</si>
  <si>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</si>
  <si>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</si>
  <si>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</si>
  <si>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</si>
  <si>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</si>
  <si>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</si>
  <si>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</si>
  <si>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</si>
  <si>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</si>
  <si>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</si>
  <si>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</si>
  <si>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</si>
  <si>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</si>
  <si>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</si>
  <si>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</si>
  <si>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</si>
  <si>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</si>
  <si>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</si>
  <si>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</si>
  <si>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</si>
  <si>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</si>
  <si>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</si>
  <si>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</si>
  <si>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</si>
  <si>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</si>
  <si>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</si>
  <si>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</si>
  <si>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</si>
  <si>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</si>
  <si>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</si>
  <si>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</si>
  <si>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</si>
  <si>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</si>
  <si>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</si>
  <si>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</si>
  <si>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</si>
  <si>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</si>
  <si>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</si>
  <si>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</si>
  <si>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</si>
  <si>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</si>
  <si>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</si>
  <si>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</si>
  <si>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</si>
  <si>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</si>
  <si>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</si>
  <si>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</si>
  <si>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</si>
  <si>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</si>
  <si>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</si>
  <si>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</si>
  <si>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</si>
  <si>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</si>
  <si>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</si>
  <si>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</si>
  <si>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</si>
  <si>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</si>
  <si>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</si>
  <si>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</si>
  <si>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</si>
  <si>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</si>
  <si>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</si>
  <si>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</si>
  <si>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</si>
  <si>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</si>
  <si>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</si>
  <si>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</si>
  <si>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</si>
  <si>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</si>
  <si>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</si>
  <si>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</si>
  <si>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</si>
  <si>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</si>
  <si>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</si>
  <si>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</si>
  <si>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</si>
  <si>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</si>
  <si>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</si>
  <si>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</si>
  <si>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</si>
  <si>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</si>
  <si>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</si>
  <si>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</si>
  <si>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</si>
  <si>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</si>
  <si>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</si>
  <si>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</si>
  <si>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</si>
  <si>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</si>
  <si>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</si>
  <si>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</si>
  <si>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</si>
  <si>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</si>
  <si>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</si>
  <si>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</si>
  <si>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</si>
  <si>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</si>
  <si>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</si>
  <si>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</si>
  <si>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</si>
  <si>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</si>
  <si>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</si>
  <si>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</si>
  <si>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</si>
  <si>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</si>
  <si>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</si>
  <si>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</si>
  <si>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</si>
  <si>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</si>
  <si>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</si>
  <si>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</si>
  <si>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</si>
  <si>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</si>
  <si>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</si>
  <si>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</si>
  <si>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</si>
  <si>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</si>
  <si>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</si>
  <si>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</si>
  <si>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</si>
  <si>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</si>
  <si>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</si>
  <si>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</si>
  <si>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</si>
  <si>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</si>
  <si>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</si>
  <si>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</si>
  <si>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</si>
  <si>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</si>
  <si>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</si>
  <si>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</si>
  <si>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</si>
  <si>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</si>
  <si>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</si>
  <si>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</si>
  <si>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</si>
  <si>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</si>
  <si>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</si>
  <si>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</si>
  <si>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</si>
  <si>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</si>
  <si>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</si>
  <si>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</si>
  <si>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</si>
  <si>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</si>
  <si>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</si>
  <si>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</si>
  <si>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</si>
  <si>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</si>
  <si>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</si>
  <si>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</si>
  <si>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</si>
  <si>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</si>
  <si>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</si>
  <si>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</si>
  <si>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</si>
  <si>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</si>
  <si>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</si>
  <si>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</si>
  <si>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</si>
  <si>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</si>
  <si>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</si>
  <si>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</si>
  <si>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</si>
  <si>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</si>
  <si>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</si>
  <si>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</si>
  <si>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</si>
  <si>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</si>
  <si>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</si>
  <si>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</si>
  <si>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</si>
  <si>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</si>
  <si>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</si>
  <si>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</si>
  <si>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</si>
  <si>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</si>
  <si>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</si>
  <si>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</si>
  <si>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</si>
  <si>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</si>
  <si>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</si>
  <si>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</si>
  <si>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</si>
  <si>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</si>
  <si>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</si>
  <si>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</si>
  <si>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</si>
  <si>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</si>
  <si>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</si>
  <si>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</si>
  <si>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</si>
  <si>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</si>
  <si>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</si>
  <si>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</si>
  <si>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</si>
  <si>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</si>
  <si>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</si>
  <si>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</si>
  <si>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</si>
  <si>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</si>
  <si>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</si>
  <si>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</si>
  <si>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</si>
  <si>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</si>
  <si>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</si>
  <si>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</si>
  <si>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</si>
  <si>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</si>
  <si>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</si>
  <si>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</si>
  <si>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</si>
  <si>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</si>
  <si>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</si>
  <si>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</si>
  <si>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</si>
  <si>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</si>
  <si>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</si>
  <si>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</si>
  <si>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</si>
  <si>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</si>
  <si>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</si>
  <si>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</si>
  <si>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</si>
  <si>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</si>
  <si>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</si>
  <si>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</si>
  <si>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</si>
  <si>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</si>
  <si>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</si>
  <si>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</si>
  <si>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</si>
  <si>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</si>
  <si>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</si>
  <si>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</si>
  <si>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</si>
  <si>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</si>
  <si>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</si>
  <si>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</si>
  <si>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</si>
  <si>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</si>
  <si>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</si>
  <si>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</si>
  <si>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</si>
  <si>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</si>
  <si>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</si>
  <si>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</si>
  <si>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</si>
  <si>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</si>
  <si>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</si>
  <si>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</si>
  <si>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</si>
  <si>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</si>
  <si>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</si>
  <si>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</si>
  <si>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</si>
  <si>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</si>
  <si>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</si>
  <si>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</si>
  <si>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</si>
  <si>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</si>
  <si>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</si>
  <si>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</si>
  <si>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</si>
  <si>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</si>
  <si>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</si>
  <si>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</si>
  <si>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</si>
  <si>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</si>
  <si>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</si>
  <si>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</si>
  <si>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</si>
  <si>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</si>
  <si>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</si>
  <si>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</si>
  <si>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</si>
  <si>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</si>
  <si>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</si>
  <si>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</si>
  <si>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</si>
  <si>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</si>
  <si>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</si>
  <si>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</si>
  <si>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</si>
  <si>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</si>
  <si>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</si>
  <si>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</si>
  <si>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</si>
  <si>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</si>
  <si>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</si>
  <si>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</si>
  <si>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</si>
  <si>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</si>
  <si>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</si>
  <si>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</si>
  <si>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</si>
  <si>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</si>
  <si>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</si>
  <si>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</si>
  <si>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</si>
  <si>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</si>
  <si>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</si>
  <si>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</si>
  <si>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</si>
  <si>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</si>
  <si>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</si>
  <si>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</si>
  <si>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</si>
  <si>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</si>
  <si>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</si>
  <si>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</si>
  <si>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</si>
  <si>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</si>
  <si>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</si>
  <si>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</si>
  <si>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</si>
  <si>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</si>
  <si>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</si>
  <si>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</si>
  <si>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</si>
  <si>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</si>
  <si>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</si>
  <si>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</si>
  <si>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</si>
  <si>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</si>
  <si>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</si>
  <si>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</si>
  <si>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</si>
  <si>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</si>
  <si>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</si>
  <si>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</si>
  <si>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</si>
  <si>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</si>
  <si>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</si>
  <si>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</si>
  <si>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</si>
  <si>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</si>
  <si>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</si>
  <si>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</si>
  <si>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</si>
  <si>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</si>
  <si>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</si>
  <si>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</si>
  <si>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</si>
  <si>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</si>
  <si>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</si>
  <si>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</si>
  <si>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</si>
  <si>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</si>
  <si>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</si>
  <si>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</si>
  <si>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</si>
  <si>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</si>
  <si>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</si>
  <si>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</si>
  <si>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</si>
  <si>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</si>
  <si>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</si>
  <si>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</si>
  <si>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</si>
  <si>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</si>
  <si>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</si>
  <si>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</si>
  <si>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</si>
  <si>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</si>
  <si>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</si>
  <si>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</si>
  <si>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</si>
  <si>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</si>
  <si>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</si>
  <si>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</si>
  <si>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</si>
  <si>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</si>
  <si>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</si>
  <si>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</si>
  <si>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</si>
  <si>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</si>
  <si>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</si>
  <si>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</si>
  <si>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</si>
  <si>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</si>
  <si>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</si>
  <si>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</si>
  <si>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</si>
  <si>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</si>
  <si>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</si>
  <si>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</si>
  <si>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</si>
  <si>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</si>
  <si>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</si>
  <si>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</si>
  <si>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</si>
  <si>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</si>
  <si>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</si>
  <si>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</si>
  <si>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</si>
  <si>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</si>
  <si>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</si>
  <si>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</si>
  <si>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</si>
  <si>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</si>
  <si>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</si>
  <si>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</si>
  <si>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</si>
  <si>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</si>
  <si>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</si>
  <si>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</si>
  <si>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</si>
  <si>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</si>
  <si>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</si>
  <si>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</si>
  <si>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</si>
  <si>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</si>
  <si>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</si>
  <si>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</si>
  <si>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</si>
  <si>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</si>
  <si>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</si>
  <si>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</si>
  <si>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</si>
  <si>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</si>
  <si>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</si>
  <si>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</si>
  <si>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</si>
  <si>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</si>
  <si>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</si>
  <si>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</si>
  <si>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</si>
  <si>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</si>
  <si>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</si>
  <si>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</si>
  <si>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</si>
  <si>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</si>
  <si>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</si>
  <si>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</si>
  <si>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</si>
  <si>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</si>
  <si>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</si>
  <si>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</si>
  <si>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</si>
  <si>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</si>
  <si>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</si>
  <si>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</si>
  <si>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</si>
  <si>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</si>
  <si>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</si>
  <si>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</si>
  <si>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</si>
  <si>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</si>
  <si>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</si>
  <si>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</si>
  <si>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</si>
  <si>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</si>
  <si>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</si>
  <si>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</si>
  <si>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</si>
  <si>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</si>
  <si>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</si>
  <si>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</si>
  <si>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</si>
  <si>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</si>
  <si>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</si>
  <si>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</si>
  <si>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</si>
  <si>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</si>
  <si>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</si>
  <si>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</si>
  <si>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</si>
  <si>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</si>
  <si>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</si>
  <si>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</si>
  <si>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</si>
  <si>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</si>
  <si>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</si>
  <si>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</si>
  <si>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</si>
  <si>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</si>
  <si>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</si>
  <si>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</si>
  <si>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</si>
  <si>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</si>
  <si>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</si>
  <si>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</si>
  <si>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</si>
  <si>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</si>
  <si>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</si>
  <si>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</si>
  <si>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</si>
  <si>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</si>
  <si>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</si>
  <si>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</si>
  <si>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</si>
  <si>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</si>
  <si>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</si>
  <si>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</si>
  <si>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</si>
  <si>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</si>
  <si>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</si>
  <si>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</si>
  <si>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</si>
  <si>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</si>
  <si>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</si>
  <si>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</si>
  <si>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</si>
  <si>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</si>
  <si>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</si>
  <si>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</si>
  <si>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</si>
  <si>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</si>
  <si>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</si>
  <si>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</si>
  <si>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</si>
  <si>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</si>
  <si>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</si>
  <si>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</si>
  <si>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</si>
  <si>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</si>
  <si>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</si>
  <si>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</si>
  <si>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</si>
  <si>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</si>
  <si>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</si>
  <si>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</si>
  <si>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</si>
  <si>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</si>
  <si>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</si>
  <si>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</si>
  <si>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</si>
  <si>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</si>
  <si>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</si>
  <si>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</si>
  <si>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</si>
  <si>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</si>
  <si>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</si>
  <si>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</si>
  <si>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</si>
  <si>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</si>
  <si>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</si>
  <si>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</si>
  <si>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</si>
  <si>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</si>
  <si>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</si>
  <si>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</si>
  <si>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</si>
  <si>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</si>
  <si>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</si>
  <si>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</si>
  <si>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</si>
  <si>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</si>
  <si>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</si>
  <si>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</si>
  <si>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</si>
  <si>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</si>
  <si>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</si>
  <si>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</si>
  <si>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</si>
  <si>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</si>
  <si>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</si>
  <si>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</si>
  <si>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</si>
  <si>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</si>
  <si>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</si>
  <si>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</si>
  <si>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</si>
  <si>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</si>
  <si>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</si>
  <si>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</si>
  <si>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</si>
  <si>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</si>
  <si>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</si>
  <si>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</si>
  <si>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</si>
  <si>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</si>
  <si>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</si>
  <si>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</si>
  <si>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</si>
  <si>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</si>
  <si>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</si>
  <si>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</si>
  <si>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</si>
  <si>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</si>
  <si>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</si>
  <si>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</si>
  <si>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</si>
  <si>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</si>
  <si>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</si>
  <si>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</si>
  <si>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</si>
  <si>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</si>
  <si>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</si>
  <si>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</si>
  <si>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</si>
  <si>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</si>
  <si>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</si>
  <si>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</si>
  <si>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</si>
  <si>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</si>
  <si>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</si>
  <si>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</si>
  <si>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</si>
  <si>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</si>
  <si>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</si>
  <si>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</si>
  <si>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</si>
  <si>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</si>
  <si>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</si>
  <si>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</si>
  <si>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</si>
  <si>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</si>
  <si>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</si>
  <si>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</si>
  <si>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</si>
  <si>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</si>
  <si>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</si>
  <si>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</si>
  <si>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</si>
  <si>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</si>
  <si>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</si>
  <si>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</si>
  <si>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</si>
  <si>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</si>
  <si>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</si>
  <si>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</si>
  <si>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</si>
  <si>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</si>
  <si>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</si>
  <si>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</si>
  <si>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</si>
  <si>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</si>
  <si>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</si>
  <si>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</si>
  <si>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</si>
  <si>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</si>
  <si>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</si>
  <si>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</si>
  <si>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</si>
  <si>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</si>
  <si>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</si>
  <si>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</si>
  <si>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</si>
  <si>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</si>
  <si>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</si>
  <si>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</si>
  <si>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</si>
  <si>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</si>
  <si>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</si>
  <si>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</si>
  <si>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</si>
  <si>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</si>
  <si>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</si>
  <si>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</si>
  <si>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</si>
  <si>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</si>
  <si>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</si>
  <si>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</si>
  <si>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</si>
  <si>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</si>
  <si>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</si>
  <si>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</si>
  <si>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</si>
  <si>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</si>
  <si>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</si>
  <si>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</si>
  <si>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</si>
  <si>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</si>
  <si>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</si>
  <si>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</si>
  <si>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</si>
  <si>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</si>
  <si>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</si>
  <si>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</si>
  <si>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</si>
  <si>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</si>
  <si>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</si>
  <si>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</si>
  <si>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</si>
  <si>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</si>
  <si>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</si>
  <si>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</si>
  <si>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</si>
  <si>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</si>
  <si>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</si>
  <si>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</si>
  <si>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</si>
  <si>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</si>
  <si>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</si>
  <si>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</si>
  <si>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</si>
  <si>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</si>
  <si>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</si>
  <si>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</si>
  <si>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</si>
  <si>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</si>
  <si>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</si>
  <si>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</si>
  <si>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</si>
  <si>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</si>
  <si>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</si>
  <si>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</si>
  <si>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</si>
  <si>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</si>
  <si>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</si>
  <si>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</si>
  <si>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</si>
  <si>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</si>
  <si>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</si>
  <si>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</si>
  <si>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</si>
  <si>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</si>
  <si>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</si>
  <si>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</si>
  <si>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</si>
  <si>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</si>
  <si>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</si>
  <si>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</si>
  <si>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</si>
  <si>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</si>
  <si>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</si>
  <si>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</si>
  <si>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</si>
  <si>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</si>
  <si>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</si>
  <si>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</si>
  <si>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</si>
  <si>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</si>
  <si>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</si>
  <si>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</si>
  <si>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</si>
  <si>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</si>
  <si>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</si>
  <si>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</si>
  <si>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</si>
  <si>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</si>
  <si>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</si>
  <si>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</si>
  <si>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</si>
  <si>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</si>
  <si>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</si>
  <si>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</si>
  <si>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</si>
  <si>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</si>
  <si>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</si>
  <si>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</si>
  <si>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</si>
  <si>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</si>
  <si>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</si>
  <si>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</si>
  <si>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</si>
  <si>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</si>
  <si>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</si>
  <si>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</si>
  <si>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</si>
  <si>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</si>
  <si>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</si>
  <si>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</si>
  <si>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</si>
  <si>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</si>
  <si>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</si>
  <si>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</si>
  <si>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</si>
  <si>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</si>
  <si>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</si>
  <si>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</si>
  <si>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</si>
  <si>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</si>
  <si>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</si>
  <si>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</si>
  <si>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</si>
  <si>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</si>
  <si>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</si>
  <si>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</si>
  <si>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</si>
  <si>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</si>
  <si>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</si>
  <si>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</si>
  <si>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</si>
  <si>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</si>
  <si>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</si>
  <si>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</si>
  <si>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</si>
  <si>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</si>
  <si>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</si>
  <si>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</si>
  <si>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</si>
  <si>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</si>
  <si>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</si>
  <si>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</si>
  <si>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</si>
  <si>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</si>
  <si>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</si>
  <si>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</si>
  <si>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</si>
  <si>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</si>
  <si>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</si>
  <si>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</si>
  <si>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</si>
  <si>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</si>
  <si>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</si>
  <si>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</si>
  <si>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</si>
  <si>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</si>
  <si>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</si>
  <si>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</si>
  <si>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</si>
  <si>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</si>
  <si>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</si>
  <si>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</si>
  <si>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</si>
  <si>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</si>
  <si>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</si>
  <si>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</si>
  <si>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</si>
  <si>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</si>
  <si>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</si>
  <si>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</si>
  <si>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</si>
  <si>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</si>
  <si>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</si>
  <si>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</si>
  <si>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</si>
  <si>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</si>
  <si>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</si>
  <si>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</si>
  <si>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</si>
  <si>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</si>
  <si>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</si>
  <si>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</si>
  <si>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</si>
  <si>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</si>
  <si>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</si>
  <si>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</si>
  <si>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</si>
  <si>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</si>
  <si>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</si>
  <si>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</si>
  <si>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</si>
  <si>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</si>
  <si>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</si>
  <si>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</si>
  <si>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</si>
  <si>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</si>
  <si>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</si>
  <si>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</si>
  <si>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</si>
  <si>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</si>
  <si>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</si>
  <si>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</si>
  <si>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</si>
  <si>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</si>
  <si>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</si>
  <si>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</si>
  <si>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</si>
  <si>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</si>
  <si>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</si>
  <si>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</si>
  <si>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</si>
  <si>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</si>
  <si>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</si>
  <si>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</si>
  <si>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</si>
  <si>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</si>
  <si>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</si>
  <si>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</si>
  <si>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</si>
  <si>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</si>
  <si>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</si>
  <si>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</si>
  <si>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</si>
  <si>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</si>
  <si>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</si>
  <si>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</si>
  <si>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</si>
  <si>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</si>
  <si>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</si>
  <si>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</si>
  <si>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</si>
  <si>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</si>
  <si>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</si>
  <si>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</si>
  <si>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</si>
  <si>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</si>
  <si>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</si>
  <si>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</si>
  <si>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</si>
  <si>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</si>
  <si>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</si>
  <si>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</si>
  <si>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</si>
  <si>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</si>
  <si>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</si>
  <si>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</si>
  <si>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</si>
  <si>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</si>
  <si>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</si>
  <si>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</si>
  <si>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</si>
  <si>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</si>
  <si>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</si>
  <si>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</si>
  <si>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</si>
  <si>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</si>
  <si>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</si>
  <si>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</si>
  <si>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</si>
  <si>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</si>
  <si>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</si>
  <si>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</si>
  <si>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</si>
  <si>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</si>
  <si>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</si>
  <si>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</si>
  <si>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</si>
  <si>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</si>
  <si>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</si>
  <si>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</si>
  <si>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</si>
  <si>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</si>
  <si>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</si>
  <si>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</si>
  <si>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</si>
  <si>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</si>
  <si>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</si>
  <si>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</si>
  <si>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</si>
  <si>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</si>
  <si>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</si>
  <si>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</si>
  <si>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</si>
  <si>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</si>
  <si>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</si>
  <si>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</si>
  <si>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</si>
  <si>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</si>
  <si>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</si>
  <si>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</si>
  <si>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</si>
  <si>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</si>
  <si>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</si>
  <si>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</si>
  <si>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</si>
  <si>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</si>
  <si>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</si>
  <si>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</si>
  <si>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</si>
  <si>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</si>
  <si>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</si>
  <si>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</si>
  <si>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</si>
  <si>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</si>
  <si>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</si>
  <si>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</si>
  <si>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</si>
  <si>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</si>
  <si>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</si>
  <si>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</si>
  <si>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</si>
  <si>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</si>
  <si>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</si>
  <si>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</si>
  <si>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</si>
  <si>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</si>
  <si>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</si>
  <si>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</si>
  <si>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</si>
  <si>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</si>
  <si>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</si>
  <si>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</si>
  <si>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</si>
  <si>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</si>
  <si>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</si>
  <si>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</si>
  <si>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</si>
  <si>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</si>
  <si>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</si>
  <si>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</si>
  <si>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</si>
  <si>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</si>
  <si>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</si>
  <si>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</si>
  <si>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</si>
  <si>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</si>
  <si>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</si>
  <si>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</si>
  <si>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</si>
  <si>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</si>
  <si>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</si>
  <si>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</si>
  <si>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</si>
  <si>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</si>
  <si>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</si>
  <si>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</si>
  <si>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</si>
  <si>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</si>
  <si>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</si>
  <si>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</si>
  <si>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</si>
  <si>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</si>
  <si>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</si>
  <si>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</si>
  <si>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</si>
  <si>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</si>
  <si>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</si>
  <si>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</si>
  <si>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</si>
  <si>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</si>
  <si>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</si>
  <si>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</si>
  <si>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</si>
  <si>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</si>
  <si>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</si>
  <si>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</si>
  <si>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</si>
  <si>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</si>
  <si>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</si>
  <si>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</si>
  <si>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</si>
  <si>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</si>
  <si>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</si>
  <si>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</si>
  <si>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</si>
  <si>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</si>
  <si>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</si>
  <si>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</si>
  <si>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</si>
  <si>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</si>
  <si>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出让</t>
  </si>
  <si>
    <t>企业</t>
  </si>
  <si>
    <t>北京市</t>
  </si>
  <si>
    <t>四、房屋建筑面积分户计算明晰表（表 4）</t>
    <phoneticPr fontId="3" type="noConversion"/>
  </si>
  <si>
    <t>项目名称： A2商业办公楼（1至15层）等3项（雅宝路危改二期A区A2楼）,A2商业办公楼地下工程（雅宝路危改二期A区A2楼）,雅宝路危改二期A区A2楼（办公（16至20层）） 楼号：10号楼</t>
    <phoneticPr fontId="3" type="noConversion"/>
  </si>
  <si>
    <t>部位及房号</t>
  </si>
  <si>
    <t>其               中</t>
  </si>
  <si>
    <t>共有共用面积分摊系数</t>
    <phoneticPr fontId="3" type="noConversion"/>
  </si>
  <si>
    <t>套内建筑面积（含阳台）</t>
    <phoneticPr fontId="3" type="noConversion"/>
  </si>
  <si>
    <t>阳台建筑面积</t>
    <phoneticPr fontId="3" type="noConversion"/>
  </si>
  <si>
    <t>分摊的共有共用建筑面积</t>
    <phoneticPr fontId="3" type="noConversion"/>
  </si>
  <si>
    <t>备      注</t>
  </si>
  <si>
    <t>-6层(-6)</t>
  </si>
  <si>
    <t>-601</t>
  </si>
  <si>
    <t>-602</t>
  </si>
  <si>
    <t>-603</t>
  </si>
  <si>
    <t>-604</t>
  </si>
  <si>
    <t>-605</t>
  </si>
  <si>
    <t>-606</t>
  </si>
  <si>
    <t>-607</t>
  </si>
  <si>
    <t>-608</t>
  </si>
  <si>
    <t>-609</t>
  </si>
  <si>
    <t>-610</t>
  </si>
  <si>
    <t>-611</t>
  </si>
  <si>
    <t>-612</t>
  </si>
  <si>
    <t>-613</t>
  </si>
  <si>
    <t>-614</t>
  </si>
  <si>
    <t>-615</t>
  </si>
  <si>
    <t>B6001</t>
  </si>
  <si>
    <t>B6002</t>
  </si>
  <si>
    <t>B6003</t>
  </si>
  <si>
    <t>B6004</t>
  </si>
  <si>
    <t>B6005</t>
  </si>
  <si>
    <t>B6006</t>
  </si>
  <si>
    <t>B6007</t>
  </si>
  <si>
    <t>B6009</t>
  </si>
  <si>
    <t>B6010</t>
  </si>
  <si>
    <t>B6011</t>
  </si>
  <si>
    <t>B6012</t>
  </si>
  <si>
    <t>B6013</t>
  </si>
  <si>
    <t>B6014</t>
  </si>
  <si>
    <t>B6015</t>
  </si>
  <si>
    <t>B6016</t>
  </si>
  <si>
    <t>B6017</t>
  </si>
  <si>
    <t>B6018</t>
  </si>
  <si>
    <t>B6019</t>
  </si>
  <si>
    <t>B6020</t>
  </si>
  <si>
    <t>B6021</t>
  </si>
  <si>
    <t>B6022</t>
  </si>
  <si>
    <t>B6023</t>
  </si>
  <si>
    <t>B6024</t>
  </si>
  <si>
    <t>B6025</t>
  </si>
  <si>
    <t>B6026</t>
  </si>
  <si>
    <t>B6027</t>
  </si>
  <si>
    <t>B6028</t>
  </si>
  <si>
    <t>B6029</t>
  </si>
  <si>
    <t>B6030</t>
  </si>
  <si>
    <t>B6031</t>
  </si>
  <si>
    <t>B6032</t>
  </si>
  <si>
    <t>B6033</t>
  </si>
  <si>
    <t>B6034</t>
  </si>
  <si>
    <t>B6035</t>
  </si>
  <si>
    <t>B6036</t>
  </si>
  <si>
    <t>B6037</t>
  </si>
  <si>
    <t>B6038</t>
  </si>
  <si>
    <t>B6039</t>
  </si>
  <si>
    <t>B6040</t>
  </si>
  <si>
    <t>B6041</t>
  </si>
  <si>
    <t>B6042</t>
  </si>
  <si>
    <t>B6043</t>
  </si>
  <si>
    <t>B6044</t>
  </si>
  <si>
    <t>B6045</t>
  </si>
  <si>
    <t>B6046</t>
  </si>
  <si>
    <t>B6047</t>
  </si>
  <si>
    <t>B6048</t>
  </si>
  <si>
    <t>B6049</t>
  </si>
  <si>
    <t>B6050</t>
  </si>
  <si>
    <t>B6051</t>
  </si>
  <si>
    <t>B6052</t>
  </si>
  <si>
    <t>B6053</t>
  </si>
  <si>
    <t>B6054</t>
  </si>
  <si>
    <t>B6055</t>
  </si>
  <si>
    <t>B6056</t>
  </si>
  <si>
    <t>B6057</t>
  </si>
  <si>
    <t>B6058</t>
  </si>
  <si>
    <t>B6059</t>
  </si>
  <si>
    <t>B6060</t>
  </si>
  <si>
    <t>B6061</t>
  </si>
  <si>
    <t>B6062</t>
  </si>
  <si>
    <t>B6063</t>
  </si>
  <si>
    <t>B6064</t>
  </si>
  <si>
    <t>B6065</t>
  </si>
  <si>
    <t>B6066</t>
  </si>
  <si>
    <t>B6067</t>
  </si>
  <si>
    <t>B6068</t>
  </si>
  <si>
    <t>B6069</t>
  </si>
  <si>
    <t>B6070</t>
  </si>
  <si>
    <t>B6071</t>
  </si>
  <si>
    <t>B6072</t>
  </si>
  <si>
    <t>B6073</t>
  </si>
  <si>
    <t>B6074</t>
  </si>
  <si>
    <t>B6075</t>
  </si>
  <si>
    <t>B6076</t>
  </si>
  <si>
    <t>B6077</t>
  </si>
  <si>
    <t>B6092</t>
  </si>
  <si>
    <t>B6093</t>
  </si>
  <si>
    <t>B6094</t>
  </si>
  <si>
    <t>B6095</t>
  </si>
  <si>
    <t>B6096</t>
  </si>
  <si>
    <t>B6097</t>
  </si>
  <si>
    <t>B6098</t>
  </si>
  <si>
    <t>B6099</t>
  </si>
  <si>
    <t>B6100</t>
  </si>
  <si>
    <t>B6101</t>
  </si>
  <si>
    <t>B6102</t>
  </si>
  <si>
    <t>B6103</t>
  </si>
  <si>
    <t>B6104</t>
  </si>
  <si>
    <t>B6105</t>
  </si>
  <si>
    <t>B6106</t>
  </si>
  <si>
    <t>B6107</t>
  </si>
  <si>
    <t>B6108</t>
  </si>
  <si>
    <t>B6109</t>
  </si>
  <si>
    <t>B6110</t>
  </si>
  <si>
    <t>B6111</t>
  </si>
  <si>
    <t>B6133</t>
  </si>
  <si>
    <t>B6134</t>
  </si>
  <si>
    <t>B6135</t>
  </si>
  <si>
    <t>B6136</t>
  </si>
  <si>
    <t>B6137</t>
  </si>
  <si>
    <t>B6138</t>
  </si>
  <si>
    <t>-5层(-5)</t>
    <phoneticPr fontId="257" type="noConversion"/>
  </si>
  <si>
    <t>-501</t>
  </si>
  <si>
    <t>无规划用途，有产证，不得销售，可长期使用</t>
    <phoneticPr fontId="257" type="noConversion"/>
  </si>
  <si>
    <t>-502</t>
  </si>
  <si>
    <t>-503</t>
  </si>
  <si>
    <t>-504</t>
  </si>
  <si>
    <t>-505</t>
  </si>
  <si>
    <t>-506</t>
  </si>
  <si>
    <t>-507</t>
  </si>
  <si>
    <t>-508</t>
  </si>
  <si>
    <t>-509</t>
  </si>
  <si>
    <t>-510</t>
  </si>
  <si>
    <t>-511</t>
  </si>
  <si>
    <t>-512</t>
  </si>
  <si>
    <t>-513</t>
  </si>
  <si>
    <t>-4层(-4)</t>
  </si>
  <si>
    <t>-401</t>
  </si>
  <si>
    <t>-402</t>
  </si>
  <si>
    <t>-403</t>
  </si>
  <si>
    <t>-404</t>
  </si>
  <si>
    <t>-405</t>
  </si>
  <si>
    <t>-406</t>
  </si>
  <si>
    <t>-407</t>
  </si>
  <si>
    <t>-408</t>
  </si>
  <si>
    <t>-409</t>
  </si>
  <si>
    <t>-410</t>
  </si>
  <si>
    <t>-411</t>
  </si>
  <si>
    <t>-412</t>
  </si>
  <si>
    <t>-413</t>
  </si>
  <si>
    <t>B4001</t>
  </si>
  <si>
    <t>B4002</t>
  </si>
  <si>
    <t>B4003</t>
  </si>
  <si>
    <t>B4004</t>
  </si>
  <si>
    <t>B4005</t>
  </si>
  <si>
    <t>B4006</t>
  </si>
  <si>
    <t>B4007</t>
  </si>
  <si>
    <t>B4009</t>
  </si>
  <si>
    <t>B4010</t>
  </si>
  <si>
    <t>B4011</t>
  </si>
  <si>
    <t>B4012</t>
  </si>
  <si>
    <t>B4013</t>
  </si>
  <si>
    <t>B4014</t>
  </si>
  <si>
    <t>B4015</t>
  </si>
  <si>
    <t>B4016</t>
  </si>
  <si>
    <t>B4017</t>
  </si>
  <si>
    <t>B4018</t>
  </si>
  <si>
    <t>B4019</t>
  </si>
  <si>
    <t>B4020</t>
  </si>
  <si>
    <t>B4021</t>
  </si>
  <si>
    <t>B4022</t>
  </si>
  <si>
    <t>B4023</t>
  </si>
  <si>
    <t>B4024</t>
  </si>
  <si>
    <t>B4025</t>
  </si>
  <si>
    <t>B4026</t>
  </si>
  <si>
    <t>B4027</t>
  </si>
  <si>
    <t>B4028</t>
  </si>
  <si>
    <t>B4029</t>
  </si>
  <si>
    <t>B4030</t>
  </si>
  <si>
    <t>B4031</t>
  </si>
  <si>
    <t>B4032</t>
  </si>
  <si>
    <t>B4033</t>
  </si>
  <si>
    <t>B4034</t>
  </si>
  <si>
    <t>B4035</t>
  </si>
  <si>
    <t>B4036</t>
  </si>
  <si>
    <t>B4037</t>
  </si>
  <si>
    <t>B4038</t>
  </si>
  <si>
    <t>B4039</t>
  </si>
  <si>
    <t>B4040</t>
  </si>
  <si>
    <t>B4041</t>
  </si>
  <si>
    <t>B4042</t>
  </si>
  <si>
    <t>B4043</t>
  </si>
  <si>
    <t>B4044</t>
  </si>
  <si>
    <t>B4045</t>
  </si>
  <si>
    <t>B4046</t>
  </si>
  <si>
    <t>B4047</t>
  </si>
  <si>
    <t>B4048</t>
  </si>
  <si>
    <t>B4049</t>
  </si>
  <si>
    <t>B4050</t>
  </si>
  <si>
    <t>B4051</t>
  </si>
  <si>
    <t>B4052</t>
  </si>
  <si>
    <t>B4053</t>
  </si>
  <si>
    <t>B4054</t>
  </si>
  <si>
    <t>B4055</t>
  </si>
  <si>
    <t>B4056</t>
  </si>
  <si>
    <t>B4057</t>
  </si>
  <si>
    <t>B4058</t>
  </si>
  <si>
    <t>B4059</t>
  </si>
  <si>
    <t>B4060</t>
  </si>
  <si>
    <t>B4061</t>
  </si>
  <si>
    <t>B4062</t>
  </si>
  <si>
    <t>B4063</t>
  </si>
  <si>
    <t>B4064</t>
  </si>
  <si>
    <t>B4065</t>
  </si>
  <si>
    <t>B4066</t>
  </si>
  <si>
    <t>B4067</t>
  </si>
  <si>
    <t>B4068</t>
  </si>
  <si>
    <t>B4069</t>
  </si>
  <si>
    <t>B4070</t>
  </si>
  <si>
    <t>B4071</t>
  </si>
  <si>
    <t>B4072</t>
  </si>
  <si>
    <t>B4073</t>
  </si>
  <si>
    <t>B4074</t>
  </si>
  <si>
    <t>B4075</t>
  </si>
  <si>
    <t>B4076</t>
  </si>
  <si>
    <t>B4077</t>
  </si>
  <si>
    <t>B4078</t>
  </si>
  <si>
    <t>B4079</t>
  </si>
  <si>
    <t>B4080</t>
  </si>
  <si>
    <t>B4081</t>
  </si>
  <si>
    <t>B4082</t>
  </si>
  <si>
    <t>B4083</t>
  </si>
  <si>
    <t>B4085</t>
  </si>
  <si>
    <t>B4086</t>
  </si>
  <si>
    <t>B4087</t>
  </si>
  <si>
    <t>B4088</t>
  </si>
  <si>
    <t>B4089</t>
  </si>
  <si>
    <t>B4090</t>
  </si>
  <si>
    <t>B4091</t>
  </si>
  <si>
    <t>B4092</t>
  </si>
  <si>
    <t>B4093</t>
  </si>
  <si>
    <t>B4094</t>
  </si>
  <si>
    <t>B4095</t>
  </si>
  <si>
    <t>B4096</t>
  </si>
  <si>
    <t>B4097</t>
  </si>
  <si>
    <t>B4098</t>
  </si>
  <si>
    <t>B4099</t>
  </si>
  <si>
    <t>B4100</t>
  </si>
  <si>
    <t>B4101</t>
  </si>
  <si>
    <t>B4102</t>
  </si>
  <si>
    <t>B4103</t>
  </si>
  <si>
    <t>B4104</t>
  </si>
  <si>
    <t>B4105</t>
  </si>
  <si>
    <t>B4106</t>
  </si>
  <si>
    <t>B4107</t>
  </si>
  <si>
    <t>B4108</t>
  </si>
  <si>
    <t>B4109</t>
  </si>
  <si>
    <t>B4110</t>
  </si>
  <si>
    <t>B4111</t>
  </si>
  <si>
    <t>B4112</t>
  </si>
  <si>
    <t>B4113</t>
  </si>
  <si>
    <t>B4114</t>
  </si>
  <si>
    <t>B4115</t>
  </si>
  <si>
    <t>B4116</t>
  </si>
  <si>
    <t>B4117</t>
  </si>
  <si>
    <t>B4118</t>
  </si>
  <si>
    <t>B4119</t>
  </si>
  <si>
    <t>B4120</t>
  </si>
  <si>
    <t>B4121</t>
  </si>
  <si>
    <t>B4122</t>
  </si>
  <si>
    <t>B4123</t>
  </si>
  <si>
    <t>B4124</t>
  </si>
  <si>
    <t>B4125</t>
  </si>
  <si>
    <t>B4126</t>
  </si>
  <si>
    <t>B4127</t>
  </si>
  <si>
    <t>B4128</t>
  </si>
  <si>
    <t>B4129</t>
  </si>
  <si>
    <t>B4130</t>
  </si>
  <si>
    <t>B4131</t>
  </si>
  <si>
    <t>B4132</t>
  </si>
  <si>
    <t>B4133</t>
  </si>
  <si>
    <t>B4134</t>
  </si>
  <si>
    <t>B4135</t>
  </si>
  <si>
    <t>B4136</t>
  </si>
  <si>
    <t>B4137</t>
  </si>
  <si>
    <t>B4138</t>
  </si>
  <si>
    <t>B4139</t>
  </si>
  <si>
    <t>B4140</t>
  </si>
  <si>
    <t>B4141</t>
  </si>
  <si>
    <t>B4142</t>
  </si>
  <si>
    <t>B4143</t>
  </si>
  <si>
    <t>B4144</t>
  </si>
  <si>
    <t>B4145</t>
  </si>
  <si>
    <t>B4146</t>
  </si>
  <si>
    <t>B4147</t>
  </si>
  <si>
    <t>B4148</t>
  </si>
  <si>
    <t>B4149</t>
  </si>
  <si>
    <t>B4150</t>
  </si>
  <si>
    <t>B4151</t>
  </si>
  <si>
    <t>B4152</t>
  </si>
  <si>
    <t>B4153</t>
  </si>
  <si>
    <t>B4154</t>
  </si>
  <si>
    <t>B4155</t>
  </si>
  <si>
    <t>B4156</t>
  </si>
  <si>
    <t>B4157</t>
  </si>
  <si>
    <t>B4158</t>
  </si>
  <si>
    <t>B4159</t>
  </si>
  <si>
    <t>B4160</t>
  </si>
  <si>
    <t>B4161</t>
  </si>
  <si>
    <t>B4162</t>
  </si>
  <si>
    <t>B4163</t>
  </si>
  <si>
    <t>B4164</t>
  </si>
  <si>
    <t>B4165</t>
  </si>
  <si>
    <t>B4166</t>
  </si>
  <si>
    <t>B4167</t>
  </si>
  <si>
    <t>B4168</t>
  </si>
  <si>
    <t>B4169</t>
  </si>
  <si>
    <t>-3层(-3)</t>
    <phoneticPr fontId="257" type="noConversion"/>
  </si>
  <si>
    <t>-301</t>
  </si>
  <si>
    <t>-302</t>
  </si>
  <si>
    <t>-303</t>
  </si>
  <si>
    <t>-304</t>
  </si>
  <si>
    <t>-305</t>
  </si>
  <si>
    <t>-2层(-2)</t>
  </si>
  <si>
    <t>-201</t>
  </si>
  <si>
    <t>-202</t>
  </si>
  <si>
    <t>-203</t>
  </si>
  <si>
    <t>-204</t>
  </si>
  <si>
    <t>-205</t>
  </si>
  <si>
    <t>-206</t>
  </si>
  <si>
    <t>-207</t>
  </si>
  <si>
    <t>-208</t>
  </si>
  <si>
    <t>-209</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</si>
  <si>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</si>
  <si>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</si>
  <si>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</si>
  <si>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</si>
  <si>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</si>
  <si>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</si>
  <si>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</si>
  <si>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</si>
  <si>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</si>
  <si>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</si>
  <si>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</si>
  <si>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</si>
  <si>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</si>
  <si>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</si>
  <si>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</si>
  <si>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</si>
  <si>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</si>
  <si>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</si>
  <si>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</si>
  <si>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</si>
  <si>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</si>
  <si>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</si>
  <si>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</si>
  <si>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</si>
  <si>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</si>
  <si>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</si>
  <si>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</si>
  <si>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</si>
  <si>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</si>
  <si>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</si>
  <si>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</si>
  <si>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</si>
  <si>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</si>
  <si>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</si>
  <si>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</si>
  <si>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</si>
  <si>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</si>
  <si>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</si>
  <si>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</si>
  <si>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</si>
  <si>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</si>
  <si>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</si>
  <si>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</si>
  <si>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</si>
  <si>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</si>
  <si>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</si>
  <si>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</si>
  <si>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</si>
  <si>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</si>
  <si>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</si>
  <si>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</si>
  <si>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</si>
  <si>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</si>
  <si>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</si>
  <si>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</si>
  <si>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</si>
  <si>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</si>
  <si>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</si>
  <si>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</si>
  <si>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</si>
  <si>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</si>
  <si>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</si>
  <si>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</si>
  <si>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</si>
  <si>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</si>
  <si>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</si>
  <si>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</si>
  <si>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</si>
  <si>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</si>
  <si>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</si>
  <si>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</si>
  <si>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</si>
  <si>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</si>
  <si>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</si>
  <si>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</si>
  <si>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</si>
  <si>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</si>
  <si>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</si>
  <si>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</si>
  <si>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</si>
  <si>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</si>
  <si>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</si>
  <si>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</si>
  <si>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</si>
  <si>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</si>
  <si>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</si>
  <si>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</si>
  <si>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</si>
  <si>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</si>
  <si>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</si>
  <si>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</si>
  <si>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</si>
  <si>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</si>
  <si>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</si>
  <si>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</si>
  <si>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</si>
  <si>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</si>
  <si>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</si>
  <si>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</si>
  <si>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</si>
  <si>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</si>
  <si>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</si>
  <si>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-1层(-1)</t>
  </si>
  <si>
    <t>-102</t>
  </si>
  <si>
    <t>-103</t>
  </si>
  <si>
    <t>-104</t>
  </si>
  <si>
    <t>-105</t>
  </si>
  <si>
    <t>-106</t>
  </si>
  <si>
    <t>-107</t>
  </si>
  <si>
    <t>-108</t>
  </si>
  <si>
    <t>-109</t>
  </si>
  <si>
    <t>-110</t>
  </si>
  <si>
    <t>-111</t>
  </si>
  <si>
    <t>-112</t>
  </si>
  <si>
    <t>-113</t>
  </si>
  <si>
    <t>-114</t>
  </si>
  <si>
    <t>-115</t>
  </si>
  <si>
    <t>-116</t>
  </si>
  <si>
    <t>-117</t>
  </si>
  <si>
    <t>1层(01)</t>
  </si>
  <si>
    <t>103</t>
  </si>
  <si>
    <t>104</t>
  </si>
  <si>
    <t>2层(02)</t>
  </si>
  <si>
    <t>3层(03)</t>
  </si>
  <si>
    <t>302</t>
  </si>
  <si>
    <t>4层(04)</t>
  </si>
  <si>
    <t>402</t>
  </si>
  <si>
    <t>5层(05)</t>
  </si>
  <si>
    <t>502</t>
  </si>
  <si>
    <t>6层(06)</t>
  </si>
  <si>
    <t>602</t>
  </si>
  <si>
    <t>7层(07)</t>
  </si>
  <si>
    <t>702</t>
  </si>
  <si>
    <t>8层(08)</t>
  </si>
  <si>
    <t>802</t>
  </si>
  <si>
    <t>9层(09)</t>
  </si>
  <si>
    <t>902</t>
  </si>
  <si>
    <t>10层(10)</t>
  </si>
  <si>
    <t>1002</t>
  </si>
  <si>
    <t>11层(11)</t>
  </si>
  <si>
    <t>1102</t>
  </si>
  <si>
    <t>12层(12)</t>
  </si>
  <si>
    <t>1202</t>
  </si>
  <si>
    <t>13层(13)</t>
  </si>
  <si>
    <t>1302</t>
  </si>
  <si>
    <t>14层(14)</t>
  </si>
  <si>
    <t>1402</t>
  </si>
  <si>
    <t>15层(15)</t>
  </si>
  <si>
    <t>1502</t>
  </si>
  <si>
    <t>16层(16)</t>
  </si>
  <si>
    <t>1602</t>
  </si>
  <si>
    <t>17层(17)</t>
  </si>
  <si>
    <t>1702</t>
  </si>
  <si>
    <t>18层(18)</t>
  </si>
  <si>
    <t>1802</t>
  </si>
  <si>
    <t>19层(19)</t>
  </si>
  <si>
    <t>1902</t>
  </si>
  <si>
    <t>20层(20)</t>
  </si>
  <si>
    <t>2002</t>
  </si>
  <si>
    <t>合计</t>
    <phoneticPr fontId="257" type="noConversion"/>
  </si>
  <si>
    <t>地上：</t>
    <phoneticPr fontId="257" type="noConversion"/>
  </si>
  <si>
    <t>地下：</t>
    <phoneticPr fontId="257" type="noConversion"/>
  </si>
  <si>
    <t>附件一</t>
    <phoneticPr fontId="140" type="noConversion"/>
  </si>
  <si>
    <t>A2北塔分层面积</t>
    <phoneticPr fontId="140" type="noConversion"/>
  </si>
  <si>
    <t>房号</t>
    <phoneticPr fontId="140" type="noConversion"/>
  </si>
  <si>
    <t>建筑面积（平方米）</t>
    <phoneticPr fontId="140" type="noConversion"/>
  </si>
  <si>
    <t>备注</t>
    <phoneticPr fontId="140" type="noConversion"/>
  </si>
  <si>
    <t>2002</t>
    <phoneticPr fontId="257" type="noConversion"/>
  </si>
  <si>
    <t>办公</t>
    <phoneticPr fontId="257" type="noConversion"/>
  </si>
  <si>
    <t>1902</t>
    <phoneticPr fontId="257" type="noConversion"/>
  </si>
  <si>
    <t>1802</t>
    <phoneticPr fontId="257" type="noConversion"/>
  </si>
  <si>
    <t>1702</t>
    <phoneticPr fontId="257" type="noConversion"/>
  </si>
  <si>
    <t>1602</t>
    <phoneticPr fontId="257" type="noConversion"/>
  </si>
  <si>
    <t>1502</t>
    <phoneticPr fontId="257" type="noConversion"/>
  </si>
  <si>
    <t>1402</t>
    <phoneticPr fontId="257" type="noConversion"/>
  </si>
  <si>
    <t>1302</t>
    <phoneticPr fontId="257" type="noConversion"/>
  </si>
  <si>
    <t>1202</t>
    <phoneticPr fontId="257" type="noConversion"/>
  </si>
  <si>
    <t>1102</t>
    <phoneticPr fontId="257" type="noConversion"/>
  </si>
  <si>
    <t>1002</t>
    <phoneticPr fontId="257" type="noConversion"/>
  </si>
  <si>
    <t>902</t>
    <phoneticPr fontId="257" type="noConversion"/>
  </si>
  <si>
    <t>802</t>
    <phoneticPr fontId="257" type="noConversion"/>
  </si>
  <si>
    <t>702</t>
    <phoneticPr fontId="257" type="noConversion"/>
  </si>
  <si>
    <t>602</t>
    <phoneticPr fontId="257" type="noConversion"/>
  </si>
  <si>
    <t>502</t>
    <phoneticPr fontId="257" type="noConversion"/>
  </si>
  <si>
    <t>402</t>
    <phoneticPr fontId="257" type="noConversion"/>
  </si>
  <si>
    <t>302</t>
    <phoneticPr fontId="257" type="noConversion"/>
  </si>
  <si>
    <t>103</t>
    <phoneticPr fontId="257" type="noConversion"/>
  </si>
  <si>
    <t>商业</t>
    <phoneticPr fontId="257" type="noConversion"/>
  </si>
  <si>
    <t>104</t>
    <phoneticPr fontId="257" type="noConversion"/>
  </si>
  <si>
    <t>-1层(-1)</t>
    <phoneticPr fontId="140" type="noConversion"/>
  </si>
  <si>
    <t>-2层(-2)</t>
    <phoneticPr fontId="257" type="noConversion"/>
  </si>
  <si>
    <t>102个车位</t>
    <phoneticPr fontId="257" type="noConversion"/>
  </si>
  <si>
    <t>-4层(-4)</t>
    <phoneticPr fontId="257" type="noConversion"/>
  </si>
  <si>
    <t>167个车位</t>
    <phoneticPr fontId="257" type="noConversion"/>
  </si>
  <si>
    <t>-6层(-6)</t>
    <phoneticPr fontId="257" type="noConversion"/>
  </si>
  <si>
    <t>无规划用途</t>
    <phoneticPr fontId="257" type="noConversion"/>
  </si>
  <si>
    <t>合计</t>
    <phoneticPr fontId="140" type="noConversion"/>
  </si>
  <si>
    <t>地上：</t>
    <phoneticPr fontId="140" type="noConversion"/>
  </si>
  <si>
    <t>地下商业及车位</t>
    <phoneticPr fontId="257" type="noConversion"/>
  </si>
  <si>
    <t>无规划用途</t>
    <phoneticPr fontId="140" type="noConversion"/>
  </si>
  <si>
    <t>地上</t>
  </si>
  <si>
    <t>地下</t>
  </si>
  <si>
    <t>车库</t>
  </si>
  <si>
    <t>仓储</t>
  </si>
  <si>
    <t>是</t>
  </si>
  <si>
    <t>办公</t>
    <phoneticPr fontId="7" type="noConversion"/>
  </si>
  <si>
    <t>商业</t>
    <phoneticPr fontId="7" type="noConversion"/>
  </si>
  <si>
    <t>地下车库</t>
    <phoneticPr fontId="7" type="noConversion"/>
  </si>
  <si>
    <t>仓储</t>
    <phoneticPr fontId="7" type="noConversion"/>
  </si>
  <si>
    <t>利息：取LPR加浮动点数</t>
  </si>
  <si>
    <t>成新度</t>
  </si>
  <si>
    <t>收益法</t>
  </si>
  <si>
    <t>押一</t>
  </si>
  <si>
    <t>按租金收入计税</t>
  </si>
  <si>
    <t>钢混</t>
  </si>
  <si>
    <t>非生产用房</t>
  </si>
  <si>
    <t>商业</t>
    <phoneticPr fontId="3" type="noConversion"/>
  </si>
  <si>
    <t>收益法(商业)</t>
  </si>
  <si>
    <t>收益法(商业)</t>
    <phoneticPr fontId="16" type="noConversion"/>
  </si>
  <si>
    <t>自定义</t>
  </si>
  <si>
    <t>收益法(车库)</t>
  </si>
  <si>
    <t>收益法(车库)</t>
    <phoneticPr fontId="16" type="noConversion"/>
  </si>
  <si>
    <t>收益法(仓储)</t>
  </si>
  <si>
    <t>收益法(仓储)</t>
    <phoneticPr fontId="16" type="noConversion"/>
  </si>
  <si>
    <t>未包含在土地购买价格中</t>
  </si>
  <si>
    <t>全部缴纳</t>
  </si>
  <si>
    <t>已包含在土地取得成本中</t>
  </si>
  <si>
    <t>成本法</t>
  </si>
  <si>
    <t>收益法（汇总）</t>
  </si>
  <si>
    <t>总价</t>
  </si>
  <si>
    <t>成本比率</t>
  </si>
  <si>
    <t>否</t>
  </si>
  <si>
    <t>售价</t>
  </si>
  <si>
    <t>比较法-办公</t>
  </si>
  <si>
    <t>成本法(除办公)</t>
  </si>
  <si>
    <t>成本法(除办公)</t>
    <phoneticPr fontId="16" type="noConversion"/>
  </si>
  <si>
    <t>成本法 (商业)</t>
  </si>
  <si>
    <t>成本法 (商业)</t>
    <phoneticPr fontId="16" type="noConversion"/>
  </si>
  <si>
    <t>成本法 (车库)</t>
  </si>
  <si>
    <t>成本法 (车库)</t>
    <phoneticPr fontId="16" type="noConversion"/>
  </si>
  <si>
    <t>成本法 (仓储)</t>
  </si>
  <si>
    <t>成本法 (仓储)</t>
    <phoneticPr fontId="16" type="noConversion"/>
  </si>
  <si>
    <t>办公</t>
    <phoneticPr fontId="140" type="noConversion"/>
  </si>
  <si>
    <t>商业</t>
    <phoneticPr fontId="140" type="noConversion"/>
  </si>
  <si>
    <t>车库</t>
    <phoneticPr fontId="140" type="noConversion"/>
  </si>
  <si>
    <t>仓储</t>
    <phoneticPr fontId="140" type="noConversion"/>
  </si>
  <si>
    <t>北京兆泰集团股份有限公司</t>
    <phoneticPr fontId="6" type="noConversion"/>
  </si>
  <si>
    <t>渤海银行</t>
    <phoneticPr fontId="6" type="noConversion"/>
  </si>
  <si>
    <r>
      <rPr>
        <sz val="10"/>
        <color theme="9" tint="-0.249977111117893"/>
        <rFont val="宋体"/>
        <family val="3"/>
        <charset val="134"/>
      </rPr>
      <t>朝阳区朝阳门南大街</t>
    </r>
    <r>
      <rPr>
        <sz val="10"/>
        <color theme="9" tint="-0.249977111117893"/>
        <rFont val="Arial"/>
        <family val="2"/>
      </rPr>
      <t>10</t>
    </r>
    <r>
      <rPr>
        <sz val="10"/>
        <color theme="9" tint="-0.249977111117893"/>
        <rFont val="宋体"/>
        <family val="3"/>
        <charset val="134"/>
      </rPr>
      <t>号</t>
    </r>
    <phoneticPr fontId="6" type="noConversion"/>
  </si>
  <si>
    <t>通路</t>
  </si>
  <si>
    <t>通电</t>
  </si>
  <si>
    <t>通讯</t>
  </si>
  <si>
    <t>通上水</t>
  </si>
  <si>
    <t>通下水</t>
  </si>
  <si>
    <t>燃气</t>
  </si>
  <si>
    <t>车库</t>
    <phoneticPr fontId="140" type="noConversion"/>
  </si>
  <si>
    <t>商业</t>
    <phoneticPr fontId="140" type="noConversion"/>
  </si>
  <si>
    <t>办公</t>
    <phoneticPr fontId="140" type="noConversion"/>
  </si>
  <si>
    <t>东方银座</t>
    <phoneticPr fontId="3" type="noConversion"/>
  </si>
  <si>
    <t>办公</t>
    <phoneticPr fontId="32" type="noConversion"/>
  </si>
  <si>
    <t>30-40（含）</t>
  </si>
  <si>
    <t>较好</t>
  </si>
  <si>
    <t>好</t>
  </si>
  <si>
    <t>七通</t>
  </si>
  <si>
    <t>快速路</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</si>
  <si>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</si>
  <si>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</si>
  <si>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</si>
  <si>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</si>
  <si>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</si>
  <si>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</si>
  <si>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标准写字楼</t>
  </si>
  <si>
    <t>标准写字楼</t>
    <phoneticPr fontId="32" type="noConversion"/>
  </si>
  <si>
    <t>钢混</t>
    <phoneticPr fontId="32" type="noConversion"/>
  </si>
  <si>
    <t>精装</t>
  </si>
  <si>
    <t>精装</t>
    <phoneticPr fontId="32" type="noConversion"/>
  </si>
  <si>
    <t>专业</t>
  </si>
  <si>
    <t>专业</t>
    <phoneticPr fontId="32" type="noConversion"/>
  </si>
  <si>
    <t>六通</t>
  </si>
  <si>
    <t>六通</t>
    <phoneticPr fontId="32" type="noConversion"/>
  </si>
  <si>
    <t>普装</t>
  </si>
  <si>
    <t>普装</t>
    <phoneticPr fontId="32" type="noConversion"/>
  </si>
  <si>
    <t>天恒大厦</t>
    <phoneticPr fontId="3" type="noConversion"/>
  </si>
  <si>
    <t>标准层高</t>
  </si>
  <si>
    <t>标准层高</t>
    <phoneticPr fontId="32" type="noConversion"/>
  </si>
  <si>
    <t>万邦大厦</t>
    <phoneticPr fontId="3" type="noConversion"/>
  </si>
  <si>
    <t>支路</t>
  </si>
  <si>
    <t>吴薇</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</si>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</sst>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Red]0.000000"/>
    <numFmt numFmtId="198" formatCode="0.000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6"/>
      <name val="黑体"/>
      <family val="3"/>
      <charset val="134"/>
    </font>
    <font>
      <sz val="9"/>
      <name val="宋体"/>
      <family val="2"/>
      <charset val="134"/>
      <scheme val="minor"/>
    </font>
    <font>
      <sz val="10"/>
      <color theme="1"/>
      <name val="微软雅黑"/>
      <family val="2"/>
      <charset val="134"/>
    </font>
    <font>
      <b/>
      <sz val="10"/>
      <color theme="1"/>
      <name val="微软雅黑"/>
      <family val="2"/>
      <charset val="134"/>
    </font>
    <font>
      <sz val="10"/>
      <name val="微软雅黑"/>
      <family val="2"/>
      <charset val="134"/>
    </font>
    <font>
      <sz val="10"/>
      <color theme="1"/>
      <name val="等线"/>
      <family val="3"/>
      <charset val="134"/>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tint="-0.249977111117893"/>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6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0" borderId="0" xfId="0" applyAlignment="1" applyProtection="1">
      <protection locked="0"/>
    </xf>
    <xf numFmtId="176" fontId="19" fillId="0" borderId="1" xfId="0" applyNumberFormat="1" applyFont="1" applyBorder="1" applyAlignment="1">
      <alignment horizontal="center" vertical="center" shrinkToFit="1"/>
    </xf>
    <xf numFmtId="197" fontId="19" fillId="0" borderId="1" xfId="0" applyNumberFormat="1" applyFont="1" applyBorder="1" applyAlignment="1">
      <alignment horizontal="center" vertical="center" shrinkToFit="1"/>
    </xf>
    <xf numFmtId="176" fontId="19" fillId="0" borderId="1" xfId="0" applyNumberFormat="1" applyFont="1" applyBorder="1" applyAlignment="1">
      <alignment horizontal="center" vertical="center" wrapText="1" shrinkToFit="1"/>
    </xf>
    <xf numFmtId="197" fontId="19" fillId="0" borderId="58" xfId="0" applyNumberFormat="1" applyFont="1" applyBorder="1" applyAlignment="1" applyProtection="1">
      <alignment horizontal="center" vertical="center" shrinkToFit="1"/>
      <protection locked="0"/>
    </xf>
    <xf numFmtId="49" fontId="19" fillId="0" borderId="1" xfId="0" applyNumberFormat="1" applyFont="1" applyBorder="1" applyAlignment="1">
      <alignment horizontal="center" vertical="center" shrinkToFit="1"/>
    </xf>
    <xf numFmtId="179" fontId="19" fillId="0" borderId="1" xfId="0" applyNumberFormat="1" applyFont="1" applyBorder="1" applyAlignment="1">
      <alignment horizontal="center" vertical="center" shrinkToFit="1"/>
    </xf>
    <xf numFmtId="176" fontId="79" fillId="0" borderId="1" xfId="0" applyNumberFormat="1" applyFont="1" applyBorder="1" applyAlignment="1">
      <alignment horizontal="center" vertical="center" shrinkToFit="1"/>
    </xf>
    <xf numFmtId="198" fontId="19" fillId="0" borderId="1" xfId="0" applyNumberFormat="1" applyFont="1" applyBorder="1" applyAlignment="1">
      <alignment horizontal="center" vertical="center" shrinkToFit="1"/>
    </xf>
    <xf numFmtId="177" fontId="0" fillId="0" borderId="0" xfId="0" applyNumberFormat="1" applyAlignment="1" applyProtection="1">
      <protection locked="0"/>
    </xf>
    <xf numFmtId="0" fontId="19" fillId="0" borderId="1" xfId="0" applyFont="1" applyBorder="1" applyAlignment="1">
      <alignment horizontal="center" vertical="center" shrinkToFit="1"/>
    </xf>
    <xf numFmtId="0" fontId="79" fillId="0" borderId="1" xfId="0" applyFont="1" applyBorder="1" applyAlignment="1">
      <alignment horizontal="center" vertical="center" shrinkToFit="1"/>
    </xf>
    <xf numFmtId="49" fontId="19" fillId="0" borderId="1" xfId="0" quotePrefix="1" applyNumberFormat="1" applyFont="1" applyBorder="1" applyAlignment="1">
      <alignment horizontal="center" vertical="center" shrinkToFit="1"/>
    </xf>
    <xf numFmtId="179" fontId="83" fillId="0" borderId="1" xfId="0" applyNumberFormat="1" applyFont="1" applyBorder="1" applyAlignment="1">
      <alignment horizontal="center" vertical="center" shrinkToFit="1"/>
    </xf>
    <xf numFmtId="176" fontId="83" fillId="0" borderId="1" xfId="0" applyNumberFormat="1" applyFont="1" applyBorder="1" applyAlignment="1">
      <alignment horizontal="center" vertical="center" shrinkToFit="1"/>
    </xf>
    <xf numFmtId="0" fontId="258" fillId="0" borderId="0" xfId="0" applyFont="1">
      <alignment vertical="center"/>
    </xf>
    <xf numFmtId="43" fontId="258" fillId="0" borderId="0" xfId="17" applyFont="1" applyBorder="1" applyAlignment="1">
      <alignment vertical="center"/>
    </xf>
    <xf numFmtId="0" fontId="259" fillId="20" borderId="160" xfId="0" applyFont="1" applyFill="1" applyBorder="1">
      <alignment vertical="center"/>
    </xf>
    <xf numFmtId="43" fontId="259" fillId="20" borderId="161" xfId="17" applyFont="1" applyFill="1" applyBorder="1" applyAlignment="1">
      <alignment vertical="center"/>
    </xf>
    <xf numFmtId="0" fontId="259" fillId="20" borderId="162" xfId="0" applyFont="1" applyFill="1" applyBorder="1">
      <alignment vertical="center"/>
    </xf>
    <xf numFmtId="49" fontId="260" fillId="0" borderId="163" xfId="0" applyNumberFormat="1" applyFont="1" applyBorder="1" applyAlignment="1">
      <alignment vertical="center" shrinkToFit="1"/>
    </xf>
    <xf numFmtId="43" fontId="260" fillId="0" borderId="164" xfId="17" applyFont="1" applyBorder="1" applyAlignment="1">
      <alignment vertical="center" shrinkToFit="1"/>
    </xf>
    <xf numFmtId="0" fontId="258" fillId="0" borderId="165" xfId="0" applyFont="1" applyBorder="1" applyAlignment="1">
      <alignment vertical="center" wrapText="1"/>
    </xf>
    <xf numFmtId="0" fontId="258" fillId="0" borderId="166" xfId="0" applyFont="1" applyBorder="1">
      <alignment vertical="center"/>
    </xf>
    <xf numFmtId="43" fontId="258" fillId="0" borderId="0" xfId="0" applyNumberFormat="1" applyFont="1">
      <alignment vertical="center"/>
    </xf>
    <xf numFmtId="0" fontId="261" fillId="0" borderId="0" xfId="0" applyFont="1" applyAlignment="1">
      <alignment horizontal="center" vertical="center"/>
    </xf>
    <xf numFmtId="49" fontId="260" fillId="0" borderId="167" xfId="0" applyNumberFormat="1" applyFont="1" applyBorder="1" applyAlignment="1">
      <alignment horizontal="left" vertical="center" shrinkToFit="1"/>
    </xf>
    <xf numFmtId="0" fontId="259" fillId="0" borderId="163" xfId="0" applyFont="1" applyBorder="1">
      <alignment vertical="center"/>
    </xf>
    <xf numFmtId="43" fontId="259" fillId="0" borderId="164" xfId="17" applyFont="1" applyBorder="1" applyAlignment="1">
      <alignment vertical="center"/>
    </xf>
    <xf numFmtId="0" fontId="259" fillId="0" borderId="167" xfId="0" applyFont="1" applyBorder="1">
      <alignment vertical="center"/>
    </xf>
    <xf numFmtId="43" fontId="259" fillId="0" borderId="170" xfId="17" applyFont="1" applyBorder="1" applyAlignment="1">
      <alignment vertical="center"/>
    </xf>
    <xf numFmtId="0" fontId="258" fillId="0" borderId="168" xfId="0" applyFont="1" applyBorder="1">
      <alignment vertical="center"/>
    </xf>
    <xf numFmtId="0" fontId="259" fillId="0" borderId="171" xfId="0" applyFont="1" applyBorder="1">
      <alignment vertical="center"/>
    </xf>
    <xf numFmtId="43" fontId="259" fillId="0" borderId="172" xfId="17" applyFont="1" applyBorder="1" applyAlignment="1">
      <alignment vertical="center"/>
    </xf>
    <xf numFmtId="0" fontId="258" fillId="0" borderId="173" xfId="0" applyFont="1" applyBorder="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43" fontId="261" fillId="0" borderId="0" xfId="0" applyNumberFormat="1" applyFont="1" applyAlignment="1">
      <alignment horizontal="center" vertical="center"/>
    </xf>
    <xf numFmtId="181" fontId="46" fillId="5" borderId="1" xfId="0" applyNumberFormat="1" applyFont="1" applyFill="1" applyBorder="1" applyAlignment="1" applyProtection="1">
      <alignment vertical="center"/>
      <protection locked="0"/>
    </xf>
    <xf numFmtId="181" fontId="49" fillId="5" borderId="1" xfId="0" applyNumberFormat="1" applyFont="1" applyFill="1" applyBorder="1" applyAlignment="1" applyProtection="1">
      <alignment vertical="center"/>
      <protection locked="0"/>
    </xf>
    <xf numFmtId="9" fontId="118" fillId="5" borderId="5" xfId="0" applyNumberFormat="1" applyFont="1" applyFill="1" applyBorder="1" applyAlignment="1" applyProtection="1">
      <alignment horizontal="center" vertical="center"/>
      <protection locked="0"/>
    </xf>
    <xf numFmtId="181" fontId="118" fillId="5" borderId="1" xfId="0" applyNumberFormat="1" applyFont="1" applyFill="1" applyBorder="1" applyAlignment="1" applyProtection="1">
      <alignment horizontal="center" vertical="center"/>
      <protection locked="0"/>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61" fillId="5" borderId="1" xfId="1" applyNumberFormat="1" applyFont="1" applyFill="1" applyBorder="1" applyAlignment="1" applyProtection="1"/>
    <xf numFmtId="177" fontId="55" fillId="5" borderId="1" xfId="1" applyNumberFormat="1" applyFont="1" applyFill="1" applyBorder="1" applyAlignment="1" applyProtection="1">
      <alignment horizontal="center"/>
    </xf>
    <xf numFmtId="9" fontId="46" fillId="5" borderId="33" xfId="0" applyNumberFormat="1" applyFont="1" applyFill="1" applyBorder="1" applyAlignment="1" applyProtection="1">
      <alignment horizontal="center" vertical="center"/>
    </xf>
    <xf numFmtId="9" fontId="56" fillId="5" borderId="5" xfId="1" applyNumberFormat="1" applyFont="1" applyFill="1" applyBorder="1" applyAlignment="1" applyProtection="1">
      <alignment horizontal="center"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183" fontId="55" fillId="0" borderId="49" xfId="0" applyNumberFormat="1" applyFont="1" applyFill="1" applyBorder="1" applyAlignment="1" applyProtection="1">
      <alignment horizontal="center" vertical="center"/>
      <protection locked="0"/>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49" fontId="262" fillId="12" borderId="4" xfId="0" applyNumberFormat="1" applyFont="1" applyFill="1" applyBorder="1" applyAlignment="1" applyProtection="1">
      <alignment horizontal="lef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46" fillId="6" borderId="1" xfId="0" applyNumberFormat="1"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0" xfId="0" applyFont="1" applyAlignment="1">
      <alignment horizontal="center" vertical="center"/>
    </xf>
    <xf numFmtId="0" fontId="19" fillId="0" borderId="60" xfId="0" applyFont="1" applyBorder="1" applyAlignment="1">
      <alignment horizontal="left" vertical="center"/>
    </xf>
    <xf numFmtId="49" fontId="19" fillId="0" borderId="1" xfId="0" applyNumberFormat="1" applyFont="1" applyBorder="1" applyAlignment="1">
      <alignment horizontal="center" vertical="center" shrinkToFit="1"/>
    </xf>
    <xf numFmtId="176" fontId="19" fillId="0" borderId="1" xfId="0" applyNumberFormat="1" applyFont="1" applyBorder="1" applyAlignment="1">
      <alignment horizontal="center" vertical="center" shrinkToFit="1"/>
    </xf>
    <xf numFmtId="176" fontId="79" fillId="0" borderId="1" xfId="0" applyNumberFormat="1" applyFont="1" applyBorder="1" applyAlignment="1">
      <alignment horizontal="center" vertical="center" wrapText="1" shrinkToFit="1"/>
    </xf>
    <xf numFmtId="176" fontId="19" fillId="0" borderId="1" xfId="0" applyNumberFormat="1" applyFont="1" applyBorder="1" applyAlignment="1">
      <alignment horizontal="center" vertical="center" wrapText="1" shrinkToFit="1"/>
    </xf>
    <xf numFmtId="0" fontId="177" fillId="0" borderId="0" xfId="0" applyFont="1" applyAlignment="1">
      <alignment horizontal="center" vertical="center"/>
    </xf>
    <xf numFmtId="0" fontId="258" fillId="0" borderId="168" xfId="0" applyFont="1" applyBorder="1" applyAlignment="1">
      <alignment horizontal="center" vertical="center"/>
    </xf>
    <xf numFmtId="0" fontId="258" fillId="0" borderId="169" xfId="0" applyFont="1" applyBorder="1" applyAlignment="1">
      <alignment horizontal="center" vertical="center"/>
    </xf>
    <xf numFmtId="0" fontId="258" fillId="0" borderId="165"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protection locked="0"/>
    </xf>
    <xf numFmtId="0" fontId="48" fillId="6" borderId="54" xfId="0" applyFont="1" applyFill="1" applyBorder="1" applyAlignment="1" applyProtection="1">
      <alignment horizontal="center" vertical="center"/>
      <protection locked="0"/>
    </xf>
    <xf numFmtId="0" fontId="48" fillId="6" borderId="3" xfId="0"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8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146182</xdr:colOff>
      <xdr:row>0</xdr:row>
      <xdr:rowOff>152401</xdr:rowOff>
    </xdr:from>
    <xdr:to>
      <xdr:col>10</xdr:col>
      <xdr:colOff>293947</xdr:colOff>
      <xdr:row>8</xdr:row>
      <xdr:rowOff>57151</xdr:rowOff>
    </xdr:to>
    <xdr:pic>
      <xdr:nvPicPr>
        <xdr:cNvPr id="2" name="图片 1">
          <a:extLst>
            <a:ext uri="{FF2B5EF4-FFF2-40B4-BE49-F238E27FC236}">
              <a16:creationId xmlns:a16="http://schemas.microsoft.com/office/drawing/2014/main" id="{FBA4D21A-53D5-E3A3-4239-80EC0C6E0ADD}"/>
            </a:ext>
          </a:extLst>
        </xdr:cNvPr>
        <xdr:cNvPicPr>
          <a:picLocks noChangeAspect="1"/>
        </xdr:cNvPicPr>
      </xdr:nvPicPr>
      <xdr:blipFill>
        <a:blip xmlns:r="http://schemas.openxmlformats.org/officeDocument/2006/relationships" r:embed="rId1"/>
        <a:stretch>
          <a:fillRect/>
        </a:stretch>
      </xdr:blipFill>
      <xdr:spPr>
        <a:xfrm>
          <a:off x="146182" y="152401"/>
          <a:ext cx="6243765" cy="1327150"/>
        </a:xfrm>
        <a:prstGeom prst="rect">
          <a:avLst/>
        </a:prstGeom>
      </xdr:spPr>
    </xdr:pic>
    <xdr:clientData/>
  </xdr:twoCellAnchor>
  <xdr:twoCellAnchor editAs="oneCell">
    <xdr:from>
      <xdr:col>0</xdr:col>
      <xdr:colOff>133350</xdr:colOff>
      <xdr:row>8</xdr:row>
      <xdr:rowOff>127000</xdr:rowOff>
    </xdr:from>
    <xdr:to>
      <xdr:col>12</xdr:col>
      <xdr:colOff>24048</xdr:colOff>
      <xdr:row>15</xdr:row>
      <xdr:rowOff>112985</xdr:rowOff>
    </xdr:to>
    <xdr:pic>
      <xdr:nvPicPr>
        <xdr:cNvPr id="3" name="图片 2">
          <a:extLst>
            <a:ext uri="{FF2B5EF4-FFF2-40B4-BE49-F238E27FC236}">
              <a16:creationId xmlns:a16="http://schemas.microsoft.com/office/drawing/2014/main" id="{44CE07F5-165B-DA2F-2D98-D88807DBBC98}"/>
            </a:ext>
          </a:extLst>
        </xdr:cNvPr>
        <xdr:cNvPicPr>
          <a:picLocks noChangeAspect="1"/>
        </xdr:cNvPicPr>
      </xdr:nvPicPr>
      <xdr:blipFill>
        <a:blip xmlns:r="http://schemas.openxmlformats.org/officeDocument/2006/relationships" r:embed="rId2"/>
        <a:stretch>
          <a:fillRect/>
        </a:stretch>
      </xdr:blipFill>
      <xdr:spPr>
        <a:xfrm>
          <a:off x="133350" y="1549400"/>
          <a:ext cx="7205898" cy="1230585"/>
        </a:xfrm>
        <a:prstGeom prst="rect">
          <a:avLst/>
        </a:prstGeom>
      </xdr:spPr>
    </xdr:pic>
    <xdr:clientData/>
  </xdr:twoCellAnchor>
  <xdr:twoCellAnchor editAs="oneCell">
    <xdr:from>
      <xdr:col>0</xdr:col>
      <xdr:colOff>288925</xdr:colOff>
      <xdr:row>16</xdr:row>
      <xdr:rowOff>57150</xdr:rowOff>
    </xdr:from>
    <xdr:to>
      <xdr:col>11</xdr:col>
      <xdr:colOff>450850</xdr:colOff>
      <xdr:row>37</xdr:row>
      <xdr:rowOff>100853</xdr:rowOff>
    </xdr:to>
    <xdr:pic>
      <xdr:nvPicPr>
        <xdr:cNvPr id="4" name="图片 3">
          <a:extLst>
            <a:ext uri="{FF2B5EF4-FFF2-40B4-BE49-F238E27FC236}">
              <a16:creationId xmlns:a16="http://schemas.microsoft.com/office/drawing/2014/main" id="{5573C5C2-83A7-4A4D-8184-88B109457571}"/>
            </a:ext>
          </a:extLst>
        </xdr:cNvPr>
        <xdr:cNvPicPr>
          <a:picLocks noChangeAspect="1"/>
        </xdr:cNvPicPr>
      </xdr:nvPicPr>
      <xdr:blipFill>
        <a:blip xmlns:r="http://schemas.openxmlformats.org/officeDocument/2006/relationships" r:embed="rId3"/>
        <a:stretch>
          <a:fillRect/>
        </a:stretch>
      </xdr:blipFill>
      <xdr:spPr>
        <a:xfrm>
          <a:off x="288925" y="2901950"/>
          <a:ext cx="6867525" cy="3777503"/>
        </a:xfrm>
        <a:prstGeom prst="rect">
          <a:avLst/>
        </a:prstGeom>
      </xdr:spPr>
    </xdr:pic>
    <xdr:clientData/>
  </xdr:twoCellAnchor>
  <xdr:twoCellAnchor editAs="oneCell">
    <xdr:from>
      <xdr:col>11</xdr:col>
      <xdr:colOff>447675</xdr:colOff>
      <xdr:row>15</xdr:row>
      <xdr:rowOff>133350</xdr:rowOff>
    </xdr:from>
    <xdr:to>
      <xdr:col>18</xdr:col>
      <xdr:colOff>516680</xdr:colOff>
      <xdr:row>26</xdr:row>
      <xdr:rowOff>39828</xdr:rowOff>
    </xdr:to>
    <xdr:pic>
      <xdr:nvPicPr>
        <xdr:cNvPr id="5" name="图片 4">
          <a:extLst>
            <a:ext uri="{FF2B5EF4-FFF2-40B4-BE49-F238E27FC236}">
              <a16:creationId xmlns:a16="http://schemas.microsoft.com/office/drawing/2014/main" id="{4764BE88-F785-45B5-B718-13E3C24608F1}"/>
            </a:ext>
          </a:extLst>
        </xdr:cNvPr>
        <xdr:cNvPicPr>
          <a:picLocks noChangeAspect="1"/>
        </xdr:cNvPicPr>
      </xdr:nvPicPr>
      <xdr:blipFill>
        <a:blip xmlns:r="http://schemas.openxmlformats.org/officeDocument/2006/relationships" r:embed="rId4"/>
        <a:stretch>
          <a:fillRect/>
        </a:stretch>
      </xdr:blipFill>
      <xdr:spPr>
        <a:xfrm>
          <a:off x="7153275" y="2800350"/>
          <a:ext cx="4336205" cy="1862278"/>
        </a:xfrm>
        <a:prstGeom prst="rect">
          <a:avLst/>
        </a:prstGeom>
      </xdr:spPr>
    </xdr:pic>
    <xdr:clientData/>
  </xdr:twoCellAnchor>
  <xdr:twoCellAnchor editAs="oneCell">
    <xdr:from>
      <xdr:col>0</xdr:col>
      <xdr:colOff>203200</xdr:colOff>
      <xdr:row>37</xdr:row>
      <xdr:rowOff>114300</xdr:rowOff>
    </xdr:from>
    <xdr:to>
      <xdr:col>11</xdr:col>
      <xdr:colOff>346075</xdr:colOff>
      <xdr:row>59</xdr:row>
      <xdr:rowOff>6477</xdr:rowOff>
    </xdr:to>
    <xdr:pic>
      <xdr:nvPicPr>
        <xdr:cNvPr id="6" name="图片 5">
          <a:extLst>
            <a:ext uri="{FF2B5EF4-FFF2-40B4-BE49-F238E27FC236}">
              <a16:creationId xmlns:a16="http://schemas.microsoft.com/office/drawing/2014/main" id="{EB73C494-321F-42DC-8D55-5E1F44CFA265}"/>
            </a:ext>
          </a:extLst>
        </xdr:cNvPr>
        <xdr:cNvPicPr>
          <a:picLocks noChangeAspect="1"/>
        </xdr:cNvPicPr>
      </xdr:nvPicPr>
      <xdr:blipFill>
        <a:blip xmlns:r="http://schemas.openxmlformats.org/officeDocument/2006/relationships" r:embed="rId5"/>
        <a:stretch>
          <a:fillRect/>
        </a:stretch>
      </xdr:blipFill>
      <xdr:spPr>
        <a:xfrm>
          <a:off x="203200" y="6692900"/>
          <a:ext cx="6848475" cy="3803777"/>
        </a:xfrm>
        <a:prstGeom prst="rect">
          <a:avLst/>
        </a:prstGeom>
      </xdr:spPr>
    </xdr:pic>
    <xdr:clientData/>
  </xdr:twoCellAnchor>
  <xdr:twoCellAnchor editAs="oneCell">
    <xdr:from>
      <xdr:col>0</xdr:col>
      <xdr:colOff>212726</xdr:colOff>
      <xdr:row>59</xdr:row>
      <xdr:rowOff>38100</xdr:rowOff>
    </xdr:from>
    <xdr:to>
      <xdr:col>11</xdr:col>
      <xdr:colOff>479426</xdr:colOff>
      <xdr:row>81</xdr:row>
      <xdr:rowOff>23163</xdr:rowOff>
    </xdr:to>
    <xdr:pic>
      <xdr:nvPicPr>
        <xdr:cNvPr id="7" name="图片 6">
          <a:extLst>
            <a:ext uri="{FF2B5EF4-FFF2-40B4-BE49-F238E27FC236}">
              <a16:creationId xmlns:a16="http://schemas.microsoft.com/office/drawing/2014/main" id="{A3561A73-2A83-4175-874C-C0C903C4D29E}"/>
            </a:ext>
          </a:extLst>
        </xdr:cNvPr>
        <xdr:cNvPicPr>
          <a:picLocks noChangeAspect="1"/>
        </xdr:cNvPicPr>
      </xdr:nvPicPr>
      <xdr:blipFill>
        <a:blip xmlns:r="http://schemas.openxmlformats.org/officeDocument/2006/relationships" r:embed="rId6"/>
        <a:stretch>
          <a:fillRect/>
        </a:stretch>
      </xdr:blipFill>
      <xdr:spPr>
        <a:xfrm>
          <a:off x="212726" y="10528300"/>
          <a:ext cx="6972300" cy="3896663"/>
        </a:xfrm>
        <a:prstGeom prst="rect">
          <a:avLst/>
        </a:prstGeom>
      </xdr:spPr>
    </xdr:pic>
    <xdr:clientData/>
  </xdr:twoCellAnchor>
  <xdr:twoCellAnchor editAs="oneCell">
    <xdr:from>
      <xdr:col>0</xdr:col>
      <xdr:colOff>288925</xdr:colOff>
      <xdr:row>81</xdr:row>
      <xdr:rowOff>28575</xdr:rowOff>
    </xdr:from>
    <xdr:to>
      <xdr:col>11</xdr:col>
      <xdr:colOff>555625</xdr:colOff>
      <xdr:row>102</xdr:row>
      <xdr:rowOff>140376</xdr:rowOff>
    </xdr:to>
    <xdr:pic>
      <xdr:nvPicPr>
        <xdr:cNvPr id="8" name="图片 7">
          <a:extLst>
            <a:ext uri="{FF2B5EF4-FFF2-40B4-BE49-F238E27FC236}">
              <a16:creationId xmlns:a16="http://schemas.microsoft.com/office/drawing/2014/main" id="{1DACC570-9D30-4D31-89F4-8C67EAF155CB}"/>
            </a:ext>
          </a:extLst>
        </xdr:cNvPr>
        <xdr:cNvPicPr>
          <a:picLocks noChangeAspect="1"/>
        </xdr:cNvPicPr>
      </xdr:nvPicPr>
      <xdr:blipFill>
        <a:blip xmlns:r="http://schemas.openxmlformats.org/officeDocument/2006/relationships" r:embed="rId7"/>
        <a:stretch>
          <a:fillRect/>
        </a:stretch>
      </xdr:blipFill>
      <xdr:spPr>
        <a:xfrm>
          <a:off x="288925" y="14430375"/>
          <a:ext cx="6972300" cy="3845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2-05/&#22522;&#20934;&#22320;&#20215;&#31995;&#25968;&#20462;&#27491;-&#20806;&#27888;&#22269;&#38469;&#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2-05/&#32463;&#33829;&#24615;&#29289;&#19994;&#36151;&#27454;&#30340;&#33539;&#222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31995;&#25968;&#20462;&#27491;-&#20806;&#27888;&#22269;&#38469;&#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208436</v>
          </cell>
        </row>
        <row r="41">
          <cell r="D41">
            <v>2640.82</v>
          </cell>
        </row>
        <row r="42">
          <cell r="D42">
            <v>18842.53</v>
          </cell>
        </row>
      </sheetData>
      <sheetData sheetId="34">
        <row r="2">
          <cell r="B2">
            <v>7556</v>
          </cell>
        </row>
      </sheetData>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北塔"/>
      <sheetName val="分层"/>
    </sheetNames>
    <sheetDataSet>
      <sheetData sheetId="0">
        <row r="456">
          <cell r="B456">
            <v>183.48</v>
          </cell>
        </row>
        <row r="457">
          <cell r="B457">
            <v>223.42</v>
          </cell>
        </row>
        <row r="460">
          <cell r="B460">
            <v>5035.82</v>
          </cell>
        </row>
        <row r="462">
          <cell r="B462">
            <v>5246.66</v>
          </cell>
        </row>
        <row r="464">
          <cell r="B464">
            <v>3906.68</v>
          </cell>
        </row>
        <row r="466">
          <cell r="B466">
            <v>3915.72</v>
          </cell>
        </row>
        <row r="468">
          <cell r="B468">
            <v>3941.96</v>
          </cell>
        </row>
        <row r="470">
          <cell r="B470">
            <v>3941.96</v>
          </cell>
        </row>
        <row r="472">
          <cell r="B472">
            <v>3941.96</v>
          </cell>
        </row>
        <row r="474">
          <cell r="B474">
            <v>3941.96</v>
          </cell>
        </row>
        <row r="476">
          <cell r="B476">
            <v>3941.96</v>
          </cell>
        </row>
        <row r="478">
          <cell r="B478">
            <v>3998.47</v>
          </cell>
        </row>
        <row r="480">
          <cell r="B480">
            <v>3976.21</v>
          </cell>
        </row>
        <row r="482">
          <cell r="B482">
            <v>4048.16</v>
          </cell>
        </row>
        <row r="484">
          <cell r="B484">
            <v>4048.16</v>
          </cell>
        </row>
        <row r="486">
          <cell r="B486">
            <v>4048.16</v>
          </cell>
        </row>
        <row r="488">
          <cell r="B488">
            <v>4048.16</v>
          </cell>
        </row>
        <row r="490">
          <cell r="B490">
            <v>4047.81</v>
          </cell>
        </row>
        <row r="492">
          <cell r="B492">
            <v>3822.25</v>
          </cell>
        </row>
        <row r="494">
          <cell r="B494">
            <v>3837.17</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4">
          <cell r="G24">
            <v>5.5E-2</v>
          </cell>
        </row>
        <row r="41">
          <cell r="E41">
            <v>2472</v>
          </cell>
        </row>
        <row r="42">
          <cell r="E42">
            <v>11756</v>
          </cell>
        </row>
      </sheetData>
      <sheetData sheetId="34">
        <row r="2">
          <cell r="B2">
            <v>7556</v>
          </cell>
        </row>
        <row r="24">
          <cell r="G24">
            <v>5.5E-2</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9.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8" customWidth="1"/>
    <col min="2" max="2" width="81" style="1325" customWidth="1"/>
    <col min="3" max="16384" width="9" style="1323"/>
  </cols>
  <sheetData>
    <row r="1" spans="1:2" s="1311" customFormat="1" ht="16" thickBot="1">
      <c r="A1" s="1310" t="s">
        <v>946</v>
      </c>
      <c r="B1" s="1309" t="s">
        <v>1025</v>
      </c>
    </row>
    <row r="2" spans="1:2" s="1314" customFormat="1" ht="15.5" thickTop="1">
      <c r="A2" s="1312" t="s">
        <v>947</v>
      </c>
      <c r="B2" s="1313" t="str">
        <f>'预评函-封皮'!B37:I37</f>
        <v>北京市朝阳区朝阳门南大街10号房地产抵押价值预评估</v>
      </c>
    </row>
    <row r="3" spans="1:2" s="1317" customFormat="1">
      <c r="A3" s="1315" t="s">
        <v>948</v>
      </c>
      <c r="B3" s="1316" t="str">
        <f>'预评函-封皮'!B40</f>
        <v>北京兆泰集团股份有限公司</v>
      </c>
    </row>
    <row r="4" spans="1:2" s="1317" customFormat="1">
      <c r="A4" s="1315" t="s">
        <v>949</v>
      </c>
      <c r="B4" s="1316" t="str">
        <f ca="1">'预评函-封皮'!B46</f>
        <v>吴薇（注册号：1419970001)、（注册号：0)</v>
      </c>
    </row>
    <row r="5" spans="1:2" s="1311" customFormat="1" ht="15.5" thickBot="1">
      <c r="A5" s="1318" t="s">
        <v>950</v>
      </c>
      <c r="B5" s="1319" t="str">
        <f>'预评函-封皮'!B49</f>
        <v>康正预评字号</v>
      </c>
    </row>
    <row r="6" spans="1:2" s="1314" customFormat="1" ht="15.5" thickTop="1">
      <c r="A6" s="1312" t="s">
        <v>951</v>
      </c>
      <c r="B6" s="1313" t="str">
        <f>'预评函-1'!A4</f>
        <v>受贵公司委托，我公司对北京市朝阳区朝阳门南大街10号房地产抵押价值进行了预评估。</v>
      </c>
    </row>
    <row r="7" spans="1:2" s="1317" customFormat="1">
      <c r="A7" s="1315" t="s">
        <v>991</v>
      </c>
      <c r="B7" s="1316" t="str">
        <f>'预评函-1'!A7</f>
        <v>估价对象为北京市朝阳区朝阳门南大街10号房地产，为北京兆泰集团股份有限公司所有。根据《国有土地使用证》[]，估价对象（分摊）出让国有建设用地使用权面积为5676.41平方米，建筑面积为98604.22平方米。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朝阳区朝阳门南大街10号房地产,属北京兆泰集团股份有限公司开发建设的，该项目尚在开发建设中。根据《国有土地使用证》[]，估价对象（分摊）出让国有建设用地使用权面积为5676.41平方米，规划建筑面积为98604.22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为估价委托人在向渤海银行办理贷款手续过程中，确定房地产抵押贷款额度提供参考依据而评估房地产抵押价值。</v>
      </c>
    </row>
    <row r="12" spans="1:2" s="1317" customFormat="1">
      <c r="A12" s="1315" t="s">
        <v>953</v>
      </c>
      <c r="B12" s="1316" t="str">
        <f>'预评函-1'!A15</f>
        <v>2022年5月10日（评估专业人员实地查勘之日）</v>
      </c>
    </row>
    <row r="13" spans="1:2" s="1317" customFormat="1">
      <c r="A13" s="1315" t="s">
        <v>954</v>
      </c>
      <c r="B13" s="1316"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5" thickBot="1">
      <c r="A18" s="1318" t="s">
        <v>959</v>
      </c>
      <c r="B18" s="1319" t="str">
        <f>'预评函-1'!A24</f>
        <v>本次评估采用的主估价方法为成本法和收益法。</v>
      </c>
    </row>
    <row r="19" spans="1:2" s="1314" customFormat="1" ht="15.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北京市朝阳区朝阳门南大街10号房地产</v>
      </c>
    </row>
    <row r="42" spans="1:2" s="1317" customFormat="1" ht="30">
      <c r="A42" s="1315" t="s">
        <v>1015</v>
      </c>
      <c r="B42" s="1316" t="str">
        <f>'预评函-3'!B2</f>
        <v>建筑面积</v>
      </c>
    </row>
    <row r="43" spans="1:2" s="1317" customFormat="1">
      <c r="A43" s="1315" t="s">
        <v>1016</v>
      </c>
      <c r="B43" s="1316">
        <f>'预评函-3'!B4</f>
        <v>98604.219999999987</v>
      </c>
    </row>
    <row r="44" spans="1:2" s="1317" customFormat="1" ht="30">
      <c r="A44" s="1315" t="s">
        <v>1000</v>
      </c>
      <c r="B44" s="1316" t="str">
        <f>'预评函-3'!C2</f>
        <v>(分摊)土地面积</v>
      </c>
    </row>
    <row r="45" spans="1:2" s="1317" customFormat="1">
      <c r="A45" s="1315" t="s">
        <v>972</v>
      </c>
      <c r="B45" s="1316">
        <f>'预评函-3'!C4</f>
        <v>5676.41</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5" thickBot="1">
      <c r="A57" s="1318" t="s">
        <v>1024</v>
      </c>
      <c r="B57" s="1319" t="str">
        <f>'预评函-3'!A6</f>
        <v>估价师知悉的法定优先受偿款</v>
      </c>
    </row>
    <row r="58" spans="1:2" s="1314" customFormat="1" ht="15.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5" thickBot="1">
      <c r="A69" s="1318" t="s">
        <v>986</v>
      </c>
      <c r="B69" s="1320">
        <f>'预评函-4'!C31</f>
        <v>42551</v>
      </c>
    </row>
    <row r="70" spans="1:2" ht="15.5" thickTop="1">
      <c r="A70" s="1321" t="s">
        <v>987</v>
      </c>
      <c r="B70" s="1322" t="str">
        <f>'预评函-4'!A4</f>
        <v>吴薇</v>
      </c>
    </row>
    <row r="71" spans="1:2">
      <c r="A71" s="1315" t="s">
        <v>988</v>
      </c>
      <c r="B71" s="1316">
        <f ca="1">'预评函-4'!B4</f>
        <v>1419970001</v>
      </c>
    </row>
    <row r="72" spans="1:2">
      <c r="A72" s="1315" t="s">
        <v>989</v>
      </c>
      <c r="B72" s="1324">
        <f>'预评函-4'!A5</f>
        <v>0</v>
      </c>
    </row>
    <row r="73" spans="1:2" s="1311" customFormat="1" ht="15.5" thickBot="1">
      <c r="A73" s="1318" t="s">
        <v>990</v>
      </c>
      <c r="B73" s="1319">
        <f>'预评函-4'!B5</f>
        <v>0</v>
      </c>
    </row>
    <row r="74" spans="1:2" ht="15.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I57"/>
  <sheetViews>
    <sheetView view="pageBreakPreview" zoomScaleNormal="70" zoomScaleSheetLayoutView="100" workbookViewId="0">
      <selection activeCell="B4" sqref="B4"/>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c r="C1" s="204"/>
      <c r="D1" s="204"/>
      <c r="E1" s="204"/>
      <c r="F1" s="204"/>
      <c r="G1" s="1240">
        <f>MATCH(B1,'数据-取费表'!A6:A16,0)+5</f>
        <v>10</v>
      </c>
    </row>
    <row r="2" spans="1:9" s="206" customFormat="1" ht="18" customHeight="1">
      <c r="A2" s="207" t="s">
        <v>1114</v>
      </c>
      <c r="B2" s="208">
        <f ca="1">IF(D2="——",C52,C52-E2)</f>
        <v>62580</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ROUND(B2*10000/D19,0)</f>
        <v>25117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C6+C7+C8</f>
        <v>29925.35</v>
      </c>
      <c r="D5" s="217" t="s">
        <v>1910</v>
      </c>
      <c r="E5" s="218" t="s">
        <v>1911</v>
      </c>
      <c r="F5" s="218" t="s">
        <v>1912</v>
      </c>
      <c r="G5" s="219"/>
    </row>
    <row r="6" spans="1:9" s="220" customFormat="1" ht="13.5" customHeight="1">
      <c r="A6" s="866" t="s">
        <v>610</v>
      </c>
      <c r="B6" s="221" t="s">
        <v>1914</v>
      </c>
      <c r="C6" s="222">
        <f>'[2]基准地价修正(商业)'!$B$2+[2]基准地价修正!$D$41+[2]基准地价修正!$D$42</f>
        <v>29039.35</v>
      </c>
      <c r="D6" s="223"/>
      <c r="E6" s="224"/>
      <c r="F6" s="224"/>
      <c r="G6" s="225"/>
    </row>
    <row r="7" spans="1:9" s="220" customFormat="1" ht="13.5" customHeight="1">
      <c r="A7" s="866" t="s">
        <v>611</v>
      </c>
      <c r="B7" s="221" t="s">
        <v>1916</v>
      </c>
      <c r="C7" s="226">
        <f>ROUND(C6*F7,0)</f>
        <v>886</v>
      </c>
      <c r="D7" s="226"/>
      <c r="E7" s="224"/>
      <c r="F7" s="227">
        <f>IF(项目基本情况!B8="出让",0,'数据-取费表'!B48+'数据-取费表'!B49)</f>
        <v>3.0499999999999999E-2</v>
      </c>
      <c r="G7" s="225"/>
    </row>
    <row r="8" spans="1:9" s="229" customFormat="1" ht="13">
      <c r="A8" s="866" t="s">
        <v>612</v>
      </c>
      <c r="B8" s="221" t="s">
        <v>1918</v>
      </c>
      <c r="C8" s="226">
        <f>IF(G8="已包含在土地购买价格中","0",IF(B1="",'数据-取费表'!B29,IF(G9="全部缴纳",C9+C10,H9)))</f>
        <v>0</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ROUND(D10*E10/10000,0)</f>
        <v>498</v>
      </c>
      <c r="D10" s="3297">
        <f>'数据-汇总表'!E20+'数据-汇总表'!E21+'数据-汇总表'!E22</f>
        <v>24914.989999999998</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24914.989999999998</v>
      </c>
      <c r="E19" s="217">
        <f>'数据-取费表'!B31</f>
        <v>200</v>
      </c>
      <c r="F19" s="237"/>
      <c r="G19" s="1991" t="s">
        <v>3741</v>
      </c>
    </row>
    <row r="20" spans="1:7" s="220" customFormat="1" ht="13.5" customHeight="1">
      <c r="A20" s="261" t="s">
        <v>1934</v>
      </c>
      <c r="B20" s="216" t="s">
        <v>1935</v>
      </c>
      <c r="C20" s="238">
        <f>ROUND((C5+C19)*F20,0)</f>
        <v>599</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3969</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3931</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38</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6715</v>
      </c>
      <c r="D27" s="241">
        <f ca="1">C29</f>
        <v>4.4000000000000003E-3</v>
      </c>
      <c r="E27" s="242" t="s">
        <v>1939</v>
      </c>
      <c r="F27" s="252">
        <f ca="1">IF(B1="",'数据-取费表'!Q16,INDIRECT("'数据-取费表'!q"&amp;$G$1))</f>
        <v>0.22</v>
      </c>
      <c r="G27" s="253" t="s">
        <v>1956</v>
      </c>
    </row>
    <row r="28" spans="1:7" s="220" customFormat="1" ht="13.5" customHeight="1">
      <c r="A28" s="868" t="s">
        <v>610</v>
      </c>
      <c r="B28" s="254" t="s">
        <v>1957</v>
      </c>
      <c r="C28" s="255">
        <f ca="1">ROUND((C5+C19+C20)*F27*'数据-取费表'!B21/'数据-取费表'!B20,0)</f>
        <v>6715</v>
      </c>
      <c r="D28" s="241"/>
      <c r="E28" s="242"/>
      <c r="F28" s="252"/>
      <c r="G28" s="253"/>
    </row>
    <row r="29" spans="1:7" s="220" customFormat="1" ht="13.5" customHeight="1">
      <c r="A29" s="868" t="s">
        <v>611</v>
      </c>
      <c r="B29" s="254" t="s">
        <v>1958</v>
      </c>
      <c r="C29" s="244">
        <f ca="1">ROUND(C21*F27*'数据-取费表'!B21/'数据-取费表'!B20,4)</f>
        <v>4.4000000000000003E-3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44743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12803</v>
      </c>
      <c r="D33" s="238"/>
      <c r="E33" s="218"/>
      <c r="F33" s="247"/>
      <c r="G33" s="240"/>
    </row>
    <row r="34" spans="1:7" s="264" customFormat="1" ht="13.5" customHeight="1">
      <c r="A34" s="868" t="s">
        <v>610</v>
      </c>
      <c r="B34" s="221" t="s">
        <v>1966</v>
      </c>
      <c r="C34" s="3298">
        <f>'数据-取费表'!M7+'数据-取费表'!M8+'数据-取费表'!M9</f>
        <v>11554</v>
      </c>
      <c r="D34" s="223"/>
      <c r="E34" s="226"/>
      <c r="F34" s="263">
        <f ca="1">IF('数据-取费表'!B24=0,1,IF(B1="",'数据-取费表'!N16,INDIRECT("'数据-取费表'!n"&amp;$G$1)))</f>
        <v>1</v>
      </c>
      <c r="G34" s="225" t="s">
        <v>1967</v>
      </c>
    </row>
    <row r="35" spans="1:7" ht="13.5" customHeight="1">
      <c r="A35" s="868" t="s">
        <v>615</v>
      </c>
      <c r="B35" s="221" t="s">
        <v>1968</v>
      </c>
      <c r="C35" s="226">
        <f>ROUND(C34*F35,0)</f>
        <v>578</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498</v>
      </c>
      <c r="D37" s="223">
        <f ca="1">D19</f>
        <v>24914.989999999998</v>
      </c>
      <c r="E37" s="255">
        <f>'数据-取费表'!B35</f>
        <v>200</v>
      </c>
      <c r="F37" s="265"/>
      <c r="G37" s="267" t="s">
        <v>1973</v>
      </c>
    </row>
    <row r="38" spans="1:7" ht="13.5" customHeight="1">
      <c r="A38" s="868" t="s">
        <v>618</v>
      </c>
      <c r="B38" s="221" t="s">
        <v>1974</v>
      </c>
      <c r="C38" s="226">
        <f>ROUND(C34*F38,0)</f>
        <v>173</v>
      </c>
      <c r="D38" s="226"/>
      <c r="E38" s="226"/>
      <c r="F38" s="265">
        <f>'数据-取费表'!B36</f>
        <v>1.4999999999999999E-2</v>
      </c>
      <c r="G38" s="225" t="s">
        <v>1969</v>
      </c>
    </row>
    <row r="39" spans="1:7" s="220" customFormat="1" ht="13.5" customHeight="1">
      <c r="A39" s="261" t="s">
        <v>1932</v>
      </c>
      <c r="B39" s="216" t="s">
        <v>1935</v>
      </c>
      <c r="C39" s="238">
        <f ca="1">ROUND(C33*F20,0)</f>
        <v>256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815</v>
      </c>
      <c r="D42" s="244"/>
      <c r="E42" s="244"/>
      <c r="F42" s="245"/>
      <c r="G42" s="3371" t="s">
        <v>1985</v>
      </c>
    </row>
    <row r="43" spans="1:7" ht="13.5" customHeight="1">
      <c r="A43" s="868" t="s">
        <v>611</v>
      </c>
      <c r="B43" s="221" t="s">
        <v>1947</v>
      </c>
      <c r="C43" s="244">
        <f ca="1">ROUND(IF('数据-取费表'!B22&lt;=1,C39*F22*'数据-取费表'!B21/2,C39*(POWER((1+F22),'数据-取费表'!B21/2)-1)),0)</f>
        <v>16</v>
      </c>
      <c r="D43" s="244"/>
      <c r="E43" s="244"/>
      <c r="F43" s="245"/>
      <c r="G43" s="3372"/>
    </row>
    <row r="44" spans="1:7" ht="13.5" customHeight="1">
      <c r="A44" s="868" t="s">
        <v>612</v>
      </c>
      <c r="B44" s="221" t="s">
        <v>1950</v>
      </c>
      <c r="C44" s="244">
        <f ca="1">ROUND(IF('数据-取费表'!B22&lt;=1,C40*F22*'数据-取费表'!B21/2,C40*(POWER((1+F22),'数据-取费表'!B21/2)-1)),4)</f>
        <v>1.2999999999999999E-3</v>
      </c>
      <c r="D44" s="244"/>
      <c r="E44" s="244"/>
      <c r="F44" s="245"/>
      <c r="G44" s="3373"/>
    </row>
    <row r="45" spans="1:7" s="220" customFormat="1" ht="13.5" customHeight="1">
      <c r="A45" s="261" t="s">
        <v>1941</v>
      </c>
      <c r="B45" s="250" t="s">
        <v>1954</v>
      </c>
      <c r="C45" s="251">
        <f ca="1">C46</f>
        <v>2873</v>
      </c>
      <c r="D45" s="241">
        <f ca="1">C47</f>
        <v>4.4000000000000003E-3</v>
      </c>
      <c r="E45" s="242" t="s">
        <v>1980</v>
      </c>
      <c r="F45" s="3300">
        <f>'数据-取费表'!Q17</f>
        <v>0.13</v>
      </c>
      <c r="G45" s="253" t="s">
        <v>1989</v>
      </c>
    </row>
    <row r="46" spans="1:7" s="220" customFormat="1" ht="13.5" customHeight="1">
      <c r="A46" s="868" t="s">
        <v>610</v>
      </c>
      <c r="B46" s="254" t="s">
        <v>1990</v>
      </c>
      <c r="C46" s="255">
        <f ca="1">ROUND((C33+C39)*F27,0)</f>
        <v>2873</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18201</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17837</v>
      </c>
      <c r="D51" s="238"/>
      <c r="E51" s="238"/>
      <c r="F51" s="270"/>
      <c r="G51" s="240" t="s">
        <v>2001</v>
      </c>
    </row>
    <row r="52" spans="1:7" s="214" customFormat="1" ht="16.5" thickBot="1">
      <c r="A52" s="271" t="s">
        <v>2002</v>
      </c>
      <c r="B52" s="272"/>
      <c r="C52" s="273">
        <f ca="1">C31+C51</f>
        <v>62580</v>
      </c>
      <c r="D52" s="272"/>
      <c r="E52" s="272"/>
      <c r="F52" s="272"/>
      <c r="G52" s="274"/>
    </row>
    <row r="55" spans="1:7" ht="15.5">
      <c r="B55" s="276" t="s">
        <v>2003</v>
      </c>
      <c r="C55" s="277"/>
    </row>
    <row r="56" spans="1:7" ht="13">
      <c r="B56" s="279" t="s">
        <v>1233</v>
      </c>
      <c r="C56" s="281">
        <f ca="1">1-C57</f>
        <v>0.71500000000000008</v>
      </c>
    </row>
    <row r="57" spans="1:7" ht="13">
      <c r="B57" s="279" t="s">
        <v>1234</v>
      </c>
      <c r="C57" s="280">
        <f ca="1">ROUND(C51/C52,3)</f>
        <v>0.28499999999999998</v>
      </c>
    </row>
  </sheetData>
  <sheetProtection formatCells="0"/>
  <mergeCells count="1">
    <mergeCell ref="G42:G44"/>
  </mergeCells>
  <phoneticPr fontId="140" type="noConversion"/>
  <dataValidations count="6">
    <dataValidation type="list" allowBlank="1" showInputMessage="1" showErrorMessage="1" sqref="G8" xr:uid="{00000000-0002-0000-0900-000000000000}">
      <formula1>"已包含在土地购买价格中,未包含在土地购买价格中"</formula1>
    </dataValidation>
    <dataValidation type="list" allowBlank="1" showInputMessage="1" showErrorMessage="1" sqref="G19" xr:uid="{00000000-0002-0000-0900-000001000000}">
      <formula1>"已包含在土地取得成本中,未包含在土地取得成本中"</formula1>
    </dataValidation>
    <dataValidation type="list" allowBlank="1" showInputMessage="1" showErrorMessage="1" sqref="B1" xr:uid="{00000000-0002-0000-0900-000002000000}">
      <formula1>项目类型</formula1>
    </dataValidation>
    <dataValidation type="list" allowBlank="1" showInputMessage="1" showErrorMessage="1" sqref="G9" xr:uid="{00000000-0002-0000-0900-000003000000}">
      <formula1>"部分缴纳,全部缴纳"</formula1>
    </dataValidation>
    <dataValidation type="list" allowBlank="1" showInputMessage="1" showErrorMessage="1" sqref="G2" xr:uid="{00000000-0002-0000-0900-000004000000}">
      <formula1>估价方法</formula1>
    </dataValidation>
    <dataValidation type="list" allowBlank="1" showInputMessage="1" showErrorMessage="1" sqref="D2" xr:uid="{00000000-0002-0000-0900-000005000000}">
      <formula1>"需扣减承租人权益,——"</formula1>
    </dataValidation>
  </dataValidations>
  <pageMargins left="0.7" right="0.7" top="0.75" bottom="0.75" header="0.3" footer="0.3"/>
  <pageSetup paperSize="9" scale="77"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I57"/>
  <sheetViews>
    <sheetView view="pageBreakPreview" zoomScaleNormal="70" zoomScaleSheetLayoutView="100" workbookViewId="0">
      <selection activeCell="B4" sqref="B4"/>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c r="C1" s="204"/>
      <c r="D1" s="204"/>
      <c r="E1" s="204"/>
      <c r="F1" s="204"/>
      <c r="G1" s="1240">
        <f>MATCH(B1,'数据-取费表'!A6:A16,0)+5</f>
        <v>10</v>
      </c>
    </row>
    <row r="2" spans="1:9" s="206" customFormat="1" ht="18" customHeight="1">
      <c r="A2" s="207" t="s">
        <v>1114</v>
      </c>
      <c r="B2" s="208">
        <f ca="1">IF(D2="——",C52,C52-E2)</f>
        <v>62580</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ROUND(B2*10000/D19,0)</f>
        <v>25117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C6+C7+C8</f>
        <v>29925.35</v>
      </c>
      <c r="D5" s="217" t="s">
        <v>1910</v>
      </c>
      <c r="E5" s="218" t="s">
        <v>1911</v>
      </c>
      <c r="F5" s="218" t="s">
        <v>1912</v>
      </c>
      <c r="G5" s="219"/>
    </row>
    <row r="6" spans="1:9" s="220" customFormat="1" ht="13.5" customHeight="1">
      <c r="A6" s="866" t="s">
        <v>610</v>
      </c>
      <c r="B6" s="221" t="s">
        <v>1914</v>
      </c>
      <c r="C6" s="222">
        <f>'[2]基准地价修正(商业)'!$B$2+[2]基准地价修正!$D$41+[2]基准地价修正!$D$42</f>
        <v>29039.35</v>
      </c>
      <c r="D6" s="223"/>
      <c r="E6" s="224"/>
      <c r="F6" s="224"/>
      <c r="G6" s="225"/>
    </row>
    <row r="7" spans="1:9" s="220" customFormat="1" ht="13.5" customHeight="1">
      <c r="A7" s="866" t="s">
        <v>611</v>
      </c>
      <c r="B7" s="221" t="s">
        <v>1916</v>
      </c>
      <c r="C7" s="226">
        <f>ROUND(C6*F7,0)</f>
        <v>886</v>
      </c>
      <c r="D7" s="226"/>
      <c r="E7" s="224"/>
      <c r="F7" s="227">
        <f>IF(项目基本情况!B8="出让",0,'数据-取费表'!B48+'数据-取费表'!B49)</f>
        <v>3.0499999999999999E-2</v>
      </c>
      <c r="G7" s="225"/>
    </row>
    <row r="8" spans="1:9" s="229" customFormat="1" ht="13">
      <c r="A8" s="866" t="s">
        <v>612</v>
      </c>
      <c r="B8" s="221" t="s">
        <v>1918</v>
      </c>
      <c r="C8" s="226">
        <f>IF(G8="已包含在土地购买价格中","0",IF(B1="",'数据-取费表'!B29,IF(G9="全部缴纳",C9+C10,H9)))</f>
        <v>0</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ROUND(D10*E10/10000,0)</f>
        <v>498</v>
      </c>
      <c r="D10" s="3297">
        <f>'数据-汇总表'!E20+'数据-汇总表'!E21+'数据-汇总表'!E22</f>
        <v>24914.989999999998</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24914.989999999998</v>
      </c>
      <c r="E19" s="217">
        <f>'数据-取费表'!B31</f>
        <v>200</v>
      </c>
      <c r="F19" s="237"/>
      <c r="G19" s="1991" t="s">
        <v>3741</v>
      </c>
    </row>
    <row r="20" spans="1:7" s="220" customFormat="1" ht="13.5" customHeight="1">
      <c r="A20" s="261" t="s">
        <v>1934</v>
      </c>
      <c r="B20" s="216" t="s">
        <v>1935</v>
      </c>
      <c r="C20" s="238">
        <f>ROUND((C5+C19)*F20,0)</f>
        <v>599</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3969</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3931</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38</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6715</v>
      </c>
      <c r="D27" s="241">
        <f ca="1">C29</f>
        <v>4.4000000000000003E-3</v>
      </c>
      <c r="E27" s="242" t="s">
        <v>1939</v>
      </c>
      <c r="F27" s="252">
        <f ca="1">IF(B1="",'数据-取费表'!Q16,INDIRECT("'数据-取费表'!q"&amp;$G$1))</f>
        <v>0.22</v>
      </c>
      <c r="G27" s="253" t="s">
        <v>1956</v>
      </c>
    </row>
    <row r="28" spans="1:7" s="220" customFormat="1" ht="13.5" customHeight="1">
      <c r="A28" s="868" t="s">
        <v>610</v>
      </c>
      <c r="B28" s="254" t="s">
        <v>1957</v>
      </c>
      <c r="C28" s="255">
        <f ca="1">ROUND((C5+C19+C20)*F27*'数据-取费表'!B21/'数据-取费表'!B20,0)</f>
        <v>6715</v>
      </c>
      <c r="D28" s="241"/>
      <c r="E28" s="242"/>
      <c r="F28" s="252"/>
      <c r="G28" s="253"/>
    </row>
    <row r="29" spans="1:7" s="220" customFormat="1" ht="13.5" customHeight="1">
      <c r="A29" s="868" t="s">
        <v>611</v>
      </c>
      <c r="B29" s="254" t="s">
        <v>1958</v>
      </c>
      <c r="C29" s="244">
        <f ca="1">ROUND(C21*F27*'数据-取费表'!B21/'数据-取费表'!B20,4)</f>
        <v>4.4000000000000003E-3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44743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12803</v>
      </c>
      <c r="D33" s="238"/>
      <c r="E33" s="218"/>
      <c r="F33" s="247"/>
      <c r="G33" s="240"/>
    </row>
    <row r="34" spans="1:7" s="264" customFormat="1" ht="13.5" customHeight="1">
      <c r="A34" s="868" t="s">
        <v>610</v>
      </c>
      <c r="B34" s="221" t="s">
        <v>1966</v>
      </c>
      <c r="C34" s="3298">
        <f>'数据-取费表'!M7+'数据-取费表'!M8+'数据-取费表'!M9</f>
        <v>11554</v>
      </c>
      <c r="D34" s="223"/>
      <c r="E34" s="226"/>
      <c r="F34" s="263">
        <f ca="1">IF('数据-取费表'!B24=0,1,IF(B1="",'数据-取费表'!N16,INDIRECT("'数据-取费表'!n"&amp;$G$1)))</f>
        <v>1</v>
      </c>
      <c r="G34" s="225" t="s">
        <v>1967</v>
      </c>
    </row>
    <row r="35" spans="1:7" ht="13.5" customHeight="1">
      <c r="A35" s="868" t="s">
        <v>615</v>
      </c>
      <c r="B35" s="221" t="s">
        <v>1968</v>
      </c>
      <c r="C35" s="226">
        <f>ROUND(C34*F35,0)</f>
        <v>578</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498</v>
      </c>
      <c r="D37" s="223">
        <f ca="1">D19</f>
        <v>24914.989999999998</v>
      </c>
      <c r="E37" s="255">
        <f>'数据-取费表'!B35</f>
        <v>200</v>
      </c>
      <c r="F37" s="265"/>
      <c r="G37" s="267" t="s">
        <v>1973</v>
      </c>
    </row>
    <row r="38" spans="1:7" ht="13.5" customHeight="1">
      <c r="A38" s="868" t="s">
        <v>618</v>
      </c>
      <c r="B38" s="221" t="s">
        <v>1974</v>
      </c>
      <c r="C38" s="226">
        <f>ROUND(C34*F38,0)</f>
        <v>173</v>
      </c>
      <c r="D38" s="226"/>
      <c r="E38" s="226"/>
      <c r="F38" s="265">
        <f>'数据-取费表'!B36</f>
        <v>1.4999999999999999E-2</v>
      </c>
      <c r="G38" s="225" t="s">
        <v>1969</v>
      </c>
    </row>
    <row r="39" spans="1:7" s="220" customFormat="1" ht="13.5" customHeight="1">
      <c r="A39" s="261" t="s">
        <v>1932</v>
      </c>
      <c r="B39" s="216" t="s">
        <v>1935</v>
      </c>
      <c r="C39" s="238">
        <f ca="1">ROUND(C33*F20,0)</f>
        <v>256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815</v>
      </c>
      <c r="D42" s="244"/>
      <c r="E42" s="244"/>
      <c r="F42" s="245"/>
      <c r="G42" s="3371" t="s">
        <v>1985</v>
      </c>
    </row>
    <row r="43" spans="1:7" ht="13.5" customHeight="1">
      <c r="A43" s="868" t="s">
        <v>611</v>
      </c>
      <c r="B43" s="221" t="s">
        <v>1947</v>
      </c>
      <c r="C43" s="244">
        <f ca="1">ROUND(IF('数据-取费表'!B22&lt;=1,C39*F22*'数据-取费表'!B21/2,C39*(POWER((1+F22),'数据-取费表'!B21/2)-1)),0)</f>
        <v>16</v>
      </c>
      <c r="D43" s="244"/>
      <c r="E43" s="244"/>
      <c r="F43" s="245"/>
      <c r="G43" s="3372"/>
    </row>
    <row r="44" spans="1:7" ht="13.5" customHeight="1">
      <c r="A44" s="868" t="s">
        <v>612</v>
      </c>
      <c r="B44" s="221" t="s">
        <v>1950</v>
      </c>
      <c r="C44" s="244">
        <f ca="1">ROUND(IF('数据-取费表'!B22&lt;=1,C40*F22*'数据-取费表'!B21/2,C40*(POWER((1+F22),'数据-取费表'!B21/2)-1)),4)</f>
        <v>1.2999999999999999E-3</v>
      </c>
      <c r="D44" s="244"/>
      <c r="E44" s="244"/>
      <c r="F44" s="245"/>
      <c r="G44" s="3373"/>
    </row>
    <row r="45" spans="1:7" s="220" customFormat="1" ht="13.5" customHeight="1">
      <c r="A45" s="261" t="s">
        <v>1941</v>
      </c>
      <c r="B45" s="250" t="s">
        <v>1954</v>
      </c>
      <c r="C45" s="251">
        <f ca="1">C46</f>
        <v>2873</v>
      </c>
      <c r="D45" s="241">
        <f ca="1">C47</f>
        <v>4.4000000000000003E-3</v>
      </c>
      <c r="E45" s="242" t="s">
        <v>1980</v>
      </c>
      <c r="F45" s="3300">
        <f>'数据-取费表'!Q17</f>
        <v>0.13</v>
      </c>
      <c r="G45" s="253" t="s">
        <v>1989</v>
      </c>
    </row>
    <row r="46" spans="1:7" s="220" customFormat="1" ht="13.5" customHeight="1">
      <c r="A46" s="868" t="s">
        <v>610</v>
      </c>
      <c r="B46" s="254" t="s">
        <v>1990</v>
      </c>
      <c r="C46" s="255">
        <f ca="1">ROUND((C33+C39)*F27,0)</f>
        <v>2873</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18201</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17837</v>
      </c>
      <c r="D51" s="238"/>
      <c r="E51" s="238"/>
      <c r="F51" s="270"/>
      <c r="G51" s="240" t="s">
        <v>2001</v>
      </c>
    </row>
    <row r="52" spans="1:7" s="214" customFormat="1" ht="16.5" thickBot="1">
      <c r="A52" s="271" t="s">
        <v>2002</v>
      </c>
      <c r="B52" s="272"/>
      <c r="C52" s="273">
        <f ca="1">C31+C51</f>
        <v>62580</v>
      </c>
      <c r="D52" s="272"/>
      <c r="E52" s="272"/>
      <c r="F52" s="272"/>
      <c r="G52" s="274"/>
    </row>
    <row r="55" spans="1:7" ht="15.5">
      <c r="B55" s="276" t="s">
        <v>2003</v>
      </c>
      <c r="C55" s="277"/>
    </row>
    <row r="56" spans="1:7" ht="13">
      <c r="B56" s="279" t="s">
        <v>1233</v>
      </c>
      <c r="C56" s="281">
        <f ca="1">1-C57</f>
        <v>0.71500000000000008</v>
      </c>
    </row>
    <row r="57" spans="1:7" ht="13">
      <c r="B57" s="279" t="s">
        <v>1234</v>
      </c>
      <c r="C57" s="280">
        <f ca="1">ROUND(C51/C52,3)</f>
        <v>0.28499999999999998</v>
      </c>
    </row>
  </sheetData>
  <sheetProtection formatCells="0"/>
  <mergeCells count="1">
    <mergeCell ref="G42:G44"/>
  </mergeCells>
  <phoneticPr fontId="140" type="noConversion"/>
  <dataValidations count="6">
    <dataValidation type="list" allowBlank="1" showInputMessage="1" showErrorMessage="1" sqref="G8" xr:uid="{00000000-0002-0000-0A00-000000000000}">
      <formula1>"已包含在土地购买价格中,未包含在土地购买价格中"</formula1>
    </dataValidation>
    <dataValidation type="list" allowBlank="1" showInputMessage="1" showErrorMessage="1" sqref="G19" xr:uid="{00000000-0002-0000-0A00-000001000000}">
      <formula1>"已包含在土地取得成本中,未包含在土地取得成本中"</formula1>
    </dataValidation>
    <dataValidation type="list" allowBlank="1" showInputMessage="1" showErrorMessage="1" sqref="B1" xr:uid="{00000000-0002-0000-0A00-000002000000}">
      <formula1>项目类型</formula1>
    </dataValidation>
    <dataValidation type="list" allowBlank="1" showInputMessage="1" showErrorMessage="1" sqref="G9" xr:uid="{00000000-0002-0000-0A00-000003000000}">
      <formula1>"部分缴纳,全部缴纳"</formula1>
    </dataValidation>
    <dataValidation type="list" allowBlank="1" showInputMessage="1" showErrorMessage="1" sqref="G2" xr:uid="{00000000-0002-0000-0A00-000004000000}">
      <formula1>估价方法</formula1>
    </dataValidation>
    <dataValidation type="list" allowBlank="1" showInputMessage="1" showErrorMessage="1" sqref="D2" xr:uid="{00000000-0002-0000-0A00-000005000000}">
      <formula1>"需扣减承租人权益,——"</formula1>
    </dataValidation>
  </dataValidations>
  <pageMargins left="0.7" right="0.7" top="0.75" bottom="0.75" header="0.3" footer="0.3"/>
  <pageSetup paperSize="9" scale="77"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W127"/>
  <sheetViews>
    <sheetView workbookViewId="0">
      <selection activeCell="B22" sqref="B22"/>
    </sheetView>
  </sheetViews>
  <sheetFormatPr defaultColWidth="9" defaultRowHeight="14"/>
  <cols>
    <col min="1" max="1" width="13.453125" style="1691" customWidth="1"/>
    <col min="2" max="2" width="23.08984375" style="1642" customWidth="1"/>
    <col min="3" max="3" width="13" style="1686" customWidth="1"/>
    <col min="4" max="4" width="5.90625" style="1683" customWidth="1"/>
    <col min="5" max="5" width="7.08984375" style="1683" customWidth="1"/>
    <col min="6" max="6" width="10.6328125" style="1683" customWidth="1"/>
    <col min="7" max="7" width="7.453125" style="1683" customWidth="1"/>
    <col min="8" max="8" width="9" style="1686" customWidth="1"/>
    <col min="9" max="9" width="11.6328125" style="1686" customWidth="1"/>
    <col min="10" max="10" width="9" style="1686" customWidth="1"/>
    <col min="11" max="19" width="9" style="1683" customWidth="1"/>
    <col min="20" max="23" width="9" style="1686" customWidth="1"/>
    <col min="24" max="24" width="21.08984375" style="1642" customWidth="1"/>
    <col min="25" max="16384" width="9" style="1642"/>
  </cols>
  <sheetData>
    <row r="1" spans="1:23" s="1680" customFormat="1" ht="28">
      <c r="A1" s="1674" t="s">
        <v>71</v>
      </c>
      <c r="B1" s="1675" t="s">
        <v>1410</v>
      </c>
      <c r="C1" s="1676" t="s">
        <v>578</v>
      </c>
      <c r="D1" s="1677" t="s">
        <v>1411</v>
      </c>
      <c r="E1" s="1677" t="s">
        <v>1412</v>
      </c>
      <c r="F1" s="1677" t="s">
        <v>1413</v>
      </c>
      <c r="G1" s="1677" t="s">
        <v>1414</v>
      </c>
      <c r="H1" s="1677" t="s">
        <v>1415</v>
      </c>
      <c r="I1" s="1677" t="s">
        <v>1416</v>
      </c>
      <c r="J1" s="1677" t="s">
        <v>1417</v>
      </c>
      <c r="K1" s="1677" t="s">
        <v>1418</v>
      </c>
      <c r="L1" s="1677" t="s">
        <v>1419</v>
      </c>
      <c r="M1" s="1677" t="s">
        <v>1420</v>
      </c>
      <c r="N1" s="1677" t="s">
        <v>1421</v>
      </c>
      <c r="O1" s="1677" t="s">
        <v>1422</v>
      </c>
      <c r="P1" s="1678" t="s">
        <v>573</v>
      </c>
      <c r="Q1" s="1678" t="s">
        <v>872</v>
      </c>
      <c r="R1" s="1677" t="s">
        <v>866</v>
      </c>
      <c r="S1" s="1677" t="s">
        <v>1423</v>
      </c>
      <c r="T1" s="1679" t="s">
        <v>1424</v>
      </c>
      <c r="U1" s="1677" t="s">
        <v>1425</v>
      </c>
      <c r="V1" s="1677" t="s">
        <v>1426</v>
      </c>
      <c r="W1" s="1677" t="s">
        <v>575</v>
      </c>
    </row>
    <row r="2" spans="1:23">
      <c r="A2" s="1681" t="s">
        <v>22</v>
      </c>
      <c r="B2" s="1681" t="s">
        <v>1427</v>
      </c>
      <c r="C2" s="1682" t="s">
        <v>579</v>
      </c>
      <c r="D2" s="1683" t="s">
        <v>1428</v>
      </c>
      <c r="E2" s="1683" t="s">
        <v>1429</v>
      </c>
      <c r="F2" s="1683" t="s">
        <v>1430</v>
      </c>
      <c r="G2" s="1683">
        <v>40</v>
      </c>
      <c r="H2" s="1683" t="s">
        <v>1430</v>
      </c>
      <c r="I2" s="1683" t="s">
        <v>1431</v>
      </c>
      <c r="J2" s="1683" t="s">
        <v>1432</v>
      </c>
      <c r="K2" s="1683" t="s">
        <v>1433</v>
      </c>
      <c r="L2" s="1683" t="s">
        <v>1433</v>
      </c>
      <c r="M2" s="1683" t="s">
        <v>1433</v>
      </c>
      <c r="N2" s="1683" t="s">
        <v>1433</v>
      </c>
      <c r="O2" s="1683" t="s">
        <v>1433</v>
      </c>
      <c r="P2" s="1683" t="s">
        <v>1433</v>
      </c>
      <c r="Q2" s="1683" t="s">
        <v>1433</v>
      </c>
      <c r="R2" s="1683" t="s">
        <v>868</v>
      </c>
      <c r="S2" s="1683" t="s">
        <v>1433</v>
      </c>
      <c r="T2" s="1683" t="s">
        <v>1434</v>
      </c>
      <c r="U2" s="1683" t="s">
        <v>1433</v>
      </c>
      <c r="V2" s="1683" t="s">
        <v>1435</v>
      </c>
      <c r="W2" s="1683" t="s">
        <v>1433</v>
      </c>
    </row>
    <row r="3" spans="1:23">
      <c r="A3" s="1681" t="s">
        <v>1436</v>
      </c>
      <c r="B3" s="1684" t="s">
        <v>873</v>
      </c>
      <c r="C3" s="1685" t="s">
        <v>580</v>
      </c>
      <c r="D3" s="1683" t="s">
        <v>1437</v>
      </c>
      <c r="E3" s="1683" t="s">
        <v>16</v>
      </c>
      <c r="F3" s="1683" t="s">
        <v>1438</v>
      </c>
      <c r="G3" s="1683">
        <v>50</v>
      </c>
      <c r="H3" s="1683" t="s">
        <v>1438</v>
      </c>
      <c r="I3" s="1683" t="s">
        <v>1439</v>
      </c>
      <c r="J3" s="1683" t="s">
        <v>1440</v>
      </c>
      <c r="K3" s="1683" t="s">
        <v>1441</v>
      </c>
      <c r="L3" s="1683" t="s">
        <v>1441</v>
      </c>
      <c r="M3" s="1683" t="s">
        <v>1441</v>
      </c>
      <c r="N3" s="1683" t="s">
        <v>1441</v>
      </c>
      <c r="O3" s="1683" t="s">
        <v>1441</v>
      </c>
      <c r="P3" s="1683" t="s">
        <v>1441</v>
      </c>
      <c r="Q3" s="1683" t="s">
        <v>1441</v>
      </c>
      <c r="R3" s="1683" t="s">
        <v>867</v>
      </c>
      <c r="S3" s="1683" t="s">
        <v>1441</v>
      </c>
      <c r="T3" s="1683" t="s">
        <v>1442</v>
      </c>
      <c r="U3" s="1683" t="s">
        <v>1441</v>
      </c>
      <c r="V3" s="1683" t="s">
        <v>1443</v>
      </c>
      <c r="W3" s="1683" t="s">
        <v>1441</v>
      </c>
    </row>
    <row r="4" spans="1:23">
      <c r="A4" s="1681" t="s">
        <v>1444</v>
      </c>
      <c r="B4" s="1681" t="s">
        <v>1445</v>
      </c>
      <c r="C4" s="1682" t="s">
        <v>581</v>
      </c>
      <c r="D4" s="1683" t="s">
        <v>655</v>
      </c>
      <c r="E4" s="1683" t="s">
        <v>1446</v>
      </c>
      <c r="F4" s="1683" t="s">
        <v>1447</v>
      </c>
      <c r="G4" s="1683">
        <v>70</v>
      </c>
      <c r="H4" s="1683" t="s">
        <v>1447</v>
      </c>
      <c r="I4" s="1683" t="s">
        <v>1448</v>
      </c>
      <c r="K4" s="1683" t="s">
        <v>1449</v>
      </c>
      <c r="L4" s="1683" t="s">
        <v>1449</v>
      </c>
      <c r="M4" s="1683" t="s">
        <v>1449</v>
      </c>
      <c r="N4" s="1683" t="s">
        <v>1449</v>
      </c>
      <c r="O4" s="1683" t="s">
        <v>1449</v>
      </c>
      <c r="P4" s="1683" t="s">
        <v>1449</v>
      </c>
      <c r="Q4" s="1683" t="s">
        <v>1449</v>
      </c>
      <c r="R4" s="1683" t="s">
        <v>869</v>
      </c>
      <c r="S4" s="1683" t="s">
        <v>1449</v>
      </c>
      <c r="T4" s="1683" t="s">
        <v>1450</v>
      </c>
      <c r="U4" s="1683" t="s">
        <v>1449</v>
      </c>
      <c r="W4" s="1683" t="s">
        <v>1449</v>
      </c>
    </row>
    <row r="5" spans="1:23">
      <c r="A5" s="1681" t="s">
        <v>1451</v>
      </c>
      <c r="B5" s="1681" t="s">
        <v>1452</v>
      </c>
      <c r="C5" s="1682" t="s">
        <v>582</v>
      </c>
      <c r="F5" s="1683" t="s">
        <v>1453</v>
      </c>
      <c r="H5" s="1683" t="s">
        <v>1454</v>
      </c>
      <c r="I5" s="1683" t="s">
        <v>1455</v>
      </c>
      <c r="K5" s="1683" t="s">
        <v>1456</v>
      </c>
      <c r="L5" s="1683" t="s">
        <v>1456</v>
      </c>
      <c r="M5" s="1683" t="s">
        <v>1456</v>
      </c>
      <c r="N5" s="1683" t="s">
        <v>1456</v>
      </c>
      <c r="O5" s="1683" t="s">
        <v>1456</v>
      </c>
      <c r="P5" s="1683" t="s">
        <v>1456</v>
      </c>
      <c r="Q5" s="1683" t="s">
        <v>1456</v>
      </c>
      <c r="R5" s="1683" t="s">
        <v>870</v>
      </c>
      <c r="S5" s="1683" t="s">
        <v>1456</v>
      </c>
      <c r="T5" s="1683" t="s">
        <v>1457</v>
      </c>
      <c r="U5" s="1683" t="s">
        <v>1456</v>
      </c>
      <c r="W5" s="1683" t="s">
        <v>1456</v>
      </c>
    </row>
    <row r="6" spans="1:23">
      <c r="A6" s="1681" t="s">
        <v>1458</v>
      </c>
      <c r="B6" s="1684" t="s">
        <v>874</v>
      </c>
      <c r="C6" s="1687" t="s">
        <v>30</v>
      </c>
      <c r="F6" s="1683" t="s">
        <v>1454</v>
      </c>
      <c r="H6" s="1683" t="s">
        <v>1459</v>
      </c>
      <c r="I6" s="1683" t="s">
        <v>1460</v>
      </c>
      <c r="K6" s="1683" t="s">
        <v>1461</v>
      </c>
      <c r="L6" s="1683" t="s">
        <v>1461</v>
      </c>
      <c r="M6" s="1683" t="s">
        <v>1461</v>
      </c>
      <c r="N6" s="1683" t="s">
        <v>1461</v>
      </c>
      <c r="O6" s="1683" t="s">
        <v>1461</v>
      </c>
      <c r="P6" s="1683" t="s">
        <v>1461</v>
      </c>
      <c r="Q6" s="1683" t="s">
        <v>1461</v>
      </c>
      <c r="R6" s="1683" t="s">
        <v>871</v>
      </c>
      <c r="S6" s="1683" t="s">
        <v>1461</v>
      </c>
      <c r="T6" s="1683"/>
      <c r="U6" s="1683" t="s">
        <v>1461</v>
      </c>
      <c r="W6" s="1683" t="s">
        <v>1461</v>
      </c>
    </row>
    <row r="7" spans="1:23">
      <c r="A7" s="1681" t="s">
        <v>1462</v>
      </c>
      <c r="B7" s="1684" t="s">
        <v>875</v>
      </c>
      <c r="C7" s="1682" t="s">
        <v>31</v>
      </c>
      <c r="F7" s="1683" t="s">
        <v>1463</v>
      </c>
      <c r="H7" s="1683" t="s">
        <v>1464</v>
      </c>
      <c r="I7" s="1683" t="s">
        <v>1465</v>
      </c>
    </row>
    <row r="8" spans="1:23">
      <c r="A8" s="1681" t="s">
        <v>1466</v>
      </c>
      <c r="B8" s="1681" t="s">
        <v>1467</v>
      </c>
      <c r="C8" s="1682" t="s">
        <v>583</v>
      </c>
      <c r="F8" s="1683" t="s">
        <v>1468</v>
      </c>
      <c r="H8" s="1683"/>
      <c r="I8" s="1683" t="s">
        <v>1469</v>
      </c>
    </row>
    <row r="9" spans="1:23">
      <c r="A9" s="1681" t="s">
        <v>1470</v>
      </c>
      <c r="B9" s="1681" t="s">
        <v>1471</v>
      </c>
      <c r="C9" s="1682" t="s">
        <v>584</v>
      </c>
      <c r="F9" s="1683" t="s">
        <v>1472</v>
      </c>
      <c r="H9" s="1683"/>
    </row>
    <row r="10" spans="1:23">
      <c r="A10" s="1681" t="s">
        <v>1473</v>
      </c>
      <c r="B10" s="1681" t="s">
        <v>1474</v>
      </c>
      <c r="C10" s="1682" t="s">
        <v>585</v>
      </c>
      <c r="F10" s="1683" t="s">
        <v>16</v>
      </c>
    </row>
    <row r="11" spans="1:23">
      <c r="A11" s="1681" t="s">
        <v>1475</v>
      </c>
      <c r="B11" s="1681" t="s">
        <v>1476</v>
      </c>
      <c r="C11" s="1682" t="s">
        <v>586</v>
      </c>
    </row>
    <row r="12" spans="1:23">
      <c r="A12" s="1681" t="s">
        <v>1477</v>
      </c>
      <c r="B12" s="1681" t="s">
        <v>1478</v>
      </c>
      <c r="C12" s="1682" t="s">
        <v>587</v>
      </c>
    </row>
    <row r="13" spans="1:23">
      <c r="A13" s="1681" t="s">
        <v>1479</v>
      </c>
      <c r="B13" s="1681" t="s">
        <v>1480</v>
      </c>
      <c r="C13" s="1682" t="s">
        <v>588</v>
      </c>
    </row>
    <row r="14" spans="1:23">
      <c r="A14" s="1681" t="s">
        <v>1481</v>
      </c>
      <c r="B14" s="1681" t="s">
        <v>1482</v>
      </c>
      <c r="C14" s="1683" t="s">
        <v>16</v>
      </c>
    </row>
    <row r="15" spans="1:23">
      <c r="A15" s="1681" t="s">
        <v>1483</v>
      </c>
      <c r="B15" s="1681" t="s">
        <v>1484</v>
      </c>
      <c r="C15" s="1682"/>
    </row>
    <row r="16" spans="1:23">
      <c r="A16" s="1681" t="s">
        <v>1485</v>
      </c>
      <c r="B16" s="1681" t="s">
        <v>576</v>
      </c>
      <c r="C16" s="1682"/>
    </row>
    <row r="17" spans="1:3">
      <c r="A17" s="1681" t="s">
        <v>1486</v>
      </c>
      <c r="B17" s="1681" t="s">
        <v>2790</v>
      </c>
      <c r="C17" s="1682"/>
    </row>
    <row r="18" spans="1:3">
      <c r="A18" s="1681" t="s">
        <v>1487</v>
      </c>
      <c r="B18" s="1681" t="s">
        <v>2934</v>
      </c>
      <c r="C18" s="1682"/>
    </row>
    <row r="19" spans="1:3">
      <c r="A19" s="1681" t="s">
        <v>1488</v>
      </c>
      <c r="B19" s="1681" t="s">
        <v>3733</v>
      </c>
      <c r="C19" s="1682"/>
    </row>
    <row r="20" spans="1:3">
      <c r="A20" s="1681" t="s">
        <v>1489</v>
      </c>
      <c r="B20" s="1681" t="s">
        <v>3736</v>
      </c>
      <c r="C20" s="1682"/>
    </row>
    <row r="21" spans="1:3">
      <c r="A21" s="1681" t="s">
        <v>1490</v>
      </c>
      <c r="B21" s="1681" t="s">
        <v>3738</v>
      </c>
      <c r="C21" s="1682"/>
    </row>
    <row r="22" spans="1:3">
      <c r="A22" s="1681" t="s">
        <v>1491</v>
      </c>
      <c r="B22" s="1681" t="s">
        <v>3750</v>
      </c>
      <c r="C22" s="1682"/>
    </row>
    <row r="23" spans="1:3">
      <c r="A23" s="1681" t="s">
        <v>1492</v>
      </c>
      <c r="B23" s="1681" t="s">
        <v>3752</v>
      </c>
      <c r="C23" s="1682"/>
    </row>
    <row r="24" spans="1:3">
      <c r="A24" s="1681" t="s">
        <v>1493</v>
      </c>
      <c r="B24" s="1681" t="s">
        <v>3754</v>
      </c>
      <c r="C24" s="1682"/>
    </row>
    <row r="25" spans="1:3">
      <c r="A25" s="1681" t="s">
        <v>1494</v>
      </c>
      <c r="B25" s="1681" t="s">
        <v>3756</v>
      </c>
      <c r="C25" s="1682"/>
    </row>
    <row r="26" spans="1:3">
      <c r="A26" s="1681" t="s">
        <v>1495</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泰集团股份有限公司拟使用北京市朝阳区朝阳门南大街10号房地产作为抵押担保物，向渤海银行办理贷款手续。渤海银行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74"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1689" t="s">
        <v>651</v>
      </c>
      <c r="C54" s="1686" t="s">
        <v>1008</v>
      </c>
    </row>
    <row r="55" spans="1:4">
      <c r="A55" s="3374"/>
      <c r="B55" s="1689" t="s">
        <v>652</v>
      </c>
      <c r="C55" s="1686" t="s">
        <v>1009</v>
      </c>
    </row>
    <row r="56" spans="1:4">
      <c r="A56" s="3374"/>
      <c r="B56" s="1689" t="s">
        <v>653</v>
      </c>
      <c r="C56" s="1686" t="s">
        <v>1013</v>
      </c>
    </row>
    <row r="57" spans="1:4">
      <c r="A57" s="3374"/>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I24" sqref="I24"/>
    </sheetView>
  </sheetViews>
  <sheetFormatPr defaultColWidth="10" defaultRowHeight="12.5"/>
  <cols>
    <col min="1" max="1" width="16.90625" style="1880" customWidth="1"/>
    <col min="2" max="2" width="10" style="1880" customWidth="1"/>
    <col min="3" max="3" width="11.453125" style="1880" customWidth="1"/>
    <col min="4" max="4" width="10" style="1880" customWidth="1"/>
    <col min="5" max="5" width="12.6328125" style="1880" customWidth="1"/>
    <col min="6" max="6" width="10" style="1880" customWidth="1"/>
    <col min="7" max="7" width="10.90625" style="1880" customWidth="1"/>
    <col min="8" max="8" width="10" style="1880" customWidth="1"/>
    <col min="9" max="9" width="11.08984375" style="1714"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2665</v>
      </c>
      <c r="B1" s="3383" t="str">
        <f>IF(B10="北京市","北京市",C10)&amp;F10&amp;IF(结果表!G1="在建","出让国有建设用地使用权及在建建筑物",IF(结果表!G1="土地","出让国有建设用地使用权",))&amp;B9&amp;"预评估"</f>
        <v>北京市朝阳区朝阳门南大街10号房地产抵押价值预评估</v>
      </c>
      <c r="C1" s="3384"/>
      <c r="D1" s="3384"/>
      <c r="E1" s="3384"/>
      <c r="F1" s="3384"/>
      <c r="G1" s="3384"/>
      <c r="H1" s="3384"/>
      <c r="I1" s="3385"/>
      <c r="J1" s="2643"/>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北京市朝阳区朝阳门南大街10号房地产抵押价值</v>
      </c>
      <c r="T1" s="1880"/>
      <c r="U1" s="1880"/>
      <c r="V1" s="1880"/>
      <c r="W1" s="1880"/>
      <c r="X1" s="1880"/>
      <c r="Y1" s="1880"/>
      <c r="Z1" s="1880"/>
      <c r="AA1" s="1880"/>
      <c r="AB1" s="1880"/>
    </row>
    <row r="2" spans="1:28" ht="13">
      <c r="A2" s="2539" t="s">
        <v>2666</v>
      </c>
      <c r="B2" s="2543"/>
      <c r="C2" s="2544"/>
      <c r="D2" s="2844"/>
      <c r="E2" s="2835"/>
      <c r="F2" s="2835"/>
      <c r="G2" s="2836"/>
      <c r="H2" s="2836"/>
      <c r="I2" s="2836"/>
      <c r="J2" s="2643"/>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北京市朝阳区朝阳门南大街10号房地产</v>
      </c>
      <c r="T2" s="1880"/>
      <c r="U2" s="1880"/>
      <c r="V2" s="1880"/>
      <c r="W2" s="1880"/>
      <c r="X2" s="1880"/>
      <c r="Y2" s="1880"/>
      <c r="Z2" s="1880"/>
      <c r="AA2" s="1880"/>
      <c r="AB2" s="1880"/>
    </row>
    <row r="3" spans="1:28" ht="13">
      <c r="A3" s="308" t="s">
        <v>2667</v>
      </c>
      <c r="B3" s="2545">
        <v>44691</v>
      </c>
      <c r="C3" s="2546" t="s">
        <v>2668</v>
      </c>
      <c r="D3" s="2545">
        <f>B3</f>
        <v>44691</v>
      </c>
      <c r="E3" s="2836"/>
      <c r="F3" s="2836"/>
      <c r="G3" s="2836"/>
      <c r="H3" s="2836"/>
      <c r="I3" s="2836"/>
      <c r="J3" s="2643"/>
      <c r="K3" s="2540"/>
      <c r="L3" s="2541"/>
      <c r="M3" s="2541"/>
      <c r="N3" s="2542"/>
      <c r="O3" s="1711"/>
      <c r="P3" s="2542"/>
      <c r="Q3" s="2542"/>
      <c r="R3" s="2542"/>
      <c r="S3" s="1817"/>
      <c r="T3" s="1880"/>
      <c r="U3" s="1880"/>
      <c r="V3" s="1880"/>
      <c r="W3" s="1880"/>
      <c r="X3" s="1880"/>
      <c r="Y3" s="1880"/>
      <c r="Z3" s="1880"/>
      <c r="AA3" s="1880"/>
      <c r="AB3" s="1880"/>
    </row>
    <row r="4" spans="1:28" ht="13.5" thickBot="1">
      <c r="A4" s="1202" t="s">
        <v>2669</v>
      </c>
      <c r="B4" s="2547" t="s">
        <v>3802</v>
      </c>
      <c r="C4" s="2548">
        <f ca="1">SUMIF(注册房地产估价师,B4,估价师及机构信息!B3:B24)</f>
        <v>1419970001</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1"/>
      <c r="K4" s="2550" t="str">
        <f ca="1">CONCATENATE(B4,"（注册号：",C4,")、",D4,"（注册号：",E4,")")</f>
        <v>吴薇（注册号：1419970001)、（注册号：0)</v>
      </c>
      <c r="L4" s="2541"/>
      <c r="M4" s="2541"/>
      <c r="N4" s="2542"/>
      <c r="O4" s="1711"/>
      <c r="P4" s="2542"/>
      <c r="Q4" s="2542"/>
      <c r="R4" s="2542"/>
      <c r="S4" s="1817"/>
      <c r="T4" s="1880"/>
      <c r="U4" s="1880"/>
      <c r="V4" s="1880"/>
      <c r="W4" s="1880"/>
      <c r="X4" s="1880"/>
      <c r="Y4" s="1880"/>
      <c r="Z4" s="1880"/>
      <c r="AA4" s="1880"/>
      <c r="AB4" s="1880"/>
    </row>
    <row r="5" spans="1:28" ht="13.5" thickTop="1">
      <c r="A5" s="2551" t="s">
        <v>2670</v>
      </c>
      <c r="B5" s="3319" t="s">
        <v>3761</v>
      </c>
      <c r="C5" s="2552"/>
      <c r="D5" s="2553"/>
      <c r="E5" s="2837"/>
      <c r="F5" s="2837"/>
      <c r="G5" s="2837"/>
      <c r="H5" s="2837"/>
      <c r="I5" s="2837"/>
      <c r="J5" s="2611"/>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ht="13">
      <c r="A6" s="2554" t="s">
        <v>2671</v>
      </c>
      <c r="B6" s="3320" t="s">
        <v>3762</v>
      </c>
      <c r="C6" s="2555"/>
      <c r="D6" s="2556"/>
      <c r="E6" s="2835"/>
      <c r="F6" s="2837"/>
      <c r="G6" s="2837"/>
      <c r="H6" s="2837"/>
      <c r="I6" s="2837"/>
      <c r="J6" s="2611"/>
      <c r="K6" s="2787" t="str">
        <f>IF(COUNTIF(B6,"*上海银行*"),"上海银行","")</f>
        <v/>
      </c>
      <c r="L6" s="2785"/>
      <c r="M6" s="2785"/>
      <c r="N6" s="2611"/>
      <c r="O6" s="2622"/>
      <c r="P6" s="2611"/>
      <c r="Q6" s="2611"/>
      <c r="R6" s="2611"/>
    </row>
    <row r="7" spans="1:28" ht="37.5">
      <c r="A7" s="2554" t="s">
        <v>2672</v>
      </c>
      <c r="B7" s="2557" t="str">
        <f>B5</f>
        <v>北京兆泰集团股份有限公司</v>
      </c>
      <c r="C7" s="2555"/>
      <c r="D7" s="2556"/>
      <c r="E7" s="2835"/>
      <c r="F7" s="2837"/>
      <c r="G7" s="2837"/>
      <c r="H7" s="2837"/>
      <c r="I7" s="2837"/>
      <c r="J7" s="2611"/>
      <c r="K7" s="2788"/>
      <c r="L7" s="2785"/>
      <c r="M7" s="2785"/>
      <c r="N7" s="2611"/>
      <c r="O7" s="2622"/>
      <c r="P7" s="2611"/>
      <c r="Q7" s="2611"/>
      <c r="R7" s="2611"/>
    </row>
    <row r="8" spans="1:28" ht="13">
      <c r="A8" s="2558" t="s">
        <v>2673</v>
      </c>
      <c r="B8" s="2559" t="s">
        <v>3171</v>
      </c>
      <c r="C8" s="2560"/>
      <c r="D8" s="3386" t="s">
        <v>2674</v>
      </c>
      <c r="E8" s="2561" t="s">
        <v>3172</v>
      </c>
      <c r="F8" s="2562"/>
      <c r="G8" s="2836"/>
      <c r="H8" s="2836"/>
      <c r="I8" s="2836"/>
      <c r="J8" s="2611"/>
      <c r="K8" s="2786"/>
      <c r="L8" s="2785"/>
      <c r="M8" s="2785"/>
      <c r="N8" s="2611"/>
      <c r="O8" s="2622"/>
      <c r="P8" s="2611"/>
      <c r="Q8" s="2611"/>
      <c r="R8" s="2611"/>
    </row>
    <row r="9" spans="1:28" ht="13.5" thickBot="1">
      <c r="A9" s="2563" t="s">
        <v>2675</v>
      </c>
      <c r="B9" s="2564" t="s">
        <v>3172</v>
      </c>
      <c r="C9" s="2565"/>
      <c r="D9" s="3387"/>
      <c r="E9" s="2564" t="s">
        <v>70</v>
      </c>
      <c r="F9" s="2566"/>
      <c r="G9" s="2838"/>
      <c r="H9" s="2838"/>
      <c r="I9" s="2838"/>
      <c r="J9" s="2611"/>
      <c r="K9" s="2788"/>
      <c r="L9" s="2785"/>
      <c r="M9" s="2785"/>
      <c r="N9" s="2611"/>
      <c r="O9" s="2622"/>
      <c r="P9" s="2611"/>
      <c r="Q9" s="2611"/>
      <c r="R9" s="2611"/>
    </row>
    <row r="10" spans="1:28" ht="13.5" thickTop="1">
      <c r="A10" s="2567" t="s">
        <v>2676</v>
      </c>
      <c r="B10" s="2568" t="s">
        <v>3175</v>
      </c>
      <c r="C10" s="2569"/>
      <c r="D10" s="2553"/>
      <c r="E10" s="2570" t="s">
        <v>2677</v>
      </c>
      <c r="F10" s="3321" t="s">
        <v>3763</v>
      </c>
      <c r="G10" s="2839"/>
      <c r="H10" s="2840"/>
      <c r="I10" s="2841"/>
      <c r="J10" s="2611"/>
      <c r="K10" s="2788"/>
      <c r="L10" s="2785"/>
      <c r="M10" s="2785"/>
      <c r="N10" s="2611"/>
      <c r="O10" s="2622"/>
      <c r="P10" s="2611"/>
      <c r="Q10" s="2611"/>
      <c r="R10" s="2611"/>
    </row>
    <row r="11" spans="1:28" ht="37.5">
      <c r="A11" s="2571" t="s">
        <v>2678</v>
      </c>
      <c r="B11" s="2572" t="s">
        <v>3174</v>
      </c>
      <c r="C11" s="2573" t="str">
        <f>B5</f>
        <v>北京兆泰集团股份有限公司</v>
      </c>
      <c r="D11" s="2574"/>
      <c r="E11" s="2542"/>
      <c r="F11" s="2542"/>
      <c r="G11" s="2542"/>
      <c r="H11" s="2542"/>
      <c r="I11" s="2542"/>
      <c r="J11" s="2611"/>
      <c r="K11" s="2788"/>
      <c r="L11" s="2785"/>
      <c r="M11" s="2785"/>
      <c r="N11" s="2611"/>
      <c r="O11" s="2622"/>
      <c r="P11" s="2611"/>
      <c r="Q11" s="2611"/>
      <c r="R11" s="2611"/>
    </row>
    <row r="12" spans="1:28" ht="13">
      <c r="A12" s="2575" t="s">
        <v>2679</v>
      </c>
      <c r="B12" s="2572" t="s">
        <v>3173</v>
      </c>
      <c r="C12" s="329" t="s">
        <v>2680</v>
      </c>
      <c r="D12" s="2576" t="s">
        <v>2681</v>
      </c>
      <c r="E12" s="2576" t="s">
        <v>2682</v>
      </c>
      <c r="F12" s="2576" t="s">
        <v>2683</v>
      </c>
      <c r="G12" s="2576" t="s">
        <v>2684</v>
      </c>
      <c r="H12" s="2576" t="s">
        <v>2685</v>
      </c>
      <c r="I12" s="2576" t="s">
        <v>2686</v>
      </c>
      <c r="J12" s="2611"/>
      <c r="K12" s="2788"/>
      <c r="L12" s="2785"/>
      <c r="M12" s="2785"/>
      <c r="N12" s="2611"/>
      <c r="O12" s="2622"/>
      <c r="P12" s="2611"/>
      <c r="Q12" s="2611"/>
      <c r="R12" s="2611"/>
    </row>
    <row r="13" spans="1:28" ht="13">
      <c r="A13" s="1193"/>
      <c r="B13" s="2577"/>
      <c r="C13" s="2578" t="s">
        <v>2687</v>
      </c>
      <c r="D13" s="945"/>
      <c r="E13" s="945">
        <v>52839</v>
      </c>
      <c r="F13" s="945">
        <v>56491</v>
      </c>
      <c r="G13" s="945">
        <f>F13</f>
        <v>56491</v>
      </c>
      <c r="H13" s="945">
        <f>F13</f>
        <v>56491</v>
      </c>
      <c r="I13" s="945"/>
      <c r="J13" s="2611"/>
      <c r="K13" s="2788"/>
      <c r="L13" s="2785"/>
      <c r="M13" s="2785"/>
      <c r="N13" s="2611"/>
      <c r="O13" s="2622"/>
      <c r="P13" s="2611"/>
      <c r="Q13" s="2611"/>
      <c r="R13" s="2611"/>
    </row>
    <row r="14" spans="1:28" ht="13">
      <c r="A14" s="1193"/>
      <c r="B14" s="2577"/>
      <c r="C14" s="2578" t="s">
        <v>2688</v>
      </c>
      <c r="D14" s="2579"/>
      <c r="E14" s="2579">
        <v>40</v>
      </c>
      <c r="F14" s="2579">
        <v>50</v>
      </c>
      <c r="G14" s="2579">
        <v>50</v>
      </c>
      <c r="H14" s="2579">
        <v>50</v>
      </c>
      <c r="I14" s="2579"/>
      <c r="J14" s="2611"/>
      <c r="K14" s="2789"/>
      <c r="L14" s="2785"/>
      <c r="M14" s="2785"/>
      <c r="N14" s="2611"/>
      <c r="O14" s="2622"/>
      <c r="P14" s="2611"/>
      <c r="Q14" s="2611"/>
      <c r="R14" s="2611"/>
    </row>
    <row r="15" spans="1:28" ht="13">
      <c r="A15" s="326"/>
      <c r="B15" s="2580"/>
      <c r="C15" s="2581" t="s">
        <v>2689</v>
      </c>
      <c r="D15" s="2582" t="str">
        <f>IF(B12="出让",IF(D13="","",ROUNDDOWN(MIN((D13-$D$3)/365,D14),2)),D14)</f>
        <v/>
      </c>
      <c r="E15" s="2582">
        <f>IF(B12="出让",IF(E13="","",ROUNDDOWN(MIN((E13-$D$3)/365,E14),2)),E14)</f>
        <v>22.32</v>
      </c>
      <c r="F15" s="2582">
        <f>IF(B12="出让",IF(F13="","",ROUNDDOWN(MIN((F13-$D$3)/365,F14),2)),F14)</f>
        <v>32.32</v>
      </c>
      <c r="G15" s="2582">
        <f>IF(B12="出让",IF(G13="","",ROUNDDOWN(MIN((G13-$D$3)/365,G14),2)),G14)</f>
        <v>32.32</v>
      </c>
      <c r="H15" s="2582">
        <f>IF(B12="出让",IF(H13="","",ROUNDDOWN(MIN((H13-$D$3)/365,H14),2)),H14)</f>
        <v>32.32</v>
      </c>
      <c r="I15" s="2582" t="str">
        <f>IF(B12="出让",IF(I13="","",ROUNDDOWN(MIN((I13-$D$3)/365,I14),2)),I14)</f>
        <v/>
      </c>
      <c r="J15" s="2611"/>
      <c r="K15" s="2790"/>
      <c r="L15" s="2623"/>
      <c r="M15" s="2623"/>
      <c r="N15" s="2681"/>
      <c r="O15" s="2623"/>
      <c r="P15" s="2681"/>
      <c r="Q15" s="2611"/>
      <c r="R15" s="2611"/>
    </row>
    <row r="16" spans="1:28" ht="13">
      <c r="A16" s="2570" t="s">
        <v>2690</v>
      </c>
      <c r="B16" s="3393"/>
      <c r="C16" s="3394"/>
      <c r="D16" s="3395"/>
      <c r="E16" s="2585" t="s">
        <v>2691</v>
      </c>
      <c r="F16" s="3396"/>
      <c r="G16" s="3397"/>
      <c r="H16" s="3397"/>
      <c r="I16" s="3398"/>
      <c r="J16" s="2611"/>
      <c r="K16" s="2790"/>
      <c r="L16" s="2623"/>
      <c r="M16" s="2623"/>
      <c r="N16" s="2681"/>
      <c r="O16" s="2623"/>
      <c r="P16" s="2681"/>
      <c r="Q16" s="2611"/>
      <c r="R16" s="2611"/>
    </row>
    <row r="17" spans="1:28" ht="13">
      <c r="A17" s="319" t="s">
        <v>2692</v>
      </c>
      <c r="B17" s="308" t="s">
        <v>2693</v>
      </c>
      <c r="C17" s="11">
        <f>'数据-汇总表'!E3</f>
        <v>98604.219999999987</v>
      </c>
      <c r="D17" s="2494" t="s">
        <v>2694</v>
      </c>
      <c r="E17" s="3399" t="s">
        <v>2695</v>
      </c>
      <c r="F17" s="3400"/>
      <c r="G17" s="3400"/>
      <c r="H17" s="3400"/>
      <c r="I17" s="3401"/>
      <c r="J17" s="2611"/>
      <c r="K17" s="2791"/>
      <c r="L17" s="2623"/>
      <c r="M17" s="2623"/>
      <c r="N17" s="2681"/>
      <c r="O17" s="2623"/>
      <c r="P17" s="2681"/>
      <c r="Q17" s="2611"/>
      <c r="R17" s="2611"/>
      <c r="S17" s="2611"/>
      <c r="T17" s="2611"/>
      <c r="U17" s="2611"/>
      <c r="V17" s="2611"/>
    </row>
    <row r="18" spans="1:28" ht="26.5" thickBot="1">
      <c r="A18" s="2586" t="s">
        <v>2696</v>
      </c>
      <c r="B18" s="1202" t="s">
        <v>2697</v>
      </c>
      <c r="C18" s="2587">
        <f>'数据-汇总表'!D3</f>
        <v>5676.41</v>
      </c>
      <c r="D18" s="1204" t="s">
        <v>2698</v>
      </c>
      <c r="E18" s="3402" t="s">
        <v>2699</v>
      </c>
      <c r="F18" s="3403"/>
      <c r="G18" s="3403"/>
      <c r="H18" s="3403"/>
      <c r="I18" s="3404"/>
      <c r="J18" s="2611"/>
      <c r="K18" s="2791"/>
      <c r="L18" s="2623"/>
      <c r="M18" s="2623"/>
      <c r="N18" s="2681"/>
      <c r="O18" s="2623"/>
      <c r="P18" s="2681"/>
      <c r="Q18" s="2611"/>
      <c r="R18" s="2611"/>
      <c r="S18" s="2611"/>
      <c r="T18" s="2611"/>
      <c r="U18" s="2611"/>
      <c r="V18" s="2611"/>
    </row>
    <row r="19" spans="1:28" ht="40" thickTop="1" thickBot="1">
      <c r="A19" s="333" t="s">
        <v>1496</v>
      </c>
      <c r="B19" s="313" t="s">
        <v>2700</v>
      </c>
      <c r="C19" s="1698"/>
      <c r="D19" s="1699" t="s">
        <v>2701</v>
      </c>
      <c r="E19" s="1700"/>
      <c r="F19" s="1701" t="str">
        <f>IF(AND(C19="是",E19="否"),"是否提供他项权证或相关说明","")</f>
        <v/>
      </c>
      <c r="G19" s="1702"/>
      <c r="H19" s="2837"/>
      <c r="I19" s="2837"/>
      <c r="J19" s="2611"/>
      <c r="K19" s="2788"/>
      <c r="L19" s="2785"/>
      <c r="M19" s="2785"/>
      <c r="N19" s="2681"/>
      <c r="O19" s="2623"/>
      <c r="P19" s="2681"/>
      <c r="Q19" s="2611"/>
      <c r="R19" s="2611"/>
      <c r="S19" s="2611"/>
      <c r="T19" s="2611"/>
      <c r="U19" s="2611"/>
      <c r="V19" s="2611"/>
    </row>
    <row r="20" spans="1:28" ht="13">
      <c r="A20" s="2805" t="s">
        <v>2702</v>
      </c>
      <c r="B20" s="3389" t="s">
        <v>2703</v>
      </c>
      <c r="C20" s="3390"/>
      <c r="D20" s="3391" t="s">
        <v>2704</v>
      </c>
      <c r="E20" s="3392"/>
      <c r="F20" s="2820" t="s">
        <v>1497</v>
      </c>
      <c r="G20" s="2837"/>
      <c r="H20" s="2837"/>
      <c r="I20" s="2837"/>
      <c r="J20" s="2611"/>
      <c r="K20" s="3388" t="s">
        <v>2705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4"/>
      <c r="O20" s="2583"/>
      <c r="P20" s="2584"/>
      <c r="Q20" s="2542"/>
      <c r="R20" s="2542"/>
      <c r="S20" s="2542"/>
      <c r="T20" s="2542"/>
      <c r="U20" s="2542"/>
      <c r="V20" s="2542"/>
      <c r="W20" s="1880"/>
      <c r="X20" s="1880"/>
      <c r="Y20" s="1880"/>
      <c r="Z20" s="1880"/>
      <c r="AA20" s="1880"/>
      <c r="AB20" s="1880"/>
    </row>
    <row r="21" spans="1:28" ht="26.5" thickBot="1">
      <c r="A21" s="2805"/>
      <c r="B21" s="2806" t="s">
        <v>2706</v>
      </c>
      <c r="C21" s="2807" t="s">
        <v>1498</v>
      </c>
      <c r="D21" s="1703" t="s">
        <v>2707</v>
      </c>
      <c r="E21" s="2808" t="s">
        <v>1498</v>
      </c>
      <c r="F21" s="2821"/>
      <c r="G21" s="2837"/>
      <c r="H21" s="2837"/>
      <c r="I21" s="2837"/>
      <c r="J21" s="2611"/>
      <c r="K21" s="338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4"/>
      <c r="O21" s="2583"/>
      <c r="P21" s="2584"/>
      <c r="Q21" s="2542"/>
      <c r="R21" s="2542"/>
      <c r="S21" s="2542"/>
      <c r="T21" s="2542"/>
      <c r="U21" s="2542"/>
      <c r="V21" s="2542"/>
      <c r="W21" s="1880"/>
      <c r="X21" s="1880"/>
      <c r="Y21" s="1880"/>
      <c r="Z21" s="1880"/>
      <c r="AA21" s="1880"/>
      <c r="AB21" s="1880"/>
    </row>
    <row r="22" spans="1:28" ht="26.5" thickBot="1">
      <c r="A22" s="2805"/>
      <c r="B22" s="2809" t="s">
        <v>2708</v>
      </c>
      <c r="C22" s="2807" t="s">
        <v>1499</v>
      </c>
      <c r="D22" s="2836"/>
      <c r="E22" s="2836"/>
      <c r="F22" s="2836"/>
      <c r="G22" s="2837"/>
      <c r="H22" s="2837"/>
      <c r="I22" s="2837"/>
      <c r="J22" s="2611"/>
      <c r="K22" s="338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4"/>
      <c r="O22" s="2583"/>
      <c r="P22" s="2584"/>
      <c r="Q22" s="2542"/>
      <c r="R22" s="2542"/>
      <c r="S22" s="2542"/>
      <c r="T22" s="2542"/>
      <c r="U22" s="2542"/>
      <c r="V22" s="2542"/>
      <c r="W22" s="1880"/>
      <c r="X22" s="1880"/>
      <c r="Y22" s="1880"/>
      <c r="Z22" s="1880"/>
      <c r="AA22" s="1880"/>
      <c r="AB22" s="1880"/>
    </row>
    <row r="23" spans="1:28" ht="13">
      <c r="A23" s="2810" t="s">
        <v>2709</v>
      </c>
      <c r="B23" s="2674" t="s">
        <v>2710</v>
      </c>
      <c r="C23" s="2811"/>
      <c r="D23" s="2812" t="s">
        <v>2710</v>
      </c>
      <c r="E23" s="2813"/>
      <c r="F23" s="2836"/>
      <c r="G23" s="2837"/>
      <c r="H23" s="2837"/>
      <c r="I23" s="2837"/>
      <c r="J23" s="2611"/>
      <c r="K23" s="2792"/>
      <c r="L23" s="2647"/>
      <c r="M23" s="2785"/>
      <c r="N23" s="2681"/>
      <c r="O23" s="2623"/>
      <c r="P23" s="2681"/>
      <c r="Q23" s="2611"/>
      <c r="R23" s="2611"/>
      <c r="S23" s="2611"/>
      <c r="T23" s="2611"/>
      <c r="U23" s="2611"/>
      <c r="V23" s="2611"/>
    </row>
    <row r="24" spans="1:28" ht="13">
      <c r="A24" s="2810"/>
      <c r="B24" s="2674" t="s">
        <v>1500</v>
      </c>
      <c r="C24" s="2814"/>
      <c r="D24" s="2810" t="s">
        <v>1500</v>
      </c>
      <c r="E24" s="2815"/>
      <c r="F24" s="2836"/>
      <c r="G24" s="2837"/>
      <c r="H24" s="2837"/>
      <c r="I24" s="2837"/>
      <c r="J24" s="2611"/>
      <c r="K24" s="2792"/>
      <c r="L24" s="2647"/>
      <c r="M24" s="2785"/>
      <c r="N24" s="2681"/>
      <c r="O24" s="2623"/>
      <c r="P24" s="2681"/>
      <c r="Q24" s="2611"/>
      <c r="R24" s="2611"/>
      <c r="S24" s="2611"/>
      <c r="T24" s="2611"/>
      <c r="U24" s="2611"/>
      <c r="V24" s="2611"/>
    </row>
    <row r="25" spans="1:28" ht="13">
      <c r="A25" s="2810"/>
      <c r="B25" s="2674" t="s">
        <v>1501</v>
      </c>
      <c r="C25" s="2814"/>
      <c r="D25" s="2810" t="s">
        <v>1501</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1502</v>
      </c>
      <c r="C26" s="2818"/>
      <c r="D26" s="2816" t="s">
        <v>1502</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76" t="s">
        <v>2711</v>
      </c>
      <c r="B27" s="326" t="s">
        <v>2712</v>
      </c>
      <c r="C27" s="2588"/>
      <c r="D27" s="2589"/>
      <c r="E27" s="2837"/>
      <c r="F27" s="2837"/>
      <c r="G27" s="2837"/>
      <c r="H27" s="2837"/>
      <c r="I27" s="2837"/>
      <c r="J27" s="2611"/>
      <c r="K27" s="2790"/>
      <c r="L27" s="2623"/>
      <c r="M27" s="2623"/>
      <c r="N27" s="2681"/>
      <c r="O27" s="2623"/>
      <c r="P27" s="2681"/>
      <c r="Q27" s="2611"/>
      <c r="R27" s="2611"/>
      <c r="S27" s="2611"/>
      <c r="T27" s="2611"/>
      <c r="U27" s="2611"/>
      <c r="V27" s="2611"/>
    </row>
    <row r="28" spans="1:28" ht="13">
      <c r="A28" s="3376"/>
      <c r="B28" s="308" t="s">
        <v>2713</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ht="13">
      <c r="A29" s="3376"/>
      <c r="B29" s="308" t="s">
        <v>2714</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ht="13">
      <c r="A30" s="3377"/>
      <c r="B30" s="308" t="s">
        <v>2715</v>
      </c>
      <c r="C30" s="3378"/>
      <c r="D30" s="3379"/>
      <c r="E30" s="2837"/>
      <c r="F30" s="2837"/>
      <c r="G30" s="2837"/>
      <c r="H30" s="2837"/>
      <c r="I30" s="2837"/>
      <c r="J30" s="2611"/>
      <c r="K30" s="2788"/>
      <c r="L30" s="2785"/>
      <c r="M30" s="2785"/>
      <c r="N30" s="2611"/>
      <c r="O30" s="2622"/>
      <c r="P30" s="2611"/>
      <c r="Q30" s="2611"/>
      <c r="R30" s="2611"/>
      <c r="S30" s="2611"/>
      <c r="T30" s="2611"/>
      <c r="U30" s="2611"/>
      <c r="V30" s="2611"/>
    </row>
    <row r="31" spans="1:28">
      <c r="A31" s="3380" t="s">
        <v>2716</v>
      </c>
      <c r="B31" s="2594"/>
      <c r="C31" s="2495" t="str">
        <f>IF(B31="现房","成新及维护状况正常否",IF(B31="在建","工程状态是否正常",IF(B31="土地","是否闲置","-")))</f>
        <v>-</v>
      </c>
      <c r="D31" s="1507"/>
      <c r="E31" s="2595"/>
      <c r="F31" s="2837"/>
      <c r="G31" s="2837"/>
      <c r="H31" s="2837"/>
      <c r="I31" s="2837"/>
      <c r="J31" s="2611"/>
      <c r="K31" s="2787"/>
      <c r="L31" s="2785"/>
      <c r="M31" s="2785"/>
      <c r="N31" s="2611"/>
      <c r="O31" s="2622"/>
      <c r="P31" s="2611"/>
      <c r="Q31" s="2611"/>
      <c r="R31" s="2611"/>
      <c r="S31" s="2611"/>
      <c r="T31" s="2611"/>
      <c r="U31" s="2611"/>
      <c r="V31" s="2611"/>
    </row>
    <row r="32" spans="1:28">
      <c r="A32" s="3381"/>
      <c r="B32" s="2594"/>
      <c r="C32" s="2495" t="str">
        <f>IF(B32="现房","成新及维护状况是否正常",IF(B32="在建","工程状态是否正常",IF(B32="土地","是否闲置","-")))</f>
        <v>-</v>
      </c>
      <c r="D32" s="1507"/>
      <c r="E32" s="2595"/>
      <c r="F32" s="2837"/>
      <c r="G32" s="2837"/>
      <c r="H32" s="2837"/>
      <c r="I32" s="2837"/>
      <c r="J32" s="2611"/>
      <c r="K32" s="2788"/>
      <c r="L32" s="2785"/>
      <c r="M32" s="2785"/>
      <c r="N32" s="2611"/>
      <c r="O32" s="2622"/>
      <c r="P32" s="2611"/>
      <c r="Q32" s="2611"/>
      <c r="R32" s="2611"/>
      <c r="S32" s="2611"/>
      <c r="T32" s="2611"/>
      <c r="U32" s="2611"/>
      <c r="V32" s="2611"/>
    </row>
    <row r="33" spans="1:30">
      <c r="A33" s="3381"/>
      <c r="B33" s="2597"/>
      <c r="C33" s="1725" t="str">
        <f>IF(B33="现房","成新及维护状况是否正常",IF(B33="在建","工程状态是否正常",IF(B33="土地","是否闲置","-")))</f>
        <v>-</v>
      </c>
      <c r="D33" s="1499"/>
      <c r="E33" s="2598"/>
      <c r="F33" s="2837"/>
      <c r="G33" s="2837"/>
      <c r="H33" s="2837"/>
      <c r="I33" s="2837"/>
      <c r="J33" s="2611"/>
      <c r="K33" s="2788"/>
      <c r="L33" s="2785"/>
      <c r="M33" s="2785"/>
      <c r="N33" s="2611"/>
      <c r="O33" s="2622"/>
      <c r="P33" s="2611"/>
      <c r="Q33" s="2611"/>
      <c r="R33" s="2611"/>
      <c r="S33" s="2611"/>
      <c r="T33" s="2611"/>
      <c r="U33" s="2611"/>
      <c r="V33" s="2611"/>
    </row>
    <row r="34" spans="1:30" ht="13">
      <c r="A34" s="308" t="s">
        <v>2717</v>
      </c>
      <c r="B34" s="2163" t="s">
        <v>3764</v>
      </c>
      <c r="C34" s="2163" t="s">
        <v>3765</v>
      </c>
      <c r="D34" s="2163" t="s">
        <v>3766</v>
      </c>
      <c r="E34" s="2163" t="s">
        <v>3767</v>
      </c>
      <c r="F34" s="2163" t="s">
        <v>3768</v>
      </c>
      <c r="G34" s="2163" t="s">
        <v>3769</v>
      </c>
      <c r="H34" s="2163" t="s">
        <v>70</v>
      </c>
      <c r="I34" s="2837"/>
      <c r="J34" s="2611"/>
      <c r="K34" s="2599">
        <f>COUNTIF(B34:H34,"——")</f>
        <v>1</v>
      </c>
      <c r="L34" s="329" t="s">
        <v>2718</v>
      </c>
      <c r="M34" s="329" t="s">
        <v>2719</v>
      </c>
      <c r="N34" s="329" t="s">
        <v>2720</v>
      </c>
      <c r="O34" s="329" t="s">
        <v>2721</v>
      </c>
      <c r="P34" s="329" t="s">
        <v>2722</v>
      </c>
      <c r="Q34" s="329" t="s">
        <v>2723</v>
      </c>
      <c r="R34" s="329" t="s">
        <v>2724</v>
      </c>
      <c r="S34" s="3375" t="s">
        <v>2725</v>
      </c>
      <c r="T34" s="2600" t="str">
        <f>NUMBERSTRING(7-K34,1)&amp;"通"</f>
        <v>六通</v>
      </c>
      <c r="U34" s="2611"/>
      <c r="V34" s="2611"/>
    </row>
    <row r="35" spans="1:30">
      <c r="A35" s="2601"/>
      <c r="B35" s="3382" t="s">
        <v>2726</v>
      </c>
      <c r="C35" s="3382"/>
      <c r="D35" s="3382"/>
      <c r="E35" s="3382"/>
      <c r="F35" s="673">
        <f>C10</f>
        <v>0</v>
      </c>
      <c r="G35" s="2837"/>
      <c r="H35" s="2837"/>
      <c r="I35" s="2837"/>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75"/>
      <c r="T35" s="335" t="str">
        <f>IF(T34="一通",L35,IF(T34="二通",M35,IF(T34="三通",N35,IF(T34="四通",O35,IF(T34="五通",P35,IF(T34="六通",Q35,R35))))))</f>
        <v>通路、通电、通讯、通上水、通下水、燃气</v>
      </c>
      <c r="U35" s="2611"/>
      <c r="V35" s="2611"/>
    </row>
    <row r="36" spans="1:30" ht="13">
      <c r="A36" s="2602"/>
      <c r="B36" s="673" t="s">
        <v>2682</v>
      </c>
      <c r="C36" s="673" t="s">
        <v>2683</v>
      </c>
      <c r="D36" s="673" t="s">
        <v>2681</v>
      </c>
      <c r="E36" s="673" t="s">
        <v>2686</v>
      </c>
      <c r="F36" s="2842"/>
      <c r="G36" s="2837"/>
      <c r="H36" s="2837"/>
      <c r="I36" s="2837"/>
      <c r="J36" s="2611"/>
      <c r="K36" s="2788"/>
      <c r="L36" s="2785"/>
      <c r="M36" s="2785"/>
      <c r="N36" s="2611"/>
      <c r="O36" s="2622"/>
      <c r="P36" s="2611"/>
      <c r="Q36" s="2611"/>
      <c r="R36" s="2611"/>
      <c r="S36" s="2611"/>
      <c r="T36" s="2611"/>
      <c r="U36" s="2611"/>
      <c r="V36" s="2611"/>
    </row>
    <row r="37" spans="1:30" ht="13">
      <c r="A37" s="2803" t="s">
        <v>2727</v>
      </c>
      <c r="B37" s="2603" t="s">
        <v>211</v>
      </c>
      <c r="C37" s="2603" t="s">
        <v>211</v>
      </c>
      <c r="D37" s="2603"/>
      <c r="E37" s="2603"/>
      <c r="F37" s="2842"/>
      <c r="G37" s="2837"/>
      <c r="H37" s="2837"/>
      <c r="I37" s="2837"/>
      <c r="J37" s="2611"/>
      <c r="K37" s="2788"/>
      <c r="L37" s="2785"/>
      <c r="M37" s="2785"/>
      <c r="N37" s="2611"/>
      <c r="O37" s="2622"/>
      <c r="P37" s="2611"/>
      <c r="Q37" s="2611"/>
      <c r="R37" s="2611"/>
      <c r="S37" s="2611"/>
      <c r="T37" s="2611"/>
      <c r="U37" s="2611"/>
      <c r="V37" s="2611"/>
    </row>
    <row r="38" spans="1:30" ht="13.5" thickBot="1">
      <c r="A38" s="2804" t="s">
        <v>2728</v>
      </c>
      <c r="B38" s="2604" t="s">
        <v>212</v>
      </c>
      <c r="C38" s="2604" t="s">
        <v>212</v>
      </c>
      <c r="D38" s="2604"/>
      <c r="E38" s="2604"/>
      <c r="F38" s="2843"/>
      <c r="G38" s="2838"/>
      <c r="H38" s="2838"/>
      <c r="I38" s="2838"/>
      <c r="J38" s="2611"/>
      <c r="K38" s="2788"/>
      <c r="L38" s="2785"/>
      <c r="M38" s="2785"/>
      <c r="N38" s="2611"/>
      <c r="O38" s="2622"/>
      <c r="P38" s="2611"/>
      <c r="Q38" s="2611"/>
      <c r="R38" s="2611"/>
      <c r="S38" s="2611"/>
      <c r="T38" s="2611"/>
      <c r="U38" s="2611"/>
      <c r="V38" s="2611"/>
    </row>
    <row r="39" spans="1:30" s="2607" customFormat="1" ht="14" thickTop="1" thickBot="1">
      <c r="A39" s="2605" t="s">
        <v>2729</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1"/>
      <c r="K40" s="2787"/>
      <c r="L40" s="2623"/>
      <c r="M40" s="2623"/>
      <c r="N40" s="2681"/>
      <c r="O40" s="2623"/>
      <c r="P40" s="2611"/>
      <c r="Q40" s="2611"/>
      <c r="R40" s="2611"/>
      <c r="S40" s="2611"/>
      <c r="T40" s="2611"/>
      <c r="U40" s="2611"/>
      <c r="V40" s="2611"/>
    </row>
    <row r="41" spans="1:30" ht="13">
      <c r="A41" s="2608" t="s">
        <v>2730</v>
      </c>
      <c r="B41" s="1892"/>
      <c r="C41" s="1507"/>
      <c r="D41" s="2542"/>
      <c r="E41" s="2542"/>
      <c r="F41" s="2542"/>
      <c r="G41" s="2542"/>
      <c r="H41" s="2542"/>
      <c r="I41" s="1711"/>
      <c r="J41" s="2611"/>
      <c r="K41" s="2788"/>
      <c r="L41" s="2785"/>
      <c r="M41" s="2785"/>
      <c r="N41" s="2611"/>
      <c r="O41" s="2622"/>
      <c r="P41" s="2611"/>
      <c r="Q41" s="2611"/>
      <c r="R41" s="2611"/>
      <c r="S41" s="2611"/>
      <c r="T41" s="2611"/>
      <c r="U41" s="2611"/>
      <c r="V41" s="2611"/>
    </row>
    <row r="42" spans="1:30" ht="26">
      <c r="A42" s="329" t="s">
        <v>2731</v>
      </c>
      <c r="B42" s="11" t="s">
        <v>2732</v>
      </c>
      <c r="C42" s="11" t="s">
        <v>2733</v>
      </c>
      <c r="D42" s="11" t="s">
        <v>2734</v>
      </c>
      <c r="E42" s="11" t="s">
        <v>2735</v>
      </c>
      <c r="F42" s="11" t="s">
        <v>2736</v>
      </c>
      <c r="G42" s="11" t="s">
        <v>2737</v>
      </c>
      <c r="H42" s="11" t="s">
        <v>2738</v>
      </c>
      <c r="I42" s="11" t="s">
        <v>2739</v>
      </c>
      <c r="J42" s="2799" t="s">
        <v>2740</v>
      </c>
      <c r="K42" s="2800" t="s">
        <v>2741</v>
      </c>
      <c r="L42" s="2800" t="s">
        <v>2742</v>
      </c>
      <c r="M42" s="2800" t="s">
        <v>2743</v>
      </c>
      <c r="N42" s="2793" t="s">
        <v>2744</v>
      </c>
      <c r="O42" s="2793" t="s">
        <v>2745</v>
      </c>
      <c r="P42" s="2793" t="s">
        <v>2746</v>
      </c>
      <c r="Q42" s="2794" t="s">
        <v>2747</v>
      </c>
      <c r="R42" s="2794" t="s">
        <v>2748</v>
      </c>
      <c r="S42" s="2611"/>
      <c r="T42" s="2611"/>
      <c r="U42" s="2611"/>
      <c r="V42" s="2611"/>
    </row>
    <row r="43" spans="1:30" s="1878" customFormat="1">
      <c r="A43" s="1705"/>
      <c r="B43" s="1162"/>
      <c r="C43" s="1162"/>
      <c r="D43" s="1162"/>
      <c r="E43" s="1162"/>
      <c r="F43" s="1162"/>
      <c r="G43" s="1162"/>
      <c r="H43" s="1162"/>
      <c r="I43" s="1162"/>
      <c r="J43" s="2609"/>
      <c r="K43" s="2610"/>
      <c r="L43" s="2610"/>
      <c r="M43" s="1162"/>
      <c r="N43" s="1162"/>
      <c r="O43" s="1162"/>
      <c r="P43" s="1162"/>
      <c r="Q43" s="1162"/>
      <c r="R43" s="1162"/>
      <c r="S43" s="2611"/>
      <c r="T43" s="2611"/>
      <c r="U43" s="2611"/>
      <c r="V43" s="2611"/>
    </row>
    <row r="44" spans="1:30" s="1878" customFormat="1">
      <c r="A44" s="1705"/>
      <c r="B44" s="1705"/>
      <c r="C44" s="1162"/>
      <c r="D44" s="1162"/>
      <c r="E44" s="1162"/>
      <c r="F44" s="1162"/>
      <c r="G44" s="1162"/>
      <c r="H44" s="1162"/>
      <c r="I44" s="1162"/>
      <c r="J44" s="2609"/>
      <c r="K44" s="2610"/>
      <c r="L44" s="2610"/>
      <c r="M44" s="1162"/>
      <c r="N44" s="1162"/>
      <c r="O44" s="1162"/>
      <c r="P44" s="1162"/>
      <c r="Q44" s="1162"/>
      <c r="R44" s="1162"/>
      <c r="S44" s="2611"/>
      <c r="T44" s="2611"/>
      <c r="U44" s="2611"/>
      <c r="V44" s="2611"/>
    </row>
    <row r="45" spans="1:30" s="1878" customFormat="1">
      <c r="A45" s="1705"/>
      <c r="B45" s="1705"/>
      <c r="C45" s="1162"/>
      <c r="D45" s="1162"/>
      <c r="E45" s="1162"/>
      <c r="F45" s="1162"/>
      <c r="G45" s="1162"/>
      <c r="H45" s="1162"/>
      <c r="I45" s="1162"/>
      <c r="J45" s="2609"/>
      <c r="K45" s="2610"/>
      <c r="L45" s="2610"/>
      <c r="M45" s="1162"/>
      <c r="N45" s="1162"/>
      <c r="O45" s="1162"/>
      <c r="P45" s="1162"/>
      <c r="Q45" s="1162"/>
      <c r="R45" s="1162"/>
      <c r="S45" s="2611"/>
      <c r="T45" s="2611"/>
      <c r="U45" s="2611"/>
      <c r="V45" s="2611"/>
    </row>
    <row r="46" spans="1:30" s="1878" customFormat="1">
      <c r="A46" s="1705"/>
      <c r="B46" s="1705"/>
      <c r="C46" s="1162"/>
      <c r="D46" s="1162"/>
      <c r="E46" s="1162"/>
      <c r="F46" s="1162"/>
      <c r="G46" s="1162"/>
      <c r="H46" s="1162"/>
      <c r="I46" s="1162"/>
      <c r="J46" s="2609"/>
      <c r="K46" s="2610"/>
      <c r="L46" s="2610"/>
      <c r="M46" s="1162"/>
      <c r="N46" s="1162"/>
      <c r="O46" s="1162"/>
      <c r="P46" s="1162"/>
      <c r="Q46" s="1162"/>
      <c r="R46" s="1162"/>
      <c r="S46" s="2611"/>
      <c r="T46" s="2611"/>
      <c r="U46" s="2611"/>
      <c r="V46" s="2611"/>
    </row>
    <row r="47" spans="1:30" s="1878" customFormat="1">
      <c r="A47" s="1705"/>
      <c r="B47" s="1705"/>
      <c r="C47" s="1162"/>
      <c r="D47" s="1162"/>
      <c r="E47" s="1162"/>
      <c r="F47" s="1162"/>
      <c r="G47" s="1162"/>
      <c r="H47" s="1162"/>
      <c r="I47" s="1162"/>
      <c r="J47" s="2609"/>
      <c r="K47" s="2610"/>
      <c r="L47" s="2610"/>
      <c r="M47" s="1162"/>
      <c r="N47" s="1162"/>
      <c r="O47" s="1162"/>
      <c r="P47" s="1162"/>
      <c r="Q47" s="1162"/>
      <c r="R47" s="1162"/>
      <c r="S47" s="2611"/>
      <c r="T47" s="2611"/>
      <c r="U47" s="2611"/>
      <c r="V47" s="2611"/>
    </row>
    <row r="48" spans="1:30" s="1878" customFormat="1">
      <c r="A48" s="1705"/>
      <c r="B48" s="1705"/>
      <c r="C48" s="1162"/>
      <c r="D48" s="1162"/>
      <c r="E48" s="1162"/>
      <c r="F48" s="1162"/>
      <c r="G48" s="1162"/>
      <c r="H48" s="1162"/>
      <c r="I48" s="1162"/>
      <c r="J48" s="2609"/>
      <c r="K48" s="2610"/>
      <c r="L48" s="2610"/>
      <c r="M48" s="1162"/>
      <c r="N48" s="1162"/>
      <c r="O48" s="1162"/>
      <c r="P48" s="1162"/>
      <c r="Q48" s="1162"/>
      <c r="R48" s="1162"/>
      <c r="S48" s="2611"/>
      <c r="T48" s="2611"/>
      <c r="U48" s="2611"/>
      <c r="V48" s="2611"/>
    </row>
    <row r="49" spans="1:22" s="1878" customFormat="1">
      <c r="A49" s="1705"/>
      <c r="B49" s="1705"/>
      <c r="C49" s="1162"/>
      <c r="D49" s="1162"/>
      <c r="E49" s="1162"/>
      <c r="F49" s="1162"/>
      <c r="G49" s="1162"/>
      <c r="H49" s="1162"/>
      <c r="I49" s="1162"/>
      <c r="J49" s="2609"/>
      <c r="K49" s="2610"/>
      <c r="L49" s="2610"/>
      <c r="M49" s="1162"/>
      <c r="N49" s="1162"/>
      <c r="O49" s="1162"/>
      <c r="P49" s="1162"/>
      <c r="Q49" s="1162"/>
      <c r="R49" s="1162"/>
      <c r="S49" s="2611"/>
      <c r="T49" s="2611"/>
      <c r="U49" s="2611"/>
      <c r="V49" s="2611"/>
    </row>
    <row r="50" spans="1:22" s="1878" customFormat="1">
      <c r="A50" s="1705"/>
      <c r="B50" s="1705"/>
      <c r="C50" s="1162"/>
      <c r="D50" s="1162"/>
      <c r="E50" s="1162"/>
      <c r="F50" s="1162"/>
      <c r="G50" s="1162"/>
      <c r="H50" s="1162"/>
      <c r="I50" s="1162"/>
      <c r="J50" s="2609"/>
      <c r="K50" s="2610"/>
      <c r="L50" s="2610"/>
      <c r="M50" s="1162"/>
      <c r="N50" s="1162"/>
      <c r="O50" s="1162"/>
      <c r="P50" s="1162"/>
      <c r="Q50" s="1162"/>
      <c r="R50" s="1162"/>
      <c r="S50" s="2611"/>
      <c r="T50" s="2611"/>
      <c r="U50" s="2611"/>
      <c r="V50" s="2611"/>
    </row>
    <row r="51" spans="1:22" s="1878" customFormat="1">
      <c r="A51" s="1705"/>
      <c r="B51" s="1705"/>
      <c r="C51" s="1162"/>
      <c r="D51" s="1162"/>
      <c r="E51" s="1162"/>
      <c r="F51" s="1162"/>
      <c r="G51" s="1162"/>
      <c r="H51" s="1162"/>
      <c r="I51" s="1162"/>
      <c r="J51" s="2609"/>
      <c r="K51" s="2610"/>
      <c r="L51" s="2610"/>
      <c r="M51" s="1162"/>
      <c r="N51" s="1162"/>
      <c r="O51" s="1162"/>
      <c r="P51" s="1162"/>
      <c r="Q51" s="1162"/>
      <c r="R51" s="1162"/>
    </row>
    <row r="52" spans="1:22" s="1878" customFormat="1">
      <c r="A52" s="1705"/>
      <c r="B52" s="1705"/>
      <c r="C52" s="1705"/>
      <c r="D52" s="1705"/>
      <c r="E52" s="1705"/>
      <c r="F52" s="1162"/>
      <c r="G52" s="1705"/>
      <c r="H52" s="1705"/>
      <c r="I52" s="1705"/>
      <c r="J52" s="2612"/>
      <c r="K52" s="2610"/>
      <c r="L52" s="2610"/>
      <c r="M52" s="2610"/>
      <c r="N52" s="1705"/>
      <c r="O52" s="1705"/>
      <c r="P52" s="1705"/>
      <c r="Q52" s="1705"/>
      <c r="R52" s="1705"/>
    </row>
    <row r="53" spans="1:22" s="1878" customFormat="1">
      <c r="A53" s="1705"/>
      <c r="B53" s="1705"/>
      <c r="C53" s="1705"/>
      <c r="D53" s="1705"/>
      <c r="E53" s="1705"/>
      <c r="F53" s="1162"/>
      <c r="G53" s="1705"/>
      <c r="H53" s="1705"/>
      <c r="I53" s="1705"/>
      <c r="J53" s="2612"/>
      <c r="K53" s="2610"/>
      <c r="L53" s="2610"/>
      <c r="M53" s="2610"/>
      <c r="N53" s="1705"/>
      <c r="O53" s="1705"/>
      <c r="P53" s="1705"/>
      <c r="Q53" s="1705"/>
      <c r="R53" s="1705"/>
    </row>
    <row r="54" spans="1:22" s="1878" customFormat="1">
      <c r="A54" s="1705"/>
      <c r="B54" s="1705"/>
      <c r="C54" s="1705"/>
      <c r="D54" s="1705"/>
      <c r="E54" s="1705"/>
      <c r="F54" s="1162"/>
      <c r="G54" s="1705"/>
      <c r="H54" s="1705"/>
      <c r="I54" s="1705"/>
      <c r="J54" s="2612"/>
      <c r="K54" s="2610"/>
      <c r="L54" s="2610"/>
      <c r="M54" s="2610"/>
      <c r="N54" s="1705"/>
      <c r="O54" s="1705"/>
      <c r="P54" s="1705"/>
      <c r="Q54" s="1705"/>
      <c r="R54" s="1705"/>
    </row>
    <row r="55" spans="1:22" s="1878" customFormat="1">
      <c r="A55" s="1705"/>
      <c r="B55" s="1705"/>
      <c r="C55" s="1705"/>
      <c r="D55" s="1705"/>
      <c r="E55" s="1705"/>
      <c r="F55" s="1162"/>
      <c r="G55" s="1705"/>
      <c r="H55" s="1705"/>
      <c r="I55" s="1705"/>
      <c r="J55" s="2612"/>
      <c r="K55" s="2610"/>
      <c r="L55" s="2610"/>
      <c r="M55" s="2610"/>
      <c r="N55" s="1705"/>
      <c r="O55" s="1705"/>
      <c r="P55" s="1705"/>
      <c r="Q55" s="1705"/>
      <c r="R55" s="1705"/>
    </row>
    <row r="56" spans="1:22" s="1878" customFormat="1">
      <c r="A56" s="1705"/>
      <c r="B56" s="1705"/>
      <c r="C56" s="1705"/>
      <c r="D56" s="1705"/>
      <c r="E56" s="1705"/>
      <c r="F56" s="1162"/>
      <c r="G56" s="1705"/>
      <c r="H56" s="1705"/>
      <c r="I56" s="1705"/>
      <c r="J56" s="2612"/>
      <c r="K56" s="2610"/>
      <c r="L56" s="2610"/>
      <c r="M56" s="2610"/>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E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B12" xr:uid="{00000000-0002-0000-0C00-000014000000}">
      <formula1>"出让,划拨"</formula1>
    </dataValidation>
    <dataValidation type="list" allowBlank="1" showInputMessage="1" showErrorMessage="1" sqref="D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708" customWidth="1"/>
    <col min="2" max="2" width="11" style="1708" customWidth="1"/>
    <col min="3" max="3" width="10.36328125" style="1708" customWidth="1"/>
    <col min="4" max="4" width="9.08984375" style="1708" customWidth="1"/>
    <col min="5" max="6" width="10" style="1769" customWidth="1"/>
    <col min="7" max="8" width="10" style="1708" customWidth="1"/>
    <col min="9" max="9" width="10.6328125" style="1708" customWidth="1"/>
    <col min="10" max="10" width="9.453125" style="1708" customWidth="1"/>
    <col min="11" max="11" width="11" style="1708" customWidth="1"/>
    <col min="12" max="14" width="9.453125" style="1708" customWidth="1"/>
    <col min="15" max="16" width="9.90625" style="1708" customWidth="1"/>
    <col min="17" max="17" width="9.36328125" style="1708" customWidth="1"/>
    <col min="18" max="18" width="9.08984375" style="1708" customWidth="1"/>
    <col min="19" max="28" width="10.90625" style="1708" hidden="1" customWidth="1"/>
    <col min="29" max="29" width="11" style="1708" bestFit="1" customWidth="1"/>
    <col min="30" max="30" width="10" style="1708" bestFit="1" customWidth="1"/>
    <col min="31" max="31" width="9.90625" style="1708" customWidth="1"/>
    <col min="32" max="46" width="9.453125" style="1708" customWidth="1"/>
    <col min="47" max="47" width="18.08984375" style="1708" customWidth="1"/>
    <col min="48" max="50" width="9.90625" style="1708" customWidth="1"/>
    <col min="51" max="55" width="10.453125" style="1708" bestFit="1" customWidth="1"/>
    <col min="56" max="56" width="9.453125" style="1708" bestFit="1" customWidth="1"/>
    <col min="57" max="63" width="9.08984375" style="1708" bestFit="1" customWidth="1"/>
    <col min="64" max="64" width="9.453125" style="1708" bestFit="1" customWidth="1"/>
    <col min="65" max="65" width="9.08984375" style="1708" bestFit="1" customWidth="1"/>
    <col min="66" max="66" width="9.453125" style="1708" bestFit="1" customWidth="1"/>
    <col min="67" max="69" width="9.08984375" style="1708" bestFit="1" customWidth="1"/>
    <col min="70" max="70" width="9.453125" style="1708" bestFit="1" customWidth="1"/>
    <col min="71" max="71" width="9" style="1708" customWidth="1"/>
    <col min="72" max="72" width="9.08984375" style="1708" bestFit="1" customWidth="1"/>
    <col min="73" max="16384" width="8.90625" style="1708"/>
  </cols>
  <sheetData>
    <row r="1" spans="1:72" ht="21">
      <c r="A1" s="1709" t="s">
        <v>1503</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1504</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6">
      <c r="A2" s="11" t="s">
        <v>1505</v>
      </c>
      <c r="B2" s="11" t="s">
        <v>1506</v>
      </c>
      <c r="C2" s="11" t="s">
        <v>1507</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1508</v>
      </c>
      <c r="AZ2" s="1160" t="s">
        <v>1509</v>
      </c>
      <c r="BA2" s="11" t="s">
        <v>1510</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3">
      <c r="A3" s="13">
        <v>9370.25</v>
      </c>
      <c r="B3" s="14">
        <f>IF(C3="否",G5-AT5,G5)</f>
        <v>162769.44999999998</v>
      </c>
      <c r="C3" s="1715" t="s">
        <v>1511</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3">
      <c r="A5" s="15" t="s">
        <v>1512</v>
      </c>
      <c r="B5" s="1481"/>
      <c r="C5" s="1481"/>
      <c r="D5" s="1483"/>
      <c r="E5" s="16" t="s">
        <v>1</v>
      </c>
      <c r="F5" s="16">
        <f>SUM(F13:F587)</f>
        <v>0</v>
      </c>
      <c r="G5" s="16">
        <f>SUM(G13:G587)</f>
        <v>162769.44999999998</v>
      </c>
      <c r="H5" s="16">
        <f t="shared" ref="H5:AT5" si="0">SUM(H13:H656)</f>
        <v>162769.44999999998</v>
      </c>
      <c r="I5" s="16">
        <f t="shared" si="0"/>
        <v>122193.47999999998</v>
      </c>
      <c r="J5" s="16">
        <f t="shared" si="0"/>
        <v>0</v>
      </c>
      <c r="K5" s="16">
        <f t="shared" si="0"/>
        <v>1769.96</v>
      </c>
      <c r="L5" s="16">
        <f t="shared" si="0"/>
        <v>0</v>
      </c>
      <c r="M5" s="16">
        <f t="shared" si="0"/>
        <v>3024.74</v>
      </c>
      <c r="N5" s="16">
        <f t="shared" si="0"/>
        <v>0</v>
      </c>
      <c r="O5" s="16">
        <f t="shared" si="0"/>
        <v>33140.449999999997</v>
      </c>
      <c r="P5" s="16">
        <f t="shared" si="0"/>
        <v>0</v>
      </c>
      <c r="Q5" s="16">
        <f t="shared" si="0"/>
        <v>2640.82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1512</v>
      </c>
      <c r="AW5" s="1481"/>
      <c r="AX5" s="1481"/>
      <c r="AY5" s="17" t="s">
        <v>3</v>
      </c>
      <c r="AZ5" s="18">
        <f t="shared" ref="AZ5:BT5" si="1">SUM(AZ13:AZ656)</f>
        <v>98604.219999999987</v>
      </c>
      <c r="BA5" s="18">
        <f t="shared" si="1"/>
        <v>98604.219999999987</v>
      </c>
      <c r="BB5" s="18">
        <f t="shared" si="1"/>
        <v>73689.229999999981</v>
      </c>
      <c r="BC5" s="18">
        <f t="shared" si="1"/>
        <v>406.9</v>
      </c>
      <c r="BD5" s="18">
        <f t="shared" si="1"/>
        <v>3024.74</v>
      </c>
      <c r="BE5" s="18">
        <f t="shared" si="1"/>
        <v>18842.53</v>
      </c>
      <c r="BF5" s="18">
        <f t="shared" si="1"/>
        <v>2640.82</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3">
      <c r="A6" s="15" t="s">
        <v>1513</v>
      </c>
      <c r="B6" s="1721"/>
      <c r="C6" s="1721"/>
      <c r="D6" s="1722"/>
      <c r="E6" s="16">
        <f>H6+AC6+AT6</f>
        <v>9370.260000000002</v>
      </c>
      <c r="F6" s="16" t="s">
        <v>1</v>
      </c>
      <c r="G6" s="16" t="s">
        <v>2</v>
      </c>
      <c r="H6" s="20">
        <f>SUMIF(I$12:AB$12,"总值",I6:AB6)</f>
        <v>9370.260000000002</v>
      </c>
      <c r="I6" s="16">
        <f t="shared" ref="I6:AB6" si="2">ROUND($A$3*I5/$B$3,2)</f>
        <v>7034.39</v>
      </c>
      <c r="J6" s="16">
        <f t="shared" si="2"/>
        <v>0</v>
      </c>
      <c r="K6" s="16">
        <f t="shared" si="2"/>
        <v>101.89</v>
      </c>
      <c r="L6" s="16">
        <f t="shared" si="2"/>
        <v>0</v>
      </c>
      <c r="M6" s="16">
        <f t="shared" si="2"/>
        <v>174.13</v>
      </c>
      <c r="N6" s="16">
        <f t="shared" si="2"/>
        <v>0</v>
      </c>
      <c r="O6" s="16">
        <f t="shared" si="2"/>
        <v>1907.82</v>
      </c>
      <c r="P6" s="16">
        <f t="shared" si="2"/>
        <v>0</v>
      </c>
      <c r="Q6" s="16">
        <f t="shared" si="2"/>
        <v>152.03</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1513</v>
      </c>
      <c r="AW6" s="1721"/>
      <c r="AX6" s="1721"/>
      <c r="AY6" s="21">
        <f>IF(AY3&gt;0,AY3,ROUND($A$3*AZ5/$B$3,2))</f>
        <v>5676.41</v>
      </c>
      <c r="AZ6" s="16" t="s">
        <v>3</v>
      </c>
      <c r="BA6" s="16">
        <f>ROUND($AY$6*BA5/$AZ$5,2)</f>
        <v>5676.41</v>
      </c>
      <c r="BB6" s="16">
        <f>ROUND($AY$6*BB5/$AZ$5,2)</f>
        <v>4242.1099999999997</v>
      </c>
      <c r="BC6" s="16">
        <f t="shared" ref="BC6:BH6" si="4">ROUND($AY$6*BC5/$AZ$5,2)</f>
        <v>23.42</v>
      </c>
      <c r="BD6" s="16">
        <f t="shared" si="4"/>
        <v>174.13</v>
      </c>
      <c r="BE6" s="16">
        <f t="shared" si="4"/>
        <v>1084.72</v>
      </c>
      <c r="BF6" s="16">
        <f t="shared" si="4"/>
        <v>152.03</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6">
      <c r="A7" s="1704" t="s">
        <v>1514</v>
      </c>
      <c r="B7" s="1704" t="s">
        <v>1515</v>
      </c>
      <c r="C7" s="1704" t="s">
        <v>1516</v>
      </c>
      <c r="D7" s="1704" t="s">
        <v>1517</v>
      </c>
      <c r="E7" s="1704" t="s">
        <v>1518</v>
      </c>
      <c r="F7" s="1704" t="s">
        <v>1519</v>
      </c>
      <c r="G7" s="1725" t="s">
        <v>1520</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1521</v>
      </c>
      <c r="AV7" s="23" t="s">
        <v>1522</v>
      </c>
      <c r="AW7" s="1713" t="s">
        <v>1523</v>
      </c>
      <c r="AX7" s="23" t="s">
        <v>1516</v>
      </c>
      <c r="AY7" s="1481" t="s">
        <v>1524</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6">
      <c r="A8" s="1729"/>
      <c r="B8" s="1729"/>
      <c r="C8" s="1729"/>
      <c r="D8" s="1729"/>
      <c r="E8" s="1729"/>
      <c r="F8" s="1729"/>
      <c r="G8" s="1730" t="s">
        <v>1525</v>
      </c>
      <c r="H8" s="1731" t="s">
        <v>1526</v>
      </c>
      <c r="I8" s="1732"/>
      <c r="J8" s="1494"/>
      <c r="K8" s="1494"/>
      <c r="L8" s="1494"/>
      <c r="M8" s="1494"/>
      <c r="N8" s="1494"/>
      <c r="O8" s="1494"/>
      <c r="P8" s="1494"/>
      <c r="Q8" s="1494"/>
      <c r="R8" s="1494"/>
      <c r="S8" s="1494"/>
      <c r="T8" s="1494"/>
      <c r="U8" s="1494"/>
      <c r="V8" s="1733"/>
      <c r="W8" s="1494"/>
      <c r="X8" s="1494"/>
      <c r="Y8" s="1494"/>
      <c r="Z8" s="1494"/>
      <c r="AA8" s="1733"/>
      <c r="AB8" s="1734"/>
      <c r="AC8" s="898" t="s">
        <v>1527</v>
      </c>
      <c r="AD8" s="1735"/>
      <c r="AE8" s="1727"/>
      <c r="AF8" s="1494"/>
      <c r="AG8" s="1494"/>
      <c r="AH8" s="1494"/>
      <c r="AI8" s="1494"/>
      <c r="AJ8" s="1494"/>
      <c r="AK8" s="1494"/>
      <c r="AL8" s="1494"/>
      <c r="AM8" s="1494"/>
      <c r="AN8" s="1494"/>
      <c r="AO8" s="1494"/>
      <c r="AP8" s="1494"/>
      <c r="AQ8" s="1494"/>
      <c r="AR8" s="1494"/>
      <c r="AS8" s="1494"/>
      <c r="AT8" s="1182" t="s">
        <v>1528</v>
      </c>
      <c r="AU8" s="1729" t="s">
        <v>1529</v>
      </c>
      <c r="AV8" s="1182"/>
      <c r="AW8" s="1712"/>
      <c r="AX8" s="1182"/>
      <c r="AY8" s="1713" t="s">
        <v>1530</v>
      </c>
      <c r="AZ8" s="1493" t="s">
        <v>1531</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3">
      <c r="A9" s="1729"/>
      <c r="B9" s="1729"/>
      <c r="C9" s="1729"/>
      <c r="D9" s="1729"/>
      <c r="E9" s="1729"/>
      <c r="F9" s="1729"/>
      <c r="G9" s="1182"/>
      <c r="H9" s="1737" t="s">
        <v>1532</v>
      </c>
      <c r="I9" s="1738" t="s">
        <v>3715</v>
      </c>
      <c r="J9" s="898"/>
      <c r="K9" s="1738" t="s">
        <v>3715</v>
      </c>
      <c r="L9" s="898"/>
      <c r="M9" s="1738" t="s">
        <v>3716</v>
      </c>
      <c r="N9" s="898"/>
      <c r="O9" s="1738" t="s">
        <v>3716</v>
      </c>
      <c r="P9" s="898"/>
      <c r="Q9" s="1738" t="s">
        <v>3716</v>
      </c>
      <c r="R9" s="898"/>
      <c r="S9" s="1738"/>
      <c r="T9" s="898"/>
      <c r="U9" s="1738"/>
      <c r="V9" s="898"/>
      <c r="W9" s="1738"/>
      <c r="X9" s="1739"/>
      <c r="Y9" s="1738"/>
      <c r="Z9" s="898"/>
      <c r="AA9" s="1738"/>
      <c r="AB9" s="898"/>
      <c r="AC9" s="1730" t="s">
        <v>1532</v>
      </c>
      <c r="AD9" s="15" t="s">
        <v>1533</v>
      </c>
      <c r="AE9" s="1188"/>
      <c r="AF9" s="15" t="s">
        <v>1534</v>
      </c>
      <c r="AG9" s="1188"/>
      <c r="AH9" s="15" t="s">
        <v>1533</v>
      </c>
      <c r="AI9" s="1188"/>
      <c r="AJ9" s="15" t="s">
        <v>1534</v>
      </c>
      <c r="AK9" s="1188"/>
      <c r="AL9" s="15" t="s">
        <v>1533</v>
      </c>
      <c r="AM9" s="1188"/>
      <c r="AN9" s="15" t="s">
        <v>1534</v>
      </c>
      <c r="AO9" s="1188"/>
      <c r="AP9" s="15" t="s">
        <v>1533</v>
      </c>
      <c r="AQ9" s="1188"/>
      <c r="AR9" s="15" t="s">
        <v>1534</v>
      </c>
      <c r="AS9" s="1740"/>
      <c r="AT9" s="1729"/>
      <c r="AU9" s="1729" t="s">
        <v>1535</v>
      </c>
      <c r="AV9" s="1182"/>
      <c r="AW9" s="1712"/>
      <c r="AX9" s="1182"/>
      <c r="AY9" s="28"/>
      <c r="AZ9" s="28" t="s">
        <v>1525</v>
      </c>
      <c r="BA9" s="1741" t="s">
        <v>1536</v>
      </c>
      <c r="BB9" s="1742"/>
      <c r="BC9" s="1200"/>
      <c r="BD9" s="1200"/>
      <c r="BE9" s="1200"/>
      <c r="BF9" s="1200"/>
      <c r="BG9" s="1200"/>
      <c r="BH9" s="1200"/>
      <c r="BI9" s="1200"/>
      <c r="BJ9" s="1200"/>
      <c r="BK9" s="1743"/>
      <c r="BL9" s="15" t="s">
        <v>1537</v>
      </c>
      <c r="BM9" s="1494"/>
      <c r="BN9" s="1732"/>
      <c r="BO9" s="1494"/>
      <c r="BP9" s="1494"/>
      <c r="BQ9" s="1494"/>
      <c r="BR9" s="1494"/>
      <c r="BS9" s="1494"/>
      <c r="BT9" s="26"/>
    </row>
    <row r="10" spans="1:72" s="1736" customFormat="1" ht="13">
      <c r="A10" s="1729"/>
      <c r="B10" s="1729"/>
      <c r="C10" s="1729"/>
      <c r="D10" s="1729"/>
      <c r="E10" s="1729"/>
      <c r="F10" s="1729"/>
      <c r="G10" s="1182"/>
      <c r="H10" s="28"/>
      <c r="I10" s="1738" t="s">
        <v>27</v>
      </c>
      <c r="J10" s="898"/>
      <c r="K10" s="1744" t="s">
        <v>1098</v>
      </c>
      <c r="L10" s="898"/>
      <c r="M10" s="1744" t="s">
        <v>1098</v>
      </c>
      <c r="N10" s="898"/>
      <c r="O10" s="1744" t="s">
        <v>3717</v>
      </c>
      <c r="P10" s="898"/>
      <c r="Q10" s="1744" t="s">
        <v>3718</v>
      </c>
      <c r="R10" s="898"/>
      <c r="S10" s="1744"/>
      <c r="T10" s="898"/>
      <c r="U10" s="1744"/>
      <c r="V10" s="898"/>
      <c r="W10" s="1744"/>
      <c r="X10" s="898"/>
      <c r="Y10" s="1744"/>
      <c r="Z10" s="898"/>
      <c r="AA10" s="1744"/>
      <c r="AB10" s="898"/>
      <c r="AC10" s="1182"/>
      <c r="AD10" s="15" t="s">
        <v>1538</v>
      </c>
      <c r="AE10" s="1745"/>
      <c r="AF10" s="15" t="s">
        <v>1538</v>
      </c>
      <c r="AG10" s="1745"/>
      <c r="AH10" s="15" t="s">
        <v>1539</v>
      </c>
      <c r="AI10" s="1745"/>
      <c r="AJ10" s="15" t="s">
        <v>1539</v>
      </c>
      <c r="AK10" s="1745"/>
      <c r="AL10" s="15" t="s">
        <v>1540</v>
      </c>
      <c r="AM10" s="1188"/>
      <c r="AN10" s="15" t="s">
        <v>1540</v>
      </c>
      <c r="AO10" s="1188"/>
      <c r="AP10" s="15" t="s">
        <v>1541</v>
      </c>
      <c r="AQ10" s="1188"/>
      <c r="AR10" s="15" t="s">
        <v>1541</v>
      </c>
      <c r="AS10" s="1188"/>
      <c r="AT10" s="1729"/>
      <c r="AU10" s="1729"/>
      <c r="AV10" s="1182"/>
      <c r="AW10" s="1712"/>
      <c r="AX10" s="1182"/>
      <c r="AY10" s="28"/>
      <c r="AZ10" s="28"/>
      <c r="BA10" s="1746" t="s">
        <v>1532</v>
      </c>
      <c r="BB10" s="1747"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1532</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3">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1542</v>
      </c>
      <c r="AE11" s="1495"/>
      <c r="AF11" s="1751" t="s">
        <v>1542</v>
      </c>
      <c r="AG11" s="1495"/>
      <c r="AH11" s="1751" t="s">
        <v>1543</v>
      </c>
      <c r="AI11" s="1752"/>
      <c r="AJ11" s="1751" t="s">
        <v>1543</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商业</v>
      </c>
      <c r="BD11" s="1734" t="str">
        <f>M10</f>
        <v>商业</v>
      </c>
      <c r="BE11" s="1734" t="str">
        <f>O10</f>
        <v>车库</v>
      </c>
      <c r="BF11" s="1734" t="str">
        <f>Q10</f>
        <v>仓储</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3">
      <c r="A12" s="1754"/>
      <c r="B12" s="1754"/>
      <c r="C12" s="1754"/>
      <c r="D12" s="1754"/>
      <c r="E12" s="1754"/>
      <c r="F12" s="1754"/>
      <c r="G12" s="30"/>
      <c r="H12" s="1755"/>
      <c r="I12" s="1483"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80" t="s">
        <v>1545</v>
      </c>
      <c r="W12" s="11" t="s">
        <v>1544</v>
      </c>
      <c r="X12" s="11" t="s">
        <v>1545</v>
      </c>
      <c r="Y12" s="11" t="s">
        <v>1544</v>
      </c>
      <c r="Z12" s="11" t="s">
        <v>1545</v>
      </c>
      <c r="AA12" s="11" t="s">
        <v>1544</v>
      </c>
      <c r="AB12" s="11" t="s">
        <v>1545</v>
      </c>
      <c r="AC12" s="1756"/>
      <c r="AD12" s="1483"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54" t="s">
        <v>1545</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5">
      <c r="A13" s="1162"/>
      <c r="B13" s="1162"/>
      <c r="C13" s="1162"/>
      <c r="D13" s="1760" t="s">
        <v>3719</v>
      </c>
      <c r="E13" s="16">
        <f>IF($C$3="是",ROUND($A$3*G13/$B$3,2),ROUND($A$3*(G13-AT13)/$B$3,2))</f>
        <v>5676.41</v>
      </c>
      <c r="F13" s="32"/>
      <c r="G13" s="33">
        <f>H13+AC13+AT13</f>
        <v>98604.219999999987</v>
      </c>
      <c r="H13" s="20">
        <f>SUMIF(I$12:AB$12,"总值",I13:AB13)</f>
        <v>98604.219999999987</v>
      </c>
      <c r="I13" s="1761">
        <f>SUM(分层面积!B4:B21)</f>
        <v>73689.229999999981</v>
      </c>
      <c r="J13" s="1761"/>
      <c r="K13" s="1761">
        <f>分层面积!B22+分层面积!B23</f>
        <v>406.9</v>
      </c>
      <c r="L13" s="1761"/>
      <c r="M13" s="1761">
        <f>分层面积!B24</f>
        <v>3024.74</v>
      </c>
      <c r="N13" s="1761"/>
      <c r="O13" s="1761">
        <f>SUM(分层面积!B25:B27)</f>
        <v>18842.53</v>
      </c>
      <c r="P13" s="1761"/>
      <c r="Q13" s="1761">
        <f>SUM(分层面积!B28:B33)</f>
        <v>2640.82</v>
      </c>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5676.41</v>
      </c>
      <c r="AZ13" s="16">
        <f>BA13+BL13</f>
        <v>98604.219999999987</v>
      </c>
      <c r="BA13" s="16">
        <f>SUM(BB13:BK13)</f>
        <v>98604.219999999987</v>
      </c>
      <c r="BB13" s="16">
        <f>IF($D13="是",I13-J13,0)</f>
        <v>73689.229999999981</v>
      </c>
      <c r="BC13" s="16">
        <f>IF($D13="是",K13-L13,0)</f>
        <v>406.9</v>
      </c>
      <c r="BD13" s="16">
        <f>IF($D13="是",M13-N13,0)</f>
        <v>3024.74</v>
      </c>
      <c r="BE13" s="16">
        <f>IF($D13="是",O13-P13,0)</f>
        <v>18842.53</v>
      </c>
      <c r="BF13" s="16">
        <f>IF($D13="是",Q13-R13,0)</f>
        <v>2640.82</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5">
      <c r="A14" s="1162"/>
      <c r="B14" s="1162"/>
      <c r="C14" s="1705"/>
      <c r="D14" s="1760" t="s">
        <v>3746</v>
      </c>
      <c r="E14" s="16">
        <f>IF($C$3="是",ROUND($A$3*G14/$B$3,2),ROUND($A$3*(G14-AT14)/$B$3,2))</f>
        <v>3693.84</v>
      </c>
      <c r="F14" s="32"/>
      <c r="G14" s="33">
        <f>H14+AC14+AT14</f>
        <v>64165.229999999996</v>
      </c>
      <c r="H14" s="20">
        <f>SUMIF(I$12:AB$12,"总值",I14:AB14)</f>
        <v>64165.229999999996</v>
      </c>
      <c r="I14" s="1761">
        <f>SUM(分层面积!B43:B61)</f>
        <v>48504.25</v>
      </c>
      <c r="J14" s="1761"/>
      <c r="K14" s="1761">
        <f>分层面积!B42</f>
        <v>1363.06</v>
      </c>
      <c r="L14" s="1761"/>
      <c r="M14" s="1761"/>
      <c r="N14" s="1761"/>
      <c r="O14" s="1761">
        <f>分层面积!B40+分层面积!B41</f>
        <v>14297.92</v>
      </c>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05" t="s">
        <v>0</v>
      </c>
      <c r="B1" s="3405" t="s">
        <v>4</v>
      </c>
      <c r="C1" s="3405" t="s">
        <v>5</v>
      </c>
      <c r="D1" s="3406" t="s">
        <v>53</v>
      </c>
      <c r="E1" s="3406" t="s">
        <v>54</v>
      </c>
      <c r="F1" s="3406"/>
      <c r="G1" s="3406"/>
      <c r="H1" s="3406"/>
      <c r="I1" s="3406"/>
      <c r="J1" s="3406"/>
      <c r="K1" s="3406"/>
      <c r="L1" s="3406"/>
      <c r="M1" s="3406"/>
    </row>
    <row r="2" spans="1:13" ht="27" customHeight="1">
      <c r="A2" s="3405"/>
      <c r="B2" s="3405"/>
      <c r="C2" s="3405"/>
      <c r="D2" s="3406"/>
      <c r="E2" s="3406" t="s">
        <v>37</v>
      </c>
      <c r="F2" s="3406" t="s">
        <v>38</v>
      </c>
      <c r="G2" s="3406"/>
      <c r="H2" s="3406"/>
      <c r="I2" s="3406"/>
      <c r="J2" s="3406" t="s">
        <v>39</v>
      </c>
      <c r="K2" s="3406"/>
      <c r="L2" s="3406"/>
      <c r="M2" s="3406"/>
    </row>
    <row r="3" spans="1:13" ht="45">
      <c r="A3" s="3405"/>
      <c r="B3" s="3405"/>
      <c r="C3" s="3405"/>
      <c r="D3" s="3406"/>
      <c r="E3" s="340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6" t="s">
        <v>55</v>
      </c>
      <c r="B9" s="3406"/>
      <c r="C9" s="34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499"/>
  <sheetViews>
    <sheetView workbookViewId="0">
      <selection activeCell="L7" sqref="L7"/>
    </sheetView>
  </sheetViews>
  <sheetFormatPr defaultRowHeight="14"/>
  <cols>
    <col min="1" max="1" width="17.1796875" style="3237" bestFit="1" customWidth="1"/>
    <col min="2" max="2" width="14.6328125" style="3237" customWidth="1"/>
    <col min="3" max="3" width="13.1796875" style="3237" customWidth="1"/>
    <col min="4" max="4" width="11.1796875" style="3237" customWidth="1"/>
    <col min="5" max="5" width="13.453125" style="3237" customWidth="1"/>
    <col min="6" max="6" width="13.453125" style="3237" hidden="1" customWidth="1"/>
    <col min="7" max="7" width="18.36328125" style="3237" customWidth="1"/>
    <col min="8" max="8" width="8.1796875" style="3237" customWidth="1"/>
    <col min="9" max="256" width="8.81640625" style="3237"/>
    <col min="257" max="257" width="14" style="3237" customWidth="1"/>
    <col min="258" max="258" width="14.6328125" style="3237" customWidth="1"/>
    <col min="259" max="259" width="13.1796875" style="3237" customWidth="1"/>
    <col min="260" max="260" width="11.1796875" style="3237" customWidth="1"/>
    <col min="261" max="261" width="13.453125" style="3237" customWidth="1"/>
    <col min="262" max="262" width="0" style="3237" hidden="1" customWidth="1"/>
    <col min="263" max="263" width="18.36328125" style="3237" customWidth="1"/>
    <col min="264" max="264" width="8.1796875" style="3237" customWidth="1"/>
    <col min="265" max="512" width="8.81640625" style="3237"/>
    <col min="513" max="513" width="14" style="3237" customWidth="1"/>
    <col min="514" max="514" width="14.6328125" style="3237" customWidth="1"/>
    <col min="515" max="515" width="13.1796875" style="3237" customWidth="1"/>
    <col min="516" max="516" width="11.1796875" style="3237" customWidth="1"/>
    <col min="517" max="517" width="13.453125" style="3237" customWidth="1"/>
    <col min="518" max="518" width="0" style="3237" hidden="1" customWidth="1"/>
    <col min="519" max="519" width="18.36328125" style="3237" customWidth="1"/>
    <col min="520" max="520" width="8.1796875" style="3237" customWidth="1"/>
    <col min="521" max="768" width="8.81640625" style="3237"/>
    <col min="769" max="769" width="14" style="3237" customWidth="1"/>
    <col min="770" max="770" width="14.6328125" style="3237" customWidth="1"/>
    <col min="771" max="771" width="13.1796875" style="3237" customWidth="1"/>
    <col min="772" max="772" width="11.1796875" style="3237" customWidth="1"/>
    <col min="773" max="773" width="13.453125" style="3237" customWidth="1"/>
    <col min="774" max="774" width="0" style="3237" hidden="1" customWidth="1"/>
    <col min="775" max="775" width="18.36328125" style="3237" customWidth="1"/>
    <col min="776" max="776" width="8.1796875" style="3237" customWidth="1"/>
    <col min="777" max="1024" width="8.81640625" style="3237"/>
    <col min="1025" max="1025" width="14" style="3237" customWidth="1"/>
    <col min="1026" max="1026" width="14.6328125" style="3237" customWidth="1"/>
    <col min="1027" max="1027" width="13.1796875" style="3237" customWidth="1"/>
    <col min="1028" max="1028" width="11.1796875" style="3237" customWidth="1"/>
    <col min="1029" max="1029" width="13.453125" style="3237" customWidth="1"/>
    <col min="1030" max="1030" width="0" style="3237" hidden="1" customWidth="1"/>
    <col min="1031" max="1031" width="18.36328125" style="3237" customWidth="1"/>
    <col min="1032" max="1032" width="8.1796875" style="3237" customWidth="1"/>
    <col min="1033" max="1280" width="8.81640625" style="3237"/>
    <col min="1281" max="1281" width="14" style="3237" customWidth="1"/>
    <col min="1282" max="1282" width="14.6328125" style="3237" customWidth="1"/>
    <col min="1283" max="1283" width="13.1796875" style="3237" customWidth="1"/>
    <col min="1284" max="1284" width="11.1796875" style="3237" customWidth="1"/>
    <col min="1285" max="1285" width="13.453125" style="3237" customWidth="1"/>
    <col min="1286" max="1286" width="0" style="3237" hidden="1" customWidth="1"/>
    <col min="1287" max="1287" width="18.36328125" style="3237" customWidth="1"/>
    <col min="1288" max="1288" width="8.1796875" style="3237" customWidth="1"/>
    <col min="1289" max="1536" width="8.81640625" style="3237"/>
    <col min="1537" max="1537" width="14" style="3237" customWidth="1"/>
    <col min="1538" max="1538" width="14.6328125" style="3237" customWidth="1"/>
    <col min="1539" max="1539" width="13.1796875" style="3237" customWidth="1"/>
    <col min="1540" max="1540" width="11.1796875" style="3237" customWidth="1"/>
    <col min="1541" max="1541" width="13.453125" style="3237" customWidth="1"/>
    <col min="1542" max="1542" width="0" style="3237" hidden="1" customWidth="1"/>
    <col min="1543" max="1543" width="18.36328125" style="3237" customWidth="1"/>
    <col min="1544" max="1544" width="8.1796875" style="3237" customWidth="1"/>
    <col min="1545" max="1792" width="8.81640625" style="3237"/>
    <col min="1793" max="1793" width="14" style="3237" customWidth="1"/>
    <col min="1794" max="1794" width="14.6328125" style="3237" customWidth="1"/>
    <col min="1795" max="1795" width="13.1796875" style="3237" customWidth="1"/>
    <col min="1796" max="1796" width="11.1796875" style="3237" customWidth="1"/>
    <col min="1797" max="1797" width="13.453125" style="3237" customWidth="1"/>
    <col min="1798" max="1798" width="0" style="3237" hidden="1" customWidth="1"/>
    <col min="1799" max="1799" width="18.36328125" style="3237" customWidth="1"/>
    <col min="1800" max="1800" width="8.1796875" style="3237" customWidth="1"/>
    <col min="1801" max="2048" width="8.81640625" style="3237"/>
    <col min="2049" max="2049" width="14" style="3237" customWidth="1"/>
    <col min="2050" max="2050" width="14.6328125" style="3237" customWidth="1"/>
    <col min="2051" max="2051" width="13.1796875" style="3237" customWidth="1"/>
    <col min="2052" max="2052" width="11.1796875" style="3237" customWidth="1"/>
    <col min="2053" max="2053" width="13.453125" style="3237" customWidth="1"/>
    <col min="2054" max="2054" width="0" style="3237" hidden="1" customWidth="1"/>
    <col min="2055" max="2055" width="18.36328125" style="3237" customWidth="1"/>
    <col min="2056" max="2056" width="8.1796875" style="3237" customWidth="1"/>
    <col min="2057" max="2304" width="8.81640625" style="3237"/>
    <col min="2305" max="2305" width="14" style="3237" customWidth="1"/>
    <col min="2306" max="2306" width="14.6328125" style="3237" customWidth="1"/>
    <col min="2307" max="2307" width="13.1796875" style="3237" customWidth="1"/>
    <col min="2308" max="2308" width="11.1796875" style="3237" customWidth="1"/>
    <col min="2309" max="2309" width="13.453125" style="3237" customWidth="1"/>
    <col min="2310" max="2310" width="0" style="3237" hidden="1" customWidth="1"/>
    <col min="2311" max="2311" width="18.36328125" style="3237" customWidth="1"/>
    <col min="2312" max="2312" width="8.1796875" style="3237" customWidth="1"/>
    <col min="2313" max="2560" width="8.81640625" style="3237"/>
    <col min="2561" max="2561" width="14" style="3237" customWidth="1"/>
    <col min="2562" max="2562" width="14.6328125" style="3237" customWidth="1"/>
    <col min="2563" max="2563" width="13.1796875" style="3237" customWidth="1"/>
    <col min="2564" max="2564" width="11.1796875" style="3237" customWidth="1"/>
    <col min="2565" max="2565" width="13.453125" style="3237" customWidth="1"/>
    <col min="2566" max="2566" width="0" style="3237" hidden="1" customWidth="1"/>
    <col min="2567" max="2567" width="18.36328125" style="3237" customWidth="1"/>
    <col min="2568" max="2568" width="8.1796875" style="3237" customWidth="1"/>
    <col min="2569" max="2816" width="8.81640625" style="3237"/>
    <col min="2817" max="2817" width="14" style="3237" customWidth="1"/>
    <col min="2818" max="2818" width="14.6328125" style="3237" customWidth="1"/>
    <col min="2819" max="2819" width="13.1796875" style="3237" customWidth="1"/>
    <col min="2820" max="2820" width="11.1796875" style="3237" customWidth="1"/>
    <col min="2821" max="2821" width="13.453125" style="3237" customWidth="1"/>
    <col min="2822" max="2822" width="0" style="3237" hidden="1" customWidth="1"/>
    <col min="2823" max="2823" width="18.36328125" style="3237" customWidth="1"/>
    <col min="2824" max="2824" width="8.1796875" style="3237" customWidth="1"/>
    <col min="2825" max="3072" width="8.81640625" style="3237"/>
    <col min="3073" max="3073" width="14" style="3237" customWidth="1"/>
    <col min="3074" max="3074" width="14.6328125" style="3237" customWidth="1"/>
    <col min="3075" max="3075" width="13.1796875" style="3237" customWidth="1"/>
    <col min="3076" max="3076" width="11.1796875" style="3237" customWidth="1"/>
    <col min="3077" max="3077" width="13.453125" style="3237" customWidth="1"/>
    <col min="3078" max="3078" width="0" style="3237" hidden="1" customWidth="1"/>
    <col min="3079" max="3079" width="18.36328125" style="3237" customWidth="1"/>
    <col min="3080" max="3080" width="8.1796875" style="3237" customWidth="1"/>
    <col min="3081" max="3328" width="8.81640625" style="3237"/>
    <col min="3329" max="3329" width="14" style="3237" customWidth="1"/>
    <col min="3330" max="3330" width="14.6328125" style="3237" customWidth="1"/>
    <col min="3331" max="3331" width="13.1796875" style="3237" customWidth="1"/>
    <col min="3332" max="3332" width="11.1796875" style="3237" customWidth="1"/>
    <col min="3333" max="3333" width="13.453125" style="3237" customWidth="1"/>
    <col min="3334" max="3334" width="0" style="3237" hidden="1" customWidth="1"/>
    <col min="3335" max="3335" width="18.36328125" style="3237" customWidth="1"/>
    <col min="3336" max="3336" width="8.1796875" style="3237" customWidth="1"/>
    <col min="3337" max="3584" width="8.81640625" style="3237"/>
    <col min="3585" max="3585" width="14" style="3237" customWidth="1"/>
    <col min="3586" max="3586" width="14.6328125" style="3237" customWidth="1"/>
    <col min="3587" max="3587" width="13.1796875" style="3237" customWidth="1"/>
    <col min="3588" max="3588" width="11.1796875" style="3237" customWidth="1"/>
    <col min="3589" max="3589" width="13.453125" style="3237" customWidth="1"/>
    <col min="3590" max="3590" width="0" style="3237" hidden="1" customWidth="1"/>
    <col min="3591" max="3591" width="18.36328125" style="3237" customWidth="1"/>
    <col min="3592" max="3592" width="8.1796875" style="3237" customWidth="1"/>
    <col min="3593" max="3840" width="8.81640625" style="3237"/>
    <col min="3841" max="3841" width="14" style="3237" customWidth="1"/>
    <col min="3842" max="3842" width="14.6328125" style="3237" customWidth="1"/>
    <col min="3843" max="3843" width="13.1796875" style="3237" customWidth="1"/>
    <col min="3844" max="3844" width="11.1796875" style="3237" customWidth="1"/>
    <col min="3845" max="3845" width="13.453125" style="3237" customWidth="1"/>
    <col min="3846" max="3846" width="0" style="3237" hidden="1" customWidth="1"/>
    <col min="3847" max="3847" width="18.36328125" style="3237" customWidth="1"/>
    <col min="3848" max="3848" width="8.1796875" style="3237" customWidth="1"/>
    <col min="3849" max="4096" width="8.81640625" style="3237"/>
    <col min="4097" max="4097" width="14" style="3237" customWidth="1"/>
    <col min="4098" max="4098" width="14.6328125" style="3237" customWidth="1"/>
    <col min="4099" max="4099" width="13.1796875" style="3237" customWidth="1"/>
    <col min="4100" max="4100" width="11.1796875" style="3237" customWidth="1"/>
    <col min="4101" max="4101" width="13.453125" style="3237" customWidth="1"/>
    <col min="4102" max="4102" width="0" style="3237" hidden="1" customWidth="1"/>
    <col min="4103" max="4103" width="18.36328125" style="3237" customWidth="1"/>
    <col min="4104" max="4104" width="8.1796875" style="3237" customWidth="1"/>
    <col min="4105" max="4352" width="8.81640625" style="3237"/>
    <col min="4353" max="4353" width="14" style="3237" customWidth="1"/>
    <col min="4354" max="4354" width="14.6328125" style="3237" customWidth="1"/>
    <col min="4355" max="4355" width="13.1796875" style="3237" customWidth="1"/>
    <col min="4356" max="4356" width="11.1796875" style="3237" customWidth="1"/>
    <col min="4357" max="4357" width="13.453125" style="3237" customWidth="1"/>
    <col min="4358" max="4358" width="0" style="3237" hidden="1" customWidth="1"/>
    <col min="4359" max="4359" width="18.36328125" style="3237" customWidth="1"/>
    <col min="4360" max="4360" width="8.1796875" style="3237" customWidth="1"/>
    <col min="4361" max="4608" width="8.81640625" style="3237"/>
    <col min="4609" max="4609" width="14" style="3237" customWidth="1"/>
    <col min="4610" max="4610" width="14.6328125" style="3237" customWidth="1"/>
    <col min="4611" max="4611" width="13.1796875" style="3237" customWidth="1"/>
    <col min="4612" max="4612" width="11.1796875" style="3237" customWidth="1"/>
    <col min="4613" max="4613" width="13.453125" style="3237" customWidth="1"/>
    <col min="4614" max="4614" width="0" style="3237" hidden="1" customWidth="1"/>
    <col min="4615" max="4615" width="18.36328125" style="3237" customWidth="1"/>
    <col min="4616" max="4616" width="8.1796875" style="3237" customWidth="1"/>
    <col min="4617" max="4864" width="8.81640625" style="3237"/>
    <col min="4865" max="4865" width="14" style="3237" customWidth="1"/>
    <col min="4866" max="4866" width="14.6328125" style="3237" customWidth="1"/>
    <col min="4867" max="4867" width="13.1796875" style="3237" customWidth="1"/>
    <col min="4868" max="4868" width="11.1796875" style="3237" customWidth="1"/>
    <col min="4869" max="4869" width="13.453125" style="3237" customWidth="1"/>
    <col min="4870" max="4870" width="0" style="3237" hidden="1" customWidth="1"/>
    <col min="4871" max="4871" width="18.36328125" style="3237" customWidth="1"/>
    <col min="4872" max="4872" width="8.1796875" style="3237" customWidth="1"/>
    <col min="4873" max="5120" width="8.81640625" style="3237"/>
    <col min="5121" max="5121" width="14" style="3237" customWidth="1"/>
    <col min="5122" max="5122" width="14.6328125" style="3237" customWidth="1"/>
    <col min="5123" max="5123" width="13.1796875" style="3237" customWidth="1"/>
    <col min="5124" max="5124" width="11.1796875" style="3237" customWidth="1"/>
    <col min="5125" max="5125" width="13.453125" style="3237" customWidth="1"/>
    <col min="5126" max="5126" width="0" style="3237" hidden="1" customWidth="1"/>
    <col min="5127" max="5127" width="18.36328125" style="3237" customWidth="1"/>
    <col min="5128" max="5128" width="8.1796875" style="3237" customWidth="1"/>
    <col min="5129" max="5376" width="8.81640625" style="3237"/>
    <col min="5377" max="5377" width="14" style="3237" customWidth="1"/>
    <col min="5378" max="5378" width="14.6328125" style="3237" customWidth="1"/>
    <col min="5379" max="5379" width="13.1796875" style="3237" customWidth="1"/>
    <col min="5380" max="5380" width="11.1796875" style="3237" customWidth="1"/>
    <col min="5381" max="5381" width="13.453125" style="3237" customWidth="1"/>
    <col min="5382" max="5382" width="0" style="3237" hidden="1" customWidth="1"/>
    <col min="5383" max="5383" width="18.36328125" style="3237" customWidth="1"/>
    <col min="5384" max="5384" width="8.1796875" style="3237" customWidth="1"/>
    <col min="5385" max="5632" width="8.81640625" style="3237"/>
    <col min="5633" max="5633" width="14" style="3237" customWidth="1"/>
    <col min="5634" max="5634" width="14.6328125" style="3237" customWidth="1"/>
    <col min="5635" max="5635" width="13.1796875" style="3237" customWidth="1"/>
    <col min="5636" max="5636" width="11.1796875" style="3237" customWidth="1"/>
    <col min="5637" max="5637" width="13.453125" style="3237" customWidth="1"/>
    <col min="5638" max="5638" width="0" style="3237" hidden="1" customWidth="1"/>
    <col min="5639" max="5639" width="18.36328125" style="3237" customWidth="1"/>
    <col min="5640" max="5640" width="8.1796875" style="3237" customWidth="1"/>
    <col min="5641" max="5888" width="8.81640625" style="3237"/>
    <col min="5889" max="5889" width="14" style="3237" customWidth="1"/>
    <col min="5890" max="5890" width="14.6328125" style="3237" customWidth="1"/>
    <col min="5891" max="5891" width="13.1796875" style="3237" customWidth="1"/>
    <col min="5892" max="5892" width="11.1796875" style="3237" customWidth="1"/>
    <col min="5893" max="5893" width="13.453125" style="3237" customWidth="1"/>
    <col min="5894" max="5894" width="0" style="3237" hidden="1" customWidth="1"/>
    <col min="5895" max="5895" width="18.36328125" style="3237" customWidth="1"/>
    <col min="5896" max="5896" width="8.1796875" style="3237" customWidth="1"/>
    <col min="5897" max="6144" width="8.81640625" style="3237"/>
    <col min="6145" max="6145" width="14" style="3237" customWidth="1"/>
    <col min="6146" max="6146" width="14.6328125" style="3237" customWidth="1"/>
    <col min="6147" max="6147" width="13.1796875" style="3237" customWidth="1"/>
    <col min="6148" max="6148" width="11.1796875" style="3237" customWidth="1"/>
    <col min="6149" max="6149" width="13.453125" style="3237" customWidth="1"/>
    <col min="6150" max="6150" width="0" style="3237" hidden="1" customWidth="1"/>
    <col min="6151" max="6151" width="18.36328125" style="3237" customWidth="1"/>
    <col min="6152" max="6152" width="8.1796875" style="3237" customWidth="1"/>
    <col min="6153" max="6400" width="8.81640625" style="3237"/>
    <col min="6401" max="6401" width="14" style="3237" customWidth="1"/>
    <col min="6402" max="6402" width="14.6328125" style="3237" customWidth="1"/>
    <col min="6403" max="6403" width="13.1796875" style="3237" customWidth="1"/>
    <col min="6404" max="6404" width="11.1796875" style="3237" customWidth="1"/>
    <col min="6405" max="6405" width="13.453125" style="3237" customWidth="1"/>
    <col min="6406" max="6406" width="0" style="3237" hidden="1" customWidth="1"/>
    <col min="6407" max="6407" width="18.36328125" style="3237" customWidth="1"/>
    <col min="6408" max="6408" width="8.1796875" style="3237" customWidth="1"/>
    <col min="6409" max="6656" width="8.81640625" style="3237"/>
    <col min="6657" max="6657" width="14" style="3237" customWidth="1"/>
    <col min="6658" max="6658" width="14.6328125" style="3237" customWidth="1"/>
    <col min="6659" max="6659" width="13.1796875" style="3237" customWidth="1"/>
    <col min="6660" max="6660" width="11.1796875" style="3237" customWidth="1"/>
    <col min="6661" max="6661" width="13.453125" style="3237" customWidth="1"/>
    <col min="6662" max="6662" width="0" style="3237" hidden="1" customWidth="1"/>
    <col min="6663" max="6663" width="18.36328125" style="3237" customWidth="1"/>
    <col min="6664" max="6664" width="8.1796875" style="3237" customWidth="1"/>
    <col min="6665" max="6912" width="8.81640625" style="3237"/>
    <col min="6913" max="6913" width="14" style="3237" customWidth="1"/>
    <col min="6914" max="6914" width="14.6328125" style="3237" customWidth="1"/>
    <col min="6915" max="6915" width="13.1796875" style="3237" customWidth="1"/>
    <col min="6916" max="6916" width="11.1796875" style="3237" customWidth="1"/>
    <col min="6917" max="6917" width="13.453125" style="3237" customWidth="1"/>
    <col min="6918" max="6918" width="0" style="3237" hidden="1" customWidth="1"/>
    <col min="6919" max="6919" width="18.36328125" style="3237" customWidth="1"/>
    <col min="6920" max="6920" width="8.1796875" style="3237" customWidth="1"/>
    <col min="6921" max="7168" width="8.81640625" style="3237"/>
    <col min="7169" max="7169" width="14" style="3237" customWidth="1"/>
    <col min="7170" max="7170" width="14.6328125" style="3237" customWidth="1"/>
    <col min="7171" max="7171" width="13.1796875" style="3237" customWidth="1"/>
    <col min="7172" max="7172" width="11.1796875" style="3237" customWidth="1"/>
    <col min="7173" max="7173" width="13.453125" style="3237" customWidth="1"/>
    <col min="7174" max="7174" width="0" style="3237" hidden="1" customWidth="1"/>
    <col min="7175" max="7175" width="18.36328125" style="3237" customWidth="1"/>
    <col min="7176" max="7176" width="8.1796875" style="3237" customWidth="1"/>
    <col min="7177" max="7424" width="8.81640625" style="3237"/>
    <col min="7425" max="7425" width="14" style="3237" customWidth="1"/>
    <col min="7426" max="7426" width="14.6328125" style="3237" customWidth="1"/>
    <col min="7427" max="7427" width="13.1796875" style="3237" customWidth="1"/>
    <col min="7428" max="7428" width="11.1796875" style="3237" customWidth="1"/>
    <col min="7429" max="7429" width="13.453125" style="3237" customWidth="1"/>
    <col min="7430" max="7430" width="0" style="3237" hidden="1" customWidth="1"/>
    <col min="7431" max="7431" width="18.36328125" style="3237" customWidth="1"/>
    <col min="7432" max="7432" width="8.1796875" style="3237" customWidth="1"/>
    <col min="7433" max="7680" width="8.81640625" style="3237"/>
    <col min="7681" max="7681" width="14" style="3237" customWidth="1"/>
    <col min="7682" max="7682" width="14.6328125" style="3237" customWidth="1"/>
    <col min="7683" max="7683" width="13.1796875" style="3237" customWidth="1"/>
    <col min="7684" max="7684" width="11.1796875" style="3237" customWidth="1"/>
    <col min="7685" max="7685" width="13.453125" style="3237" customWidth="1"/>
    <col min="7686" max="7686" width="0" style="3237" hidden="1" customWidth="1"/>
    <col min="7687" max="7687" width="18.36328125" style="3237" customWidth="1"/>
    <col min="7688" max="7688" width="8.1796875" style="3237" customWidth="1"/>
    <col min="7689" max="7936" width="8.81640625" style="3237"/>
    <col min="7937" max="7937" width="14" style="3237" customWidth="1"/>
    <col min="7938" max="7938" width="14.6328125" style="3237" customWidth="1"/>
    <col min="7939" max="7939" width="13.1796875" style="3237" customWidth="1"/>
    <col min="7940" max="7940" width="11.1796875" style="3237" customWidth="1"/>
    <col min="7941" max="7941" width="13.453125" style="3237" customWidth="1"/>
    <col min="7942" max="7942" width="0" style="3237" hidden="1" customWidth="1"/>
    <col min="7943" max="7943" width="18.36328125" style="3237" customWidth="1"/>
    <col min="7944" max="7944" width="8.1796875" style="3237" customWidth="1"/>
    <col min="7945" max="8192" width="8.81640625" style="3237"/>
    <col min="8193" max="8193" width="14" style="3237" customWidth="1"/>
    <col min="8194" max="8194" width="14.6328125" style="3237" customWidth="1"/>
    <col min="8195" max="8195" width="13.1796875" style="3237" customWidth="1"/>
    <col min="8196" max="8196" width="11.1796875" style="3237" customWidth="1"/>
    <col min="8197" max="8197" width="13.453125" style="3237" customWidth="1"/>
    <col min="8198" max="8198" width="0" style="3237" hidden="1" customWidth="1"/>
    <col min="8199" max="8199" width="18.36328125" style="3237" customWidth="1"/>
    <col min="8200" max="8200" width="8.1796875" style="3237" customWidth="1"/>
    <col min="8201" max="8448" width="8.81640625" style="3237"/>
    <col min="8449" max="8449" width="14" style="3237" customWidth="1"/>
    <col min="8450" max="8450" width="14.6328125" style="3237" customWidth="1"/>
    <col min="8451" max="8451" width="13.1796875" style="3237" customWidth="1"/>
    <col min="8452" max="8452" width="11.1796875" style="3237" customWidth="1"/>
    <col min="8453" max="8453" width="13.453125" style="3237" customWidth="1"/>
    <col min="8454" max="8454" width="0" style="3237" hidden="1" customWidth="1"/>
    <col min="8455" max="8455" width="18.36328125" style="3237" customWidth="1"/>
    <col min="8456" max="8456" width="8.1796875" style="3237" customWidth="1"/>
    <col min="8457" max="8704" width="8.81640625" style="3237"/>
    <col min="8705" max="8705" width="14" style="3237" customWidth="1"/>
    <col min="8706" max="8706" width="14.6328125" style="3237" customWidth="1"/>
    <col min="8707" max="8707" width="13.1796875" style="3237" customWidth="1"/>
    <col min="8708" max="8708" width="11.1796875" style="3237" customWidth="1"/>
    <col min="8709" max="8709" width="13.453125" style="3237" customWidth="1"/>
    <col min="8710" max="8710" width="0" style="3237" hidden="1" customWidth="1"/>
    <col min="8711" max="8711" width="18.36328125" style="3237" customWidth="1"/>
    <col min="8712" max="8712" width="8.1796875" style="3237" customWidth="1"/>
    <col min="8713" max="8960" width="8.81640625" style="3237"/>
    <col min="8961" max="8961" width="14" style="3237" customWidth="1"/>
    <col min="8962" max="8962" width="14.6328125" style="3237" customWidth="1"/>
    <col min="8963" max="8963" width="13.1796875" style="3237" customWidth="1"/>
    <col min="8964" max="8964" width="11.1796875" style="3237" customWidth="1"/>
    <col min="8965" max="8965" width="13.453125" style="3237" customWidth="1"/>
    <col min="8966" max="8966" width="0" style="3237" hidden="1" customWidth="1"/>
    <col min="8967" max="8967" width="18.36328125" style="3237" customWidth="1"/>
    <col min="8968" max="8968" width="8.1796875" style="3237" customWidth="1"/>
    <col min="8969" max="9216" width="8.81640625" style="3237"/>
    <col min="9217" max="9217" width="14" style="3237" customWidth="1"/>
    <col min="9218" max="9218" width="14.6328125" style="3237" customWidth="1"/>
    <col min="9219" max="9219" width="13.1796875" style="3237" customWidth="1"/>
    <col min="9220" max="9220" width="11.1796875" style="3237" customWidth="1"/>
    <col min="9221" max="9221" width="13.453125" style="3237" customWidth="1"/>
    <col min="9222" max="9222" width="0" style="3237" hidden="1" customWidth="1"/>
    <col min="9223" max="9223" width="18.36328125" style="3237" customWidth="1"/>
    <col min="9224" max="9224" width="8.1796875" style="3237" customWidth="1"/>
    <col min="9225" max="9472" width="8.81640625" style="3237"/>
    <col min="9473" max="9473" width="14" style="3237" customWidth="1"/>
    <col min="9474" max="9474" width="14.6328125" style="3237" customWidth="1"/>
    <col min="9475" max="9475" width="13.1796875" style="3237" customWidth="1"/>
    <col min="9476" max="9476" width="11.1796875" style="3237" customWidth="1"/>
    <col min="9477" max="9477" width="13.453125" style="3237" customWidth="1"/>
    <col min="9478" max="9478" width="0" style="3237" hidden="1" customWidth="1"/>
    <col min="9479" max="9479" width="18.36328125" style="3237" customWidth="1"/>
    <col min="9480" max="9480" width="8.1796875" style="3237" customWidth="1"/>
    <col min="9481" max="9728" width="8.81640625" style="3237"/>
    <col min="9729" max="9729" width="14" style="3237" customWidth="1"/>
    <col min="9730" max="9730" width="14.6328125" style="3237" customWidth="1"/>
    <col min="9731" max="9731" width="13.1796875" style="3237" customWidth="1"/>
    <col min="9732" max="9732" width="11.1796875" style="3237" customWidth="1"/>
    <col min="9733" max="9733" width="13.453125" style="3237" customWidth="1"/>
    <col min="9734" max="9734" width="0" style="3237" hidden="1" customWidth="1"/>
    <col min="9735" max="9735" width="18.36328125" style="3237" customWidth="1"/>
    <col min="9736" max="9736" width="8.1796875" style="3237" customWidth="1"/>
    <col min="9737" max="9984" width="8.81640625" style="3237"/>
    <col min="9985" max="9985" width="14" style="3237" customWidth="1"/>
    <col min="9986" max="9986" width="14.6328125" style="3237" customWidth="1"/>
    <col min="9987" max="9987" width="13.1796875" style="3237" customWidth="1"/>
    <col min="9988" max="9988" width="11.1796875" style="3237" customWidth="1"/>
    <col min="9989" max="9989" width="13.453125" style="3237" customWidth="1"/>
    <col min="9990" max="9990" width="0" style="3237" hidden="1" customWidth="1"/>
    <col min="9991" max="9991" width="18.36328125" style="3237" customWidth="1"/>
    <col min="9992" max="9992" width="8.1796875" style="3237" customWidth="1"/>
    <col min="9993" max="10240" width="8.81640625" style="3237"/>
    <col min="10241" max="10241" width="14" style="3237" customWidth="1"/>
    <col min="10242" max="10242" width="14.6328125" style="3237" customWidth="1"/>
    <col min="10243" max="10243" width="13.1796875" style="3237" customWidth="1"/>
    <col min="10244" max="10244" width="11.1796875" style="3237" customWidth="1"/>
    <col min="10245" max="10245" width="13.453125" style="3237" customWidth="1"/>
    <col min="10246" max="10246" width="0" style="3237" hidden="1" customWidth="1"/>
    <col min="10247" max="10247" width="18.36328125" style="3237" customWidth="1"/>
    <col min="10248" max="10248" width="8.1796875" style="3237" customWidth="1"/>
    <col min="10249" max="10496" width="8.81640625" style="3237"/>
    <col min="10497" max="10497" width="14" style="3237" customWidth="1"/>
    <col min="10498" max="10498" width="14.6328125" style="3237" customWidth="1"/>
    <col min="10499" max="10499" width="13.1796875" style="3237" customWidth="1"/>
    <col min="10500" max="10500" width="11.1796875" style="3237" customWidth="1"/>
    <col min="10501" max="10501" width="13.453125" style="3237" customWidth="1"/>
    <col min="10502" max="10502" width="0" style="3237" hidden="1" customWidth="1"/>
    <col min="10503" max="10503" width="18.36328125" style="3237" customWidth="1"/>
    <col min="10504" max="10504" width="8.1796875" style="3237" customWidth="1"/>
    <col min="10505" max="10752" width="8.81640625" style="3237"/>
    <col min="10753" max="10753" width="14" style="3237" customWidth="1"/>
    <col min="10754" max="10754" width="14.6328125" style="3237" customWidth="1"/>
    <col min="10755" max="10755" width="13.1796875" style="3237" customWidth="1"/>
    <col min="10756" max="10756" width="11.1796875" style="3237" customWidth="1"/>
    <col min="10757" max="10757" width="13.453125" style="3237" customWidth="1"/>
    <col min="10758" max="10758" width="0" style="3237" hidden="1" customWidth="1"/>
    <col min="10759" max="10759" width="18.36328125" style="3237" customWidth="1"/>
    <col min="10760" max="10760" width="8.1796875" style="3237" customWidth="1"/>
    <col min="10761" max="11008" width="8.81640625" style="3237"/>
    <col min="11009" max="11009" width="14" style="3237" customWidth="1"/>
    <col min="11010" max="11010" width="14.6328125" style="3237" customWidth="1"/>
    <col min="11011" max="11011" width="13.1796875" style="3237" customWidth="1"/>
    <col min="11012" max="11012" width="11.1796875" style="3237" customWidth="1"/>
    <col min="11013" max="11013" width="13.453125" style="3237" customWidth="1"/>
    <col min="11014" max="11014" width="0" style="3237" hidden="1" customWidth="1"/>
    <col min="11015" max="11015" width="18.36328125" style="3237" customWidth="1"/>
    <col min="11016" max="11016" width="8.1796875" style="3237" customWidth="1"/>
    <col min="11017" max="11264" width="8.81640625" style="3237"/>
    <col min="11265" max="11265" width="14" style="3237" customWidth="1"/>
    <col min="11266" max="11266" width="14.6328125" style="3237" customWidth="1"/>
    <col min="11267" max="11267" width="13.1796875" style="3237" customWidth="1"/>
    <col min="11268" max="11268" width="11.1796875" style="3237" customWidth="1"/>
    <col min="11269" max="11269" width="13.453125" style="3237" customWidth="1"/>
    <col min="11270" max="11270" width="0" style="3237" hidden="1" customWidth="1"/>
    <col min="11271" max="11271" width="18.36328125" style="3237" customWidth="1"/>
    <col min="11272" max="11272" width="8.1796875" style="3237" customWidth="1"/>
    <col min="11273" max="11520" width="8.81640625" style="3237"/>
    <col min="11521" max="11521" width="14" style="3237" customWidth="1"/>
    <col min="11522" max="11522" width="14.6328125" style="3237" customWidth="1"/>
    <col min="11523" max="11523" width="13.1796875" style="3237" customWidth="1"/>
    <col min="11524" max="11524" width="11.1796875" style="3237" customWidth="1"/>
    <col min="11525" max="11525" width="13.453125" style="3237" customWidth="1"/>
    <col min="11526" max="11526" width="0" style="3237" hidden="1" customWidth="1"/>
    <col min="11527" max="11527" width="18.36328125" style="3237" customWidth="1"/>
    <col min="11528" max="11528" width="8.1796875" style="3237" customWidth="1"/>
    <col min="11529" max="11776" width="8.81640625" style="3237"/>
    <col min="11777" max="11777" width="14" style="3237" customWidth="1"/>
    <col min="11778" max="11778" width="14.6328125" style="3237" customWidth="1"/>
    <col min="11779" max="11779" width="13.1796875" style="3237" customWidth="1"/>
    <col min="11780" max="11780" width="11.1796875" style="3237" customWidth="1"/>
    <col min="11781" max="11781" width="13.453125" style="3237" customWidth="1"/>
    <col min="11782" max="11782" width="0" style="3237" hidden="1" customWidth="1"/>
    <col min="11783" max="11783" width="18.36328125" style="3237" customWidth="1"/>
    <col min="11784" max="11784" width="8.1796875" style="3237" customWidth="1"/>
    <col min="11785" max="12032" width="8.81640625" style="3237"/>
    <col min="12033" max="12033" width="14" style="3237" customWidth="1"/>
    <col min="12034" max="12034" width="14.6328125" style="3237" customWidth="1"/>
    <col min="12035" max="12035" width="13.1796875" style="3237" customWidth="1"/>
    <col min="12036" max="12036" width="11.1796875" style="3237" customWidth="1"/>
    <col min="12037" max="12037" width="13.453125" style="3237" customWidth="1"/>
    <col min="12038" max="12038" width="0" style="3237" hidden="1" customWidth="1"/>
    <col min="12039" max="12039" width="18.36328125" style="3237" customWidth="1"/>
    <col min="12040" max="12040" width="8.1796875" style="3237" customWidth="1"/>
    <col min="12041" max="12288" width="8.81640625" style="3237"/>
    <col min="12289" max="12289" width="14" style="3237" customWidth="1"/>
    <col min="12290" max="12290" width="14.6328125" style="3237" customWidth="1"/>
    <col min="12291" max="12291" width="13.1796875" style="3237" customWidth="1"/>
    <col min="12292" max="12292" width="11.1796875" style="3237" customWidth="1"/>
    <col min="12293" max="12293" width="13.453125" style="3237" customWidth="1"/>
    <col min="12294" max="12294" width="0" style="3237" hidden="1" customWidth="1"/>
    <col min="12295" max="12295" width="18.36328125" style="3237" customWidth="1"/>
    <col min="12296" max="12296" width="8.1796875" style="3237" customWidth="1"/>
    <col min="12297" max="12544" width="8.81640625" style="3237"/>
    <col min="12545" max="12545" width="14" style="3237" customWidth="1"/>
    <col min="12546" max="12546" width="14.6328125" style="3237" customWidth="1"/>
    <col min="12547" max="12547" width="13.1796875" style="3237" customWidth="1"/>
    <col min="12548" max="12548" width="11.1796875" style="3237" customWidth="1"/>
    <col min="12549" max="12549" width="13.453125" style="3237" customWidth="1"/>
    <col min="12550" max="12550" width="0" style="3237" hidden="1" customWidth="1"/>
    <col min="12551" max="12551" width="18.36328125" style="3237" customWidth="1"/>
    <col min="12552" max="12552" width="8.1796875" style="3237" customWidth="1"/>
    <col min="12553" max="12800" width="8.81640625" style="3237"/>
    <col min="12801" max="12801" width="14" style="3237" customWidth="1"/>
    <col min="12802" max="12802" width="14.6328125" style="3237" customWidth="1"/>
    <col min="12803" max="12803" width="13.1796875" style="3237" customWidth="1"/>
    <col min="12804" max="12804" width="11.1796875" style="3237" customWidth="1"/>
    <col min="12805" max="12805" width="13.453125" style="3237" customWidth="1"/>
    <col min="12806" max="12806" width="0" style="3237" hidden="1" customWidth="1"/>
    <col min="12807" max="12807" width="18.36328125" style="3237" customWidth="1"/>
    <col min="12808" max="12808" width="8.1796875" style="3237" customWidth="1"/>
    <col min="12809" max="13056" width="8.81640625" style="3237"/>
    <col min="13057" max="13057" width="14" style="3237" customWidth="1"/>
    <col min="13058" max="13058" width="14.6328125" style="3237" customWidth="1"/>
    <col min="13059" max="13059" width="13.1796875" style="3237" customWidth="1"/>
    <col min="13060" max="13060" width="11.1796875" style="3237" customWidth="1"/>
    <col min="13061" max="13061" width="13.453125" style="3237" customWidth="1"/>
    <col min="13062" max="13062" width="0" style="3237" hidden="1" customWidth="1"/>
    <col min="13063" max="13063" width="18.36328125" style="3237" customWidth="1"/>
    <col min="13064" max="13064" width="8.1796875" style="3237" customWidth="1"/>
    <col min="13065" max="13312" width="8.81640625" style="3237"/>
    <col min="13313" max="13313" width="14" style="3237" customWidth="1"/>
    <col min="13314" max="13314" width="14.6328125" style="3237" customWidth="1"/>
    <col min="13315" max="13315" width="13.1796875" style="3237" customWidth="1"/>
    <col min="13316" max="13316" width="11.1796875" style="3237" customWidth="1"/>
    <col min="13317" max="13317" width="13.453125" style="3237" customWidth="1"/>
    <col min="13318" max="13318" width="0" style="3237" hidden="1" customWidth="1"/>
    <col min="13319" max="13319" width="18.36328125" style="3237" customWidth="1"/>
    <col min="13320" max="13320" width="8.1796875" style="3237" customWidth="1"/>
    <col min="13321" max="13568" width="8.81640625" style="3237"/>
    <col min="13569" max="13569" width="14" style="3237" customWidth="1"/>
    <col min="13570" max="13570" width="14.6328125" style="3237" customWidth="1"/>
    <col min="13571" max="13571" width="13.1796875" style="3237" customWidth="1"/>
    <col min="13572" max="13572" width="11.1796875" style="3237" customWidth="1"/>
    <col min="13573" max="13573" width="13.453125" style="3237" customWidth="1"/>
    <col min="13574" max="13574" width="0" style="3237" hidden="1" customWidth="1"/>
    <col min="13575" max="13575" width="18.36328125" style="3237" customWidth="1"/>
    <col min="13576" max="13576" width="8.1796875" style="3237" customWidth="1"/>
    <col min="13577" max="13824" width="8.81640625" style="3237"/>
    <col min="13825" max="13825" width="14" style="3237" customWidth="1"/>
    <col min="13826" max="13826" width="14.6328125" style="3237" customWidth="1"/>
    <col min="13827" max="13827" width="13.1796875" style="3237" customWidth="1"/>
    <col min="13828" max="13828" width="11.1796875" style="3237" customWidth="1"/>
    <col min="13829" max="13829" width="13.453125" style="3237" customWidth="1"/>
    <col min="13830" max="13830" width="0" style="3237" hidden="1" customWidth="1"/>
    <col min="13831" max="13831" width="18.36328125" style="3237" customWidth="1"/>
    <col min="13832" max="13832" width="8.1796875" style="3237" customWidth="1"/>
    <col min="13833" max="14080" width="8.81640625" style="3237"/>
    <col min="14081" max="14081" width="14" style="3237" customWidth="1"/>
    <col min="14082" max="14082" width="14.6328125" style="3237" customWidth="1"/>
    <col min="14083" max="14083" width="13.1796875" style="3237" customWidth="1"/>
    <col min="14084" max="14084" width="11.1796875" style="3237" customWidth="1"/>
    <col min="14085" max="14085" width="13.453125" style="3237" customWidth="1"/>
    <col min="14086" max="14086" width="0" style="3237" hidden="1" customWidth="1"/>
    <col min="14087" max="14087" width="18.36328125" style="3237" customWidth="1"/>
    <col min="14088" max="14088" width="8.1796875" style="3237" customWidth="1"/>
    <col min="14089" max="14336" width="8.81640625" style="3237"/>
    <col min="14337" max="14337" width="14" style="3237" customWidth="1"/>
    <col min="14338" max="14338" width="14.6328125" style="3237" customWidth="1"/>
    <col min="14339" max="14339" width="13.1796875" style="3237" customWidth="1"/>
    <col min="14340" max="14340" width="11.1796875" style="3237" customWidth="1"/>
    <col min="14341" max="14341" width="13.453125" style="3237" customWidth="1"/>
    <col min="14342" max="14342" width="0" style="3237" hidden="1" customWidth="1"/>
    <col min="14343" max="14343" width="18.36328125" style="3237" customWidth="1"/>
    <col min="14344" max="14344" width="8.1796875" style="3237" customWidth="1"/>
    <col min="14345" max="14592" width="8.81640625" style="3237"/>
    <col min="14593" max="14593" width="14" style="3237" customWidth="1"/>
    <col min="14594" max="14594" width="14.6328125" style="3237" customWidth="1"/>
    <col min="14595" max="14595" width="13.1796875" style="3237" customWidth="1"/>
    <col min="14596" max="14596" width="11.1796875" style="3237" customWidth="1"/>
    <col min="14597" max="14597" width="13.453125" style="3237" customWidth="1"/>
    <col min="14598" max="14598" width="0" style="3237" hidden="1" customWidth="1"/>
    <col min="14599" max="14599" width="18.36328125" style="3237" customWidth="1"/>
    <col min="14600" max="14600" width="8.1796875" style="3237" customWidth="1"/>
    <col min="14601" max="14848" width="8.81640625" style="3237"/>
    <col min="14849" max="14849" width="14" style="3237" customWidth="1"/>
    <col min="14850" max="14850" width="14.6328125" style="3237" customWidth="1"/>
    <col min="14851" max="14851" width="13.1796875" style="3237" customWidth="1"/>
    <col min="14852" max="14852" width="11.1796875" style="3237" customWidth="1"/>
    <col min="14853" max="14853" width="13.453125" style="3237" customWidth="1"/>
    <col min="14854" max="14854" width="0" style="3237" hidden="1" customWidth="1"/>
    <col min="14855" max="14855" width="18.36328125" style="3237" customWidth="1"/>
    <col min="14856" max="14856" width="8.1796875" style="3237" customWidth="1"/>
    <col min="14857" max="15104" width="8.81640625" style="3237"/>
    <col min="15105" max="15105" width="14" style="3237" customWidth="1"/>
    <col min="15106" max="15106" width="14.6328125" style="3237" customWidth="1"/>
    <col min="15107" max="15107" width="13.1796875" style="3237" customWidth="1"/>
    <col min="15108" max="15108" width="11.1796875" style="3237" customWidth="1"/>
    <col min="15109" max="15109" width="13.453125" style="3237" customWidth="1"/>
    <col min="15110" max="15110" width="0" style="3237" hidden="1" customWidth="1"/>
    <col min="15111" max="15111" width="18.36328125" style="3237" customWidth="1"/>
    <col min="15112" max="15112" width="8.1796875" style="3237" customWidth="1"/>
    <col min="15113" max="15360" width="8.81640625" style="3237"/>
    <col min="15361" max="15361" width="14" style="3237" customWidth="1"/>
    <col min="15362" max="15362" width="14.6328125" style="3237" customWidth="1"/>
    <col min="15363" max="15363" width="13.1796875" style="3237" customWidth="1"/>
    <col min="15364" max="15364" width="11.1796875" style="3237" customWidth="1"/>
    <col min="15365" max="15365" width="13.453125" style="3237" customWidth="1"/>
    <col min="15366" max="15366" width="0" style="3237" hidden="1" customWidth="1"/>
    <col min="15367" max="15367" width="18.36328125" style="3237" customWidth="1"/>
    <col min="15368" max="15368" width="8.1796875" style="3237" customWidth="1"/>
    <col min="15369" max="15616" width="8.81640625" style="3237"/>
    <col min="15617" max="15617" width="14" style="3237" customWidth="1"/>
    <col min="15618" max="15618" width="14.6328125" style="3237" customWidth="1"/>
    <col min="15619" max="15619" width="13.1796875" style="3237" customWidth="1"/>
    <col min="15620" max="15620" width="11.1796875" style="3237" customWidth="1"/>
    <col min="15621" max="15621" width="13.453125" style="3237" customWidth="1"/>
    <col min="15622" max="15622" width="0" style="3237" hidden="1" customWidth="1"/>
    <col min="15623" max="15623" width="18.36328125" style="3237" customWidth="1"/>
    <col min="15624" max="15624" width="8.1796875" style="3237" customWidth="1"/>
    <col min="15625" max="15872" width="8.81640625" style="3237"/>
    <col min="15873" max="15873" width="14" style="3237" customWidth="1"/>
    <col min="15874" max="15874" width="14.6328125" style="3237" customWidth="1"/>
    <col min="15875" max="15875" width="13.1796875" style="3237" customWidth="1"/>
    <col min="15876" max="15876" width="11.1796875" style="3237" customWidth="1"/>
    <col min="15877" max="15877" width="13.453125" style="3237" customWidth="1"/>
    <col min="15878" max="15878" width="0" style="3237" hidden="1" customWidth="1"/>
    <col min="15879" max="15879" width="18.36328125" style="3237" customWidth="1"/>
    <col min="15880" max="15880" width="8.1796875" style="3237" customWidth="1"/>
    <col min="15881" max="16128" width="8.81640625" style="3237"/>
    <col min="16129" max="16129" width="14" style="3237" customWidth="1"/>
    <col min="16130" max="16130" width="14.6328125" style="3237" customWidth="1"/>
    <col min="16131" max="16131" width="13.1796875" style="3237" customWidth="1"/>
    <col min="16132" max="16132" width="11.1796875" style="3237" customWidth="1"/>
    <col min="16133" max="16133" width="13.453125" style="3237" customWidth="1"/>
    <col min="16134" max="16134" width="0" style="3237" hidden="1" customWidth="1"/>
    <col min="16135" max="16135" width="18.36328125" style="3237" customWidth="1"/>
    <col min="16136" max="16136" width="8.1796875" style="3237" customWidth="1"/>
    <col min="16137" max="16384" width="8.81640625" style="3237"/>
  </cols>
  <sheetData>
    <row r="1" spans="1:8" ht="18" customHeight="1">
      <c r="A1" s="3407" t="s">
        <v>3176</v>
      </c>
      <c r="B1" s="3407"/>
      <c r="C1" s="3407"/>
      <c r="D1" s="3407"/>
      <c r="E1" s="3407"/>
      <c r="F1" s="3407"/>
      <c r="G1" s="3407"/>
    </row>
    <row r="2" spans="1:8" ht="18" customHeight="1">
      <c r="A2" s="3408" t="s">
        <v>3177</v>
      </c>
      <c r="B2" s="3408"/>
      <c r="C2" s="3408"/>
      <c r="D2" s="3408"/>
      <c r="E2" s="3408"/>
      <c r="F2" s="3408"/>
      <c r="G2" s="3408"/>
    </row>
    <row r="3" spans="1:8" ht="18" customHeight="1">
      <c r="A3" s="3409" t="s">
        <v>3178</v>
      </c>
      <c r="B3" s="3410" t="s">
        <v>2829</v>
      </c>
      <c r="C3" s="3410" t="s">
        <v>3179</v>
      </c>
      <c r="D3" s="3410"/>
      <c r="E3" s="3410"/>
      <c r="F3" s="3238"/>
      <c r="G3" s="3239" t="s">
        <v>3180</v>
      </c>
    </row>
    <row r="4" spans="1:8" ht="18" customHeight="1">
      <c r="A4" s="3409"/>
      <c r="B4" s="3410"/>
      <c r="C4" s="3411" t="s">
        <v>3181</v>
      </c>
      <c r="D4" s="3411" t="s">
        <v>3182</v>
      </c>
      <c r="E4" s="3412" t="s">
        <v>3183</v>
      </c>
      <c r="F4" s="3240"/>
      <c r="G4" s="3239">
        <v>2.846603</v>
      </c>
    </row>
    <row r="5" spans="1:8" ht="18" customHeight="1">
      <c r="A5" s="3409"/>
      <c r="B5" s="3410"/>
      <c r="C5" s="3411"/>
      <c r="D5" s="3411"/>
      <c r="E5" s="3412"/>
      <c r="F5" s="3240"/>
      <c r="G5" s="3239" t="s">
        <v>3184</v>
      </c>
      <c r="H5" s="3241"/>
    </row>
    <row r="6" spans="1:8" ht="18" customHeight="1">
      <c r="A6" s="3242" t="s">
        <v>3185</v>
      </c>
      <c r="B6" s="3243"/>
      <c r="C6" s="3244"/>
      <c r="D6" s="3244"/>
      <c r="E6" s="3243"/>
      <c r="F6" s="3243"/>
      <c r="G6" s="3245"/>
      <c r="H6" s="3246"/>
    </row>
    <row r="7" spans="1:8" ht="18" customHeight="1">
      <c r="A7" s="3242" t="s">
        <v>3186</v>
      </c>
      <c r="B7" s="3247">
        <v>44.99</v>
      </c>
      <c r="C7" s="3248">
        <v>44.99</v>
      </c>
      <c r="D7" s="3244"/>
      <c r="E7" s="3243"/>
      <c r="F7" s="3243"/>
      <c r="G7" s="3245"/>
      <c r="H7" s="3246"/>
    </row>
    <row r="8" spans="1:8" ht="18" customHeight="1">
      <c r="A8" s="3242" t="s">
        <v>3187</v>
      </c>
      <c r="B8" s="3247">
        <v>31.27</v>
      </c>
      <c r="C8" s="3248">
        <v>31.27</v>
      </c>
      <c r="D8" s="3244"/>
      <c r="E8" s="3243"/>
      <c r="F8" s="3243"/>
      <c r="G8" s="3245"/>
      <c r="H8" s="3246"/>
    </row>
    <row r="9" spans="1:8" ht="18" customHeight="1">
      <c r="A9" s="3242" t="s">
        <v>3188</v>
      </c>
      <c r="B9" s="3247">
        <v>27.09</v>
      </c>
      <c r="C9" s="3248">
        <v>27.09</v>
      </c>
      <c r="D9" s="3244"/>
      <c r="E9" s="3243"/>
      <c r="F9" s="3243"/>
      <c r="G9" s="3245"/>
      <c r="H9" s="3246"/>
    </row>
    <row r="10" spans="1:8" ht="18" customHeight="1">
      <c r="A10" s="3242" t="s">
        <v>3189</v>
      </c>
      <c r="B10" s="3247">
        <v>46.73</v>
      </c>
      <c r="C10" s="3248">
        <v>46.73</v>
      </c>
      <c r="D10" s="3244"/>
      <c r="E10" s="3243"/>
      <c r="F10" s="3243"/>
      <c r="G10" s="3245"/>
      <c r="H10" s="3246"/>
    </row>
    <row r="11" spans="1:8" ht="18" customHeight="1">
      <c r="A11" s="3242" t="s">
        <v>3190</v>
      </c>
      <c r="B11" s="3247">
        <v>19.29</v>
      </c>
      <c r="C11" s="3248">
        <v>19.29</v>
      </c>
      <c r="D11" s="3244"/>
      <c r="E11" s="3243"/>
      <c r="F11" s="3243"/>
      <c r="G11" s="3245"/>
      <c r="H11" s="3246"/>
    </row>
    <row r="12" spans="1:8" ht="18" customHeight="1">
      <c r="A12" s="3242" t="s">
        <v>3191</v>
      </c>
      <c r="B12" s="3247">
        <v>46.63</v>
      </c>
      <c r="C12" s="3248">
        <v>46.63</v>
      </c>
      <c r="D12" s="3238"/>
      <c r="E12" s="3243"/>
      <c r="F12" s="3243"/>
      <c r="G12" s="3245"/>
      <c r="H12" s="3246"/>
    </row>
    <row r="13" spans="1:8" ht="18" customHeight="1">
      <c r="A13" s="3242" t="s">
        <v>3192</v>
      </c>
      <c r="B13" s="3247">
        <v>40.65</v>
      </c>
      <c r="C13" s="3248">
        <v>40.65</v>
      </c>
      <c r="D13" s="3244"/>
      <c r="E13" s="3243"/>
      <c r="F13" s="3243"/>
      <c r="G13" s="3245"/>
      <c r="H13" s="3246"/>
    </row>
    <row r="14" spans="1:8" ht="18" customHeight="1">
      <c r="A14" s="3242" t="s">
        <v>3193</v>
      </c>
      <c r="B14" s="3247">
        <v>37.54</v>
      </c>
      <c r="C14" s="3248">
        <v>37.54</v>
      </c>
      <c r="D14" s="3244"/>
      <c r="E14" s="3243"/>
      <c r="F14" s="3243"/>
      <c r="G14" s="3245"/>
      <c r="H14" s="3246"/>
    </row>
    <row r="15" spans="1:8" ht="18" customHeight="1">
      <c r="A15" s="3242" t="s">
        <v>3194</v>
      </c>
      <c r="B15" s="3247">
        <v>40.18</v>
      </c>
      <c r="C15" s="3248">
        <v>40.18</v>
      </c>
      <c r="D15" s="3244"/>
      <c r="E15" s="3243"/>
      <c r="F15" s="3243"/>
      <c r="G15" s="3245"/>
      <c r="H15" s="3246"/>
    </row>
    <row r="16" spans="1:8" ht="18" customHeight="1">
      <c r="A16" s="3242" t="s">
        <v>3195</v>
      </c>
      <c r="B16" s="3247">
        <v>28.89</v>
      </c>
      <c r="C16" s="3248">
        <v>28.89</v>
      </c>
      <c r="D16" s="3244"/>
      <c r="E16" s="3243"/>
      <c r="F16" s="3243"/>
      <c r="G16" s="3245"/>
      <c r="H16" s="3246"/>
    </row>
    <row r="17" spans="1:8" ht="18" customHeight="1">
      <c r="A17" s="3242" t="s">
        <v>3196</v>
      </c>
      <c r="B17" s="3247">
        <v>81.48</v>
      </c>
      <c r="C17" s="3248">
        <v>81.48</v>
      </c>
      <c r="D17" s="3244"/>
      <c r="E17" s="3243"/>
      <c r="F17" s="3243"/>
      <c r="G17" s="3245"/>
      <c r="H17" s="3246"/>
    </row>
    <row r="18" spans="1:8" ht="18" customHeight="1">
      <c r="A18" s="3242" t="s">
        <v>3197</v>
      </c>
      <c r="B18" s="3247">
        <v>29.43</v>
      </c>
      <c r="C18" s="3248">
        <v>29.43</v>
      </c>
      <c r="D18" s="3238"/>
      <c r="E18" s="3243"/>
      <c r="F18" s="3243"/>
      <c r="G18" s="3245"/>
      <c r="H18" s="3246"/>
    </row>
    <row r="19" spans="1:8" ht="18" customHeight="1">
      <c r="A19" s="3242" t="s">
        <v>3198</v>
      </c>
      <c r="B19" s="3247">
        <v>50.68</v>
      </c>
      <c r="C19" s="3248">
        <v>50.68</v>
      </c>
      <c r="D19" s="3238"/>
      <c r="E19" s="3243"/>
      <c r="F19" s="3243"/>
      <c r="G19" s="3245"/>
      <c r="H19" s="3246"/>
    </row>
    <row r="20" spans="1:8" ht="18" customHeight="1">
      <c r="A20" s="3249" t="s">
        <v>3199</v>
      </c>
      <c r="B20" s="3247">
        <v>24.38</v>
      </c>
      <c r="C20" s="3248">
        <v>24.38</v>
      </c>
      <c r="D20" s="3244"/>
      <c r="E20" s="3243"/>
      <c r="F20" s="3243"/>
      <c r="G20" s="3245"/>
      <c r="H20" s="3246"/>
    </row>
    <row r="21" spans="1:8" ht="18" customHeight="1">
      <c r="A21" s="3249" t="s">
        <v>3200</v>
      </c>
      <c r="B21" s="3247">
        <v>43.34</v>
      </c>
      <c r="C21" s="3248">
        <v>43.34</v>
      </c>
      <c r="D21" s="3244"/>
      <c r="E21" s="3243"/>
      <c r="F21" s="3243"/>
      <c r="G21" s="3245"/>
      <c r="H21" s="3246"/>
    </row>
    <row r="22" spans="1:8" ht="18" customHeight="1">
      <c r="A22" s="3249" t="s">
        <v>3201</v>
      </c>
      <c r="B22" s="3247">
        <v>49.97</v>
      </c>
      <c r="C22" s="3248">
        <v>12.99</v>
      </c>
      <c r="D22" s="3244"/>
      <c r="E22" s="3247">
        <v>36.979999999999997</v>
      </c>
      <c r="F22" s="3243"/>
      <c r="G22" s="3245"/>
      <c r="H22" s="3246"/>
    </row>
    <row r="23" spans="1:8" ht="18" customHeight="1">
      <c r="A23" s="3249" t="s">
        <v>3202</v>
      </c>
      <c r="B23" s="3247">
        <v>49.97</v>
      </c>
      <c r="C23" s="3248">
        <v>12.99</v>
      </c>
      <c r="D23" s="3244"/>
      <c r="E23" s="3247">
        <v>36.979999999999997</v>
      </c>
      <c r="F23" s="3243"/>
      <c r="G23" s="3245"/>
      <c r="H23" s="3246"/>
    </row>
    <row r="24" spans="1:8" ht="18" customHeight="1">
      <c r="A24" s="3249" t="s">
        <v>3203</v>
      </c>
      <c r="B24" s="3247">
        <v>49.97</v>
      </c>
      <c r="C24" s="3248">
        <v>12.99</v>
      </c>
      <c r="D24" s="3244"/>
      <c r="E24" s="3247">
        <v>36.979999999999997</v>
      </c>
      <c r="F24" s="3243"/>
      <c r="G24" s="3245"/>
      <c r="H24" s="3246"/>
    </row>
    <row r="25" spans="1:8" ht="18" customHeight="1">
      <c r="A25" s="3242" t="s">
        <v>3204</v>
      </c>
      <c r="B25" s="3247">
        <v>49.97</v>
      </c>
      <c r="C25" s="3248">
        <v>12.99</v>
      </c>
      <c r="D25" s="3244"/>
      <c r="E25" s="3247">
        <v>36.979999999999997</v>
      </c>
      <c r="F25" s="3243"/>
      <c r="G25" s="3245"/>
      <c r="H25" s="3246"/>
    </row>
    <row r="26" spans="1:8" ht="18" customHeight="1">
      <c r="A26" s="3242" t="s">
        <v>3205</v>
      </c>
      <c r="B26" s="3247">
        <v>50.97</v>
      </c>
      <c r="C26" s="3248">
        <v>13.25</v>
      </c>
      <c r="D26" s="3244"/>
      <c r="E26" s="3247">
        <v>37.72</v>
      </c>
      <c r="F26" s="3243"/>
      <c r="G26" s="3245"/>
      <c r="H26" s="3246"/>
    </row>
    <row r="27" spans="1:8" ht="18" customHeight="1">
      <c r="A27" s="3242" t="s">
        <v>3206</v>
      </c>
      <c r="B27" s="3247">
        <v>48.93</v>
      </c>
      <c r="C27" s="3248">
        <v>12.72</v>
      </c>
      <c r="D27" s="3244"/>
      <c r="E27" s="3247">
        <v>36.21</v>
      </c>
      <c r="F27" s="3243"/>
      <c r="G27" s="3245"/>
      <c r="H27" s="3246"/>
    </row>
    <row r="28" spans="1:8" ht="18" customHeight="1">
      <c r="A28" s="3242" t="s">
        <v>3207</v>
      </c>
      <c r="B28" s="3247">
        <v>50.97</v>
      </c>
      <c r="C28" s="3248">
        <v>13.25</v>
      </c>
      <c r="D28" s="3244"/>
      <c r="E28" s="3247">
        <v>37.72</v>
      </c>
      <c r="F28" s="3243"/>
      <c r="G28" s="3245"/>
      <c r="H28" s="3246"/>
    </row>
    <row r="29" spans="1:8" ht="18" customHeight="1">
      <c r="A29" s="3242" t="s">
        <v>3208</v>
      </c>
      <c r="B29" s="3247">
        <v>49.85</v>
      </c>
      <c r="C29" s="3248">
        <v>12.96</v>
      </c>
      <c r="D29" s="3244"/>
      <c r="E29" s="3247">
        <v>36.89</v>
      </c>
      <c r="F29" s="3243"/>
      <c r="G29" s="3245"/>
      <c r="H29" s="3246"/>
    </row>
    <row r="30" spans="1:8" ht="18" customHeight="1">
      <c r="A30" s="3242" t="s">
        <v>3209</v>
      </c>
      <c r="B30" s="3247">
        <v>50.97</v>
      </c>
      <c r="C30" s="3248">
        <v>13.25</v>
      </c>
      <c r="D30" s="3244"/>
      <c r="E30" s="3247">
        <v>37.72</v>
      </c>
      <c r="F30" s="3243"/>
      <c r="G30" s="3245"/>
      <c r="H30" s="3246"/>
    </row>
    <row r="31" spans="1:8" ht="18" customHeight="1">
      <c r="A31" s="3242" t="s">
        <v>3210</v>
      </c>
      <c r="B31" s="3247">
        <v>48.93</v>
      </c>
      <c r="C31" s="3248">
        <v>12.72</v>
      </c>
      <c r="D31" s="3244"/>
      <c r="E31" s="3247">
        <v>36.21</v>
      </c>
      <c r="F31" s="3243"/>
      <c r="G31" s="3245"/>
      <c r="H31" s="3246"/>
    </row>
    <row r="32" spans="1:8" ht="18" customHeight="1">
      <c r="A32" s="3242" t="s">
        <v>3211</v>
      </c>
      <c r="B32" s="3247">
        <v>50.97</v>
      </c>
      <c r="C32" s="3248">
        <v>13.25</v>
      </c>
      <c r="D32" s="3244"/>
      <c r="E32" s="3247">
        <v>37.72</v>
      </c>
      <c r="F32" s="3243"/>
      <c r="G32" s="3245"/>
      <c r="H32" s="3246"/>
    </row>
    <row r="33" spans="1:8" ht="18" customHeight="1">
      <c r="A33" s="3242" t="s">
        <v>3212</v>
      </c>
      <c r="B33" s="3247">
        <v>50.97</v>
      </c>
      <c r="C33" s="3248">
        <v>13.25</v>
      </c>
      <c r="D33" s="3244"/>
      <c r="E33" s="3247">
        <v>37.72</v>
      </c>
      <c r="F33" s="3243"/>
      <c r="G33" s="3245"/>
      <c r="H33" s="3246"/>
    </row>
    <row r="34" spans="1:8" ht="18" customHeight="1">
      <c r="A34" s="3242" t="s">
        <v>3213</v>
      </c>
      <c r="B34" s="3247">
        <v>48.93</v>
      </c>
      <c r="C34" s="3248">
        <v>12.72</v>
      </c>
      <c r="D34" s="3244"/>
      <c r="E34" s="3247">
        <v>36.21</v>
      </c>
      <c r="F34" s="3243"/>
      <c r="G34" s="3245"/>
      <c r="H34" s="3246"/>
    </row>
    <row r="35" spans="1:8" ht="18" customHeight="1">
      <c r="A35" s="3242" t="s">
        <v>3214</v>
      </c>
      <c r="B35" s="3247">
        <v>50.97</v>
      </c>
      <c r="C35" s="3248">
        <v>13.25</v>
      </c>
      <c r="D35" s="3244"/>
      <c r="E35" s="3247">
        <v>37.72</v>
      </c>
      <c r="F35" s="3243"/>
      <c r="G35" s="3245"/>
      <c r="H35" s="3246"/>
    </row>
    <row r="36" spans="1:8" ht="18" customHeight="1">
      <c r="A36" s="3242" t="s">
        <v>3215</v>
      </c>
      <c r="B36" s="3247">
        <v>55.04</v>
      </c>
      <c r="C36" s="3248">
        <v>14.31</v>
      </c>
      <c r="D36" s="3244"/>
      <c r="E36" s="3247">
        <v>40.729999999999997</v>
      </c>
      <c r="F36" s="3243"/>
      <c r="G36" s="3245"/>
      <c r="H36" s="3246"/>
    </row>
    <row r="37" spans="1:8" ht="18" customHeight="1">
      <c r="A37" s="3242" t="s">
        <v>3216</v>
      </c>
      <c r="B37" s="3247">
        <v>49.97</v>
      </c>
      <c r="C37" s="3248">
        <v>12.99</v>
      </c>
      <c r="D37" s="3244"/>
      <c r="E37" s="3247">
        <v>36.979999999999997</v>
      </c>
      <c r="F37" s="3243"/>
      <c r="G37" s="3245"/>
      <c r="H37" s="3246"/>
    </row>
    <row r="38" spans="1:8" ht="18" customHeight="1">
      <c r="A38" s="3242" t="s">
        <v>3217</v>
      </c>
      <c r="B38" s="3247">
        <v>49.97</v>
      </c>
      <c r="C38" s="3248">
        <v>12.99</v>
      </c>
      <c r="D38" s="3244"/>
      <c r="E38" s="3247">
        <v>36.979999999999997</v>
      </c>
      <c r="F38" s="3243"/>
      <c r="G38" s="3245"/>
      <c r="H38" s="3246"/>
    </row>
    <row r="39" spans="1:8" ht="18" customHeight="1">
      <c r="A39" s="3242" t="s">
        <v>3218</v>
      </c>
      <c r="B39" s="3247">
        <v>49.97</v>
      </c>
      <c r="C39" s="3248">
        <v>12.99</v>
      </c>
      <c r="D39" s="3244"/>
      <c r="E39" s="3247">
        <v>36.979999999999997</v>
      </c>
      <c r="F39" s="3243"/>
      <c r="G39" s="3245"/>
      <c r="H39" s="3246"/>
    </row>
    <row r="40" spans="1:8" ht="18" customHeight="1">
      <c r="A40" s="3242" t="s">
        <v>3219</v>
      </c>
      <c r="B40" s="3247">
        <v>49.97</v>
      </c>
      <c r="C40" s="3248">
        <v>12.99</v>
      </c>
      <c r="D40" s="3244"/>
      <c r="E40" s="3247">
        <v>36.979999999999997</v>
      </c>
      <c r="F40" s="3243"/>
      <c r="G40" s="3245"/>
      <c r="H40" s="3246"/>
    </row>
    <row r="41" spans="1:8" ht="18" customHeight="1">
      <c r="A41" s="3242" t="s">
        <v>3220</v>
      </c>
      <c r="B41" s="3247">
        <v>49.97</v>
      </c>
      <c r="C41" s="3248">
        <v>12.99</v>
      </c>
      <c r="D41" s="3244"/>
      <c r="E41" s="3247">
        <v>36.979999999999997</v>
      </c>
      <c r="F41" s="3243"/>
      <c r="G41" s="3245"/>
      <c r="H41" s="3246"/>
    </row>
    <row r="42" spans="1:8" ht="18" customHeight="1">
      <c r="A42" s="3242" t="s">
        <v>3221</v>
      </c>
      <c r="B42" s="3247">
        <v>49.97</v>
      </c>
      <c r="C42" s="3248">
        <v>12.99</v>
      </c>
      <c r="D42" s="3238"/>
      <c r="E42" s="3247">
        <v>36.979999999999997</v>
      </c>
      <c r="F42" s="3243"/>
      <c r="G42" s="3245"/>
      <c r="H42" s="3246"/>
    </row>
    <row r="43" spans="1:8" ht="18" customHeight="1">
      <c r="A43" s="3242" t="s">
        <v>3222</v>
      </c>
      <c r="B43" s="3247">
        <v>55.39</v>
      </c>
      <c r="C43" s="3248">
        <v>14.4</v>
      </c>
      <c r="D43" s="3244"/>
      <c r="E43" s="3247">
        <v>40.99</v>
      </c>
      <c r="F43" s="3243"/>
      <c r="G43" s="3245"/>
      <c r="H43" s="3246"/>
    </row>
    <row r="44" spans="1:8" ht="18" customHeight="1">
      <c r="A44" s="3242" t="s">
        <v>3223</v>
      </c>
      <c r="B44" s="3247">
        <v>48.08</v>
      </c>
      <c r="C44" s="3248">
        <v>12.5</v>
      </c>
      <c r="D44" s="3244"/>
      <c r="E44" s="3247">
        <v>35.58</v>
      </c>
      <c r="F44" s="3243"/>
      <c r="G44" s="3245"/>
      <c r="H44" s="3246"/>
    </row>
    <row r="45" spans="1:8" ht="18" customHeight="1">
      <c r="A45" s="3242" t="s">
        <v>3224</v>
      </c>
      <c r="B45" s="3247">
        <v>46.16</v>
      </c>
      <c r="C45" s="3248">
        <v>12</v>
      </c>
      <c r="D45" s="3244"/>
      <c r="E45" s="3247">
        <v>34.159999999999997</v>
      </c>
      <c r="F45" s="3243"/>
      <c r="G45" s="3245"/>
      <c r="H45" s="3246"/>
    </row>
    <row r="46" spans="1:8" ht="18" customHeight="1">
      <c r="A46" s="3242" t="s">
        <v>3225</v>
      </c>
      <c r="B46" s="3247">
        <v>48.08</v>
      </c>
      <c r="C46" s="3248">
        <v>12.5</v>
      </c>
      <c r="D46" s="3244"/>
      <c r="E46" s="3247">
        <v>35.58</v>
      </c>
      <c r="F46" s="3243"/>
      <c r="G46" s="3245"/>
      <c r="H46" s="3246"/>
    </row>
    <row r="47" spans="1:8" ht="18" customHeight="1">
      <c r="A47" s="3242" t="s">
        <v>3226</v>
      </c>
      <c r="B47" s="3247">
        <v>48.08</v>
      </c>
      <c r="C47" s="3248">
        <v>12.5</v>
      </c>
      <c r="D47" s="3244"/>
      <c r="E47" s="3247">
        <v>35.58</v>
      </c>
      <c r="F47" s="3243"/>
      <c r="G47" s="3245"/>
      <c r="H47" s="3246"/>
    </row>
    <row r="48" spans="1:8" ht="18" customHeight="1">
      <c r="A48" s="3242" t="s">
        <v>3227</v>
      </c>
      <c r="B48" s="3247">
        <v>46.16</v>
      </c>
      <c r="C48" s="3248">
        <v>12</v>
      </c>
      <c r="D48" s="3238"/>
      <c r="E48" s="3247">
        <v>34.159999999999997</v>
      </c>
      <c r="F48" s="3243"/>
      <c r="G48" s="3245"/>
      <c r="H48" s="3246"/>
    </row>
    <row r="49" spans="1:11" ht="18" customHeight="1">
      <c r="A49" s="3242" t="s">
        <v>3228</v>
      </c>
      <c r="B49" s="3247">
        <v>48.08</v>
      </c>
      <c r="C49" s="3248">
        <v>12.5</v>
      </c>
      <c r="D49" s="3238"/>
      <c r="E49" s="3247">
        <v>35.58</v>
      </c>
      <c r="F49" s="3243"/>
      <c r="G49" s="3245"/>
      <c r="H49" s="3246"/>
    </row>
    <row r="50" spans="1:11" ht="18" customHeight="1">
      <c r="A50" s="3249" t="s">
        <v>3229</v>
      </c>
      <c r="B50" s="3247">
        <v>50.97</v>
      </c>
      <c r="C50" s="3248">
        <v>13.25</v>
      </c>
      <c r="D50" s="3244"/>
      <c r="E50" s="3247">
        <v>37.72</v>
      </c>
      <c r="F50" s="3243"/>
      <c r="G50" s="3245"/>
      <c r="H50" s="3246"/>
    </row>
    <row r="51" spans="1:11" ht="18" customHeight="1">
      <c r="A51" s="3249" t="s">
        <v>3230</v>
      </c>
      <c r="B51" s="3247">
        <v>48.93</v>
      </c>
      <c r="C51" s="3248">
        <v>12.72</v>
      </c>
      <c r="D51" s="3244"/>
      <c r="E51" s="3247">
        <v>36.21</v>
      </c>
      <c r="F51" s="3243"/>
      <c r="G51" s="3245"/>
      <c r="H51" s="3246"/>
    </row>
    <row r="52" spans="1:11" ht="18" customHeight="1">
      <c r="A52" s="3249" t="s">
        <v>3231</v>
      </c>
      <c r="B52" s="3247">
        <v>50.97</v>
      </c>
      <c r="C52" s="3248">
        <v>13.25</v>
      </c>
      <c r="D52" s="3244"/>
      <c r="E52" s="3247">
        <v>37.72</v>
      </c>
      <c r="F52" s="3243"/>
      <c r="G52" s="3245"/>
      <c r="H52" s="3246"/>
    </row>
    <row r="53" spans="1:11" ht="18" customHeight="1">
      <c r="A53" s="3249" t="s">
        <v>3232</v>
      </c>
      <c r="B53" s="3247">
        <v>50.97</v>
      </c>
      <c r="C53" s="3248">
        <v>13.25</v>
      </c>
      <c r="D53" s="3244"/>
      <c r="E53" s="3247">
        <v>37.72</v>
      </c>
      <c r="F53" s="3243"/>
      <c r="G53" s="3245"/>
      <c r="H53" s="3246"/>
    </row>
    <row r="54" spans="1:11" ht="18" customHeight="1">
      <c r="A54" s="3249" t="s">
        <v>3233</v>
      </c>
      <c r="B54" s="3247">
        <v>48.93</v>
      </c>
      <c r="C54" s="3248">
        <v>12.72</v>
      </c>
      <c r="D54" s="3244"/>
      <c r="E54" s="3247">
        <v>36.21</v>
      </c>
      <c r="F54" s="3243"/>
      <c r="G54" s="3245"/>
      <c r="H54" s="3246"/>
    </row>
    <row r="55" spans="1:11" ht="18" customHeight="1">
      <c r="A55" s="3242" t="s">
        <v>3234</v>
      </c>
      <c r="B55" s="3247">
        <v>50.97</v>
      </c>
      <c r="C55" s="3248">
        <v>13.25</v>
      </c>
      <c r="D55" s="3244"/>
      <c r="E55" s="3247">
        <v>37.72</v>
      </c>
      <c r="F55" s="3243"/>
      <c r="G55" s="3245"/>
      <c r="H55" s="3246"/>
    </row>
    <row r="56" spans="1:11" ht="18" customHeight="1">
      <c r="A56" s="3242" t="s">
        <v>3235</v>
      </c>
      <c r="B56" s="3247">
        <v>51.7</v>
      </c>
      <c r="C56" s="3248">
        <v>13.44</v>
      </c>
      <c r="D56" s="3244"/>
      <c r="E56" s="3247">
        <v>38.26</v>
      </c>
      <c r="F56" s="3243"/>
      <c r="G56" s="3245"/>
      <c r="H56" s="3246"/>
    </row>
    <row r="57" spans="1:11" ht="18" customHeight="1">
      <c r="A57" s="3242" t="s">
        <v>3236</v>
      </c>
      <c r="B57" s="3247">
        <v>51.7</v>
      </c>
      <c r="C57" s="3248">
        <v>13.44</v>
      </c>
      <c r="D57" s="3244"/>
      <c r="E57" s="3247">
        <v>38.26</v>
      </c>
      <c r="F57" s="3243"/>
      <c r="G57" s="3245"/>
      <c r="H57" s="3246"/>
    </row>
    <row r="58" spans="1:11" ht="18" customHeight="1">
      <c r="A58" s="3242" t="s">
        <v>3237</v>
      </c>
      <c r="B58" s="3247">
        <v>53.01</v>
      </c>
      <c r="C58" s="3248">
        <v>13.78</v>
      </c>
      <c r="D58" s="3244"/>
      <c r="E58" s="3247">
        <v>39.229999999999997</v>
      </c>
      <c r="F58" s="3243"/>
      <c r="G58" s="3245"/>
      <c r="H58" s="3246"/>
      <c r="K58" s="3237">
        <v>16</v>
      </c>
    </row>
    <row r="59" spans="1:11" ht="18" customHeight="1">
      <c r="A59" s="3242" t="s">
        <v>3238</v>
      </c>
      <c r="B59" s="3247">
        <v>50.97</v>
      </c>
      <c r="C59" s="3248">
        <v>13.25</v>
      </c>
      <c r="D59" s="3244"/>
      <c r="E59" s="3247">
        <v>37.72</v>
      </c>
      <c r="F59" s="3243"/>
      <c r="G59" s="3245"/>
      <c r="H59" s="3246"/>
      <c r="K59" s="3237">
        <v>18</v>
      </c>
    </row>
    <row r="60" spans="1:11" ht="18" customHeight="1">
      <c r="A60" s="3242" t="s">
        <v>3239</v>
      </c>
      <c r="B60" s="3247">
        <v>48.93</v>
      </c>
      <c r="C60" s="3248">
        <v>12.72</v>
      </c>
      <c r="D60" s="3244"/>
      <c r="E60" s="3247">
        <v>36.21</v>
      </c>
      <c r="F60" s="3243"/>
      <c r="G60" s="3245"/>
      <c r="H60" s="3246"/>
    </row>
    <row r="61" spans="1:11" ht="18" customHeight="1">
      <c r="A61" s="3242" t="s">
        <v>3240</v>
      </c>
      <c r="B61" s="3247">
        <v>50.97</v>
      </c>
      <c r="C61" s="3248">
        <v>13.25</v>
      </c>
      <c r="D61" s="3244"/>
      <c r="E61" s="3247">
        <v>37.72</v>
      </c>
      <c r="F61" s="3243"/>
      <c r="G61" s="3245"/>
      <c r="H61" s="3246"/>
    </row>
    <row r="62" spans="1:11" ht="18" customHeight="1">
      <c r="A62" s="3242" t="s">
        <v>3241</v>
      </c>
      <c r="B62" s="3247">
        <v>50.97</v>
      </c>
      <c r="C62" s="3248">
        <v>13.25</v>
      </c>
      <c r="D62" s="3244"/>
      <c r="E62" s="3247">
        <v>37.72</v>
      </c>
      <c r="F62" s="3243"/>
      <c r="G62" s="3245"/>
      <c r="H62" s="3246"/>
    </row>
    <row r="63" spans="1:11" ht="18" customHeight="1">
      <c r="A63" s="3242" t="s">
        <v>3242</v>
      </c>
      <c r="B63" s="3247">
        <v>48.93</v>
      </c>
      <c r="C63" s="3248">
        <v>12.72</v>
      </c>
      <c r="D63" s="3244"/>
      <c r="E63" s="3247">
        <v>36.21</v>
      </c>
      <c r="F63" s="3243"/>
      <c r="G63" s="3245"/>
      <c r="H63" s="3246"/>
    </row>
    <row r="64" spans="1:11" ht="18" customHeight="1">
      <c r="A64" s="3242" t="s">
        <v>3243</v>
      </c>
      <c r="B64" s="3247">
        <v>50.97</v>
      </c>
      <c r="C64" s="3248">
        <v>13.25</v>
      </c>
      <c r="D64" s="3244"/>
      <c r="E64" s="3247">
        <v>37.72</v>
      </c>
      <c r="F64" s="3243"/>
      <c r="G64" s="3245"/>
      <c r="H64" s="3246"/>
    </row>
    <row r="65" spans="1:8" ht="18" customHeight="1">
      <c r="A65" s="3242" t="s">
        <v>3244</v>
      </c>
      <c r="B65" s="3247">
        <v>50.97</v>
      </c>
      <c r="C65" s="3248">
        <v>13.25</v>
      </c>
      <c r="D65" s="3244"/>
      <c r="E65" s="3247">
        <v>37.72</v>
      </c>
      <c r="F65" s="3243"/>
      <c r="G65" s="3245"/>
      <c r="H65" s="3246"/>
    </row>
    <row r="66" spans="1:8" ht="18" customHeight="1">
      <c r="A66" s="3242" t="s">
        <v>3245</v>
      </c>
      <c r="B66" s="3247">
        <v>48.93</v>
      </c>
      <c r="C66" s="3248">
        <v>12.72</v>
      </c>
      <c r="D66" s="3244"/>
      <c r="E66" s="3247">
        <v>36.21</v>
      </c>
      <c r="F66" s="3243"/>
      <c r="G66" s="3245"/>
      <c r="H66" s="3246"/>
    </row>
    <row r="67" spans="1:8" ht="18" customHeight="1">
      <c r="A67" s="3242" t="s">
        <v>3246</v>
      </c>
      <c r="B67" s="3247">
        <v>50.97</v>
      </c>
      <c r="C67" s="3248">
        <v>13.25</v>
      </c>
      <c r="D67" s="3244"/>
      <c r="E67" s="3247">
        <v>37.72</v>
      </c>
      <c r="F67" s="3243"/>
      <c r="G67" s="3245"/>
      <c r="H67" s="3246"/>
    </row>
    <row r="68" spans="1:8" ht="18" customHeight="1">
      <c r="A68" s="3242" t="s">
        <v>3247</v>
      </c>
      <c r="B68" s="3247">
        <v>50.97</v>
      </c>
      <c r="C68" s="3248">
        <v>13.25</v>
      </c>
      <c r="D68" s="3244"/>
      <c r="E68" s="3247">
        <v>37.72</v>
      </c>
      <c r="F68" s="3243"/>
      <c r="G68" s="3245"/>
      <c r="H68" s="3246"/>
    </row>
    <row r="69" spans="1:8" ht="18" customHeight="1">
      <c r="A69" s="3242" t="s">
        <v>3248</v>
      </c>
      <c r="B69" s="3247">
        <v>48.93</v>
      </c>
      <c r="C69" s="3248">
        <v>12.72</v>
      </c>
      <c r="D69" s="3244"/>
      <c r="E69" s="3247">
        <v>36.21</v>
      </c>
      <c r="F69" s="3243"/>
      <c r="G69" s="3245"/>
      <c r="H69" s="3246"/>
    </row>
    <row r="70" spans="1:8" ht="18" customHeight="1">
      <c r="A70" s="3242" t="s">
        <v>3249</v>
      </c>
      <c r="B70" s="3247">
        <v>50.97</v>
      </c>
      <c r="C70" s="3248">
        <v>13.25</v>
      </c>
      <c r="D70" s="3244"/>
      <c r="E70" s="3247">
        <v>37.72</v>
      </c>
      <c r="F70" s="3243"/>
      <c r="G70" s="3245"/>
      <c r="H70" s="3246"/>
    </row>
    <row r="71" spans="1:8" ht="18" customHeight="1">
      <c r="A71" s="3242" t="s">
        <v>3250</v>
      </c>
      <c r="B71" s="3247">
        <v>50.97</v>
      </c>
      <c r="C71" s="3248">
        <v>13.25</v>
      </c>
      <c r="D71" s="3244"/>
      <c r="E71" s="3247">
        <v>37.72</v>
      </c>
      <c r="F71" s="3243"/>
      <c r="G71" s="3245"/>
      <c r="H71" s="3246"/>
    </row>
    <row r="72" spans="1:8" ht="18" customHeight="1">
      <c r="A72" s="3242" t="s">
        <v>3251</v>
      </c>
      <c r="B72" s="3247">
        <v>48.93</v>
      </c>
      <c r="C72" s="3248">
        <v>12.72</v>
      </c>
      <c r="D72" s="3238"/>
      <c r="E72" s="3247">
        <v>36.21</v>
      </c>
      <c r="F72" s="3243"/>
      <c r="G72" s="3245"/>
      <c r="H72" s="3246"/>
    </row>
    <row r="73" spans="1:8" ht="18" customHeight="1">
      <c r="A73" s="3242" t="s">
        <v>3252</v>
      </c>
      <c r="B73" s="3247">
        <v>50.97</v>
      </c>
      <c r="C73" s="3248">
        <v>13.25</v>
      </c>
      <c r="D73" s="3244"/>
      <c r="E73" s="3247">
        <v>37.72</v>
      </c>
      <c r="F73" s="3243"/>
      <c r="G73" s="3245"/>
      <c r="H73" s="3246"/>
    </row>
    <row r="74" spans="1:8" ht="18" customHeight="1">
      <c r="A74" s="3242" t="s">
        <v>3253</v>
      </c>
      <c r="B74" s="3247">
        <v>50.97</v>
      </c>
      <c r="C74" s="3248">
        <v>13.25</v>
      </c>
      <c r="D74" s="3244"/>
      <c r="E74" s="3247">
        <v>37.72</v>
      </c>
      <c r="F74" s="3243"/>
      <c r="G74" s="3245"/>
      <c r="H74" s="3246"/>
    </row>
    <row r="75" spans="1:8" ht="18" customHeight="1">
      <c r="A75" s="3242" t="s">
        <v>3254</v>
      </c>
      <c r="B75" s="3247">
        <v>48.93</v>
      </c>
      <c r="C75" s="3248">
        <v>12.72</v>
      </c>
      <c r="D75" s="3244"/>
      <c r="E75" s="3247">
        <v>36.21</v>
      </c>
      <c r="F75" s="3243"/>
      <c r="G75" s="3245"/>
      <c r="H75" s="3246"/>
    </row>
    <row r="76" spans="1:8" ht="18" customHeight="1">
      <c r="A76" s="3242" t="s">
        <v>3255</v>
      </c>
      <c r="B76" s="3247">
        <v>50.97</v>
      </c>
      <c r="C76" s="3248">
        <v>13.25</v>
      </c>
      <c r="D76" s="3244"/>
      <c r="E76" s="3247">
        <v>37.72</v>
      </c>
      <c r="F76" s="3243"/>
      <c r="G76" s="3245"/>
      <c r="H76" s="3246"/>
    </row>
    <row r="77" spans="1:8" ht="18" customHeight="1">
      <c r="A77" s="3242" t="s">
        <v>3256</v>
      </c>
      <c r="B77" s="3247">
        <v>49.97</v>
      </c>
      <c r="C77" s="3248">
        <v>12.99</v>
      </c>
      <c r="D77" s="3244"/>
      <c r="E77" s="3247">
        <v>36.979999999999997</v>
      </c>
      <c r="F77" s="3243"/>
      <c r="G77" s="3245"/>
      <c r="H77" s="3246"/>
    </row>
    <row r="78" spans="1:8" ht="18" customHeight="1">
      <c r="A78" s="3242" t="s">
        <v>3257</v>
      </c>
      <c r="B78" s="3247">
        <v>49.97</v>
      </c>
      <c r="C78" s="3248">
        <v>12.99</v>
      </c>
      <c r="D78" s="3238"/>
      <c r="E78" s="3247">
        <v>36.979999999999997</v>
      </c>
      <c r="F78" s="3243"/>
      <c r="G78" s="3245"/>
      <c r="H78" s="3246"/>
    </row>
    <row r="79" spans="1:8" ht="18" customHeight="1">
      <c r="A79" s="3242" t="s">
        <v>3258</v>
      </c>
      <c r="B79" s="3247">
        <v>49.85</v>
      </c>
      <c r="C79" s="3248">
        <v>12.96</v>
      </c>
      <c r="D79" s="3238"/>
      <c r="E79" s="3247">
        <v>36.89</v>
      </c>
      <c r="F79" s="3243"/>
      <c r="G79" s="3245"/>
      <c r="H79" s="3246"/>
    </row>
    <row r="80" spans="1:8" ht="18" customHeight="1">
      <c r="A80" s="3249" t="s">
        <v>3259</v>
      </c>
      <c r="B80" s="3247">
        <v>51.7</v>
      </c>
      <c r="C80" s="3248">
        <v>13.44</v>
      </c>
      <c r="D80" s="3244"/>
      <c r="E80" s="3247">
        <v>38.26</v>
      </c>
      <c r="F80" s="3243"/>
      <c r="G80" s="3245"/>
      <c r="H80" s="3246"/>
    </row>
    <row r="81" spans="1:8" ht="18" customHeight="1">
      <c r="A81" s="3249" t="s">
        <v>3260</v>
      </c>
      <c r="B81" s="3247">
        <v>51.7</v>
      </c>
      <c r="C81" s="3248">
        <v>13.44</v>
      </c>
      <c r="D81" s="3244"/>
      <c r="E81" s="3247">
        <v>38.26</v>
      </c>
      <c r="F81" s="3243"/>
      <c r="G81" s="3245"/>
      <c r="H81" s="3246"/>
    </row>
    <row r="82" spans="1:8" ht="18" customHeight="1">
      <c r="A82" s="3249" t="s">
        <v>3261</v>
      </c>
      <c r="B82" s="3247">
        <v>49.85</v>
      </c>
      <c r="C82" s="3248">
        <v>12.96</v>
      </c>
      <c r="D82" s="3244"/>
      <c r="E82" s="3247">
        <v>36.89</v>
      </c>
      <c r="F82" s="3243"/>
      <c r="G82" s="3245"/>
      <c r="H82" s="3246"/>
    </row>
    <row r="83" spans="1:8" ht="18" customHeight="1">
      <c r="A83" s="3249" t="s">
        <v>3262</v>
      </c>
      <c r="B83" s="3247">
        <v>49.97</v>
      </c>
      <c r="C83" s="3248">
        <v>12.99</v>
      </c>
      <c r="D83" s="3244"/>
      <c r="E83" s="3247">
        <v>36.979999999999997</v>
      </c>
      <c r="F83" s="3243"/>
      <c r="G83" s="3245"/>
      <c r="H83" s="3246"/>
    </row>
    <row r="84" spans="1:8" ht="18" customHeight="1">
      <c r="A84" s="3249" t="s">
        <v>3263</v>
      </c>
      <c r="B84" s="3247">
        <v>49.97</v>
      </c>
      <c r="C84" s="3248">
        <v>12.99</v>
      </c>
      <c r="D84" s="3244"/>
      <c r="E84" s="3247">
        <v>36.979999999999997</v>
      </c>
      <c r="F84" s="3243"/>
      <c r="G84" s="3245"/>
      <c r="H84" s="3246"/>
    </row>
    <row r="85" spans="1:8" ht="18" customHeight="1">
      <c r="A85" s="3242" t="s">
        <v>3264</v>
      </c>
      <c r="B85" s="3247">
        <v>50.97</v>
      </c>
      <c r="C85" s="3248">
        <v>13.25</v>
      </c>
      <c r="D85" s="3244"/>
      <c r="E85" s="3247">
        <v>37.72</v>
      </c>
      <c r="F85" s="3243"/>
      <c r="G85" s="3245"/>
      <c r="H85" s="3246"/>
    </row>
    <row r="86" spans="1:8" ht="18" customHeight="1">
      <c r="A86" s="3242" t="s">
        <v>3265</v>
      </c>
      <c r="B86" s="3247">
        <v>48.93</v>
      </c>
      <c r="C86" s="3248">
        <v>12.72</v>
      </c>
      <c r="D86" s="3244"/>
      <c r="E86" s="3247">
        <v>36.21</v>
      </c>
      <c r="F86" s="3243"/>
      <c r="G86" s="3245"/>
      <c r="H86" s="3246"/>
    </row>
    <row r="87" spans="1:8" ht="18" customHeight="1">
      <c r="A87" s="3242" t="s">
        <v>3266</v>
      </c>
      <c r="B87" s="3247">
        <v>50.97</v>
      </c>
      <c r="C87" s="3248">
        <v>13.25</v>
      </c>
      <c r="D87" s="3244"/>
      <c r="E87" s="3247">
        <v>37.72</v>
      </c>
      <c r="F87" s="3243"/>
      <c r="G87" s="3245"/>
      <c r="H87" s="3246"/>
    </row>
    <row r="88" spans="1:8" ht="18" customHeight="1">
      <c r="A88" s="3242" t="s">
        <v>3267</v>
      </c>
      <c r="B88" s="3247">
        <v>49.97</v>
      </c>
      <c r="C88" s="3248">
        <v>12.99</v>
      </c>
      <c r="D88" s="3244"/>
      <c r="E88" s="3247">
        <v>36.979999999999997</v>
      </c>
      <c r="F88" s="3243"/>
      <c r="G88" s="3245"/>
      <c r="H88" s="3246"/>
    </row>
    <row r="89" spans="1:8" ht="18" customHeight="1">
      <c r="A89" s="3242" t="s">
        <v>3268</v>
      </c>
      <c r="B89" s="3247">
        <v>49.97</v>
      </c>
      <c r="C89" s="3248">
        <v>12.99</v>
      </c>
      <c r="D89" s="3244"/>
      <c r="E89" s="3247">
        <v>36.979999999999997</v>
      </c>
      <c r="F89" s="3243"/>
      <c r="G89" s="3245"/>
      <c r="H89" s="3246"/>
    </row>
    <row r="90" spans="1:8" ht="18" customHeight="1">
      <c r="A90" s="3242" t="s">
        <v>3269</v>
      </c>
      <c r="B90" s="3247">
        <v>50.97</v>
      </c>
      <c r="C90" s="3248">
        <v>13.25</v>
      </c>
      <c r="D90" s="3244"/>
      <c r="E90" s="3247">
        <v>37.72</v>
      </c>
      <c r="F90" s="3243"/>
      <c r="G90" s="3245"/>
      <c r="H90" s="3246"/>
    </row>
    <row r="91" spans="1:8" ht="18" customHeight="1">
      <c r="A91" s="3242" t="s">
        <v>3270</v>
      </c>
      <c r="B91" s="3247">
        <v>48.93</v>
      </c>
      <c r="C91" s="3248">
        <v>12.72</v>
      </c>
      <c r="D91" s="3244"/>
      <c r="E91" s="3247">
        <v>36.21</v>
      </c>
      <c r="F91" s="3243"/>
      <c r="G91" s="3245"/>
      <c r="H91" s="3246"/>
    </row>
    <row r="92" spans="1:8" ht="18" customHeight="1">
      <c r="A92" s="3242" t="s">
        <v>3271</v>
      </c>
      <c r="B92" s="3247">
        <v>50.97</v>
      </c>
      <c r="C92" s="3248">
        <v>13.25</v>
      </c>
      <c r="D92" s="3244"/>
      <c r="E92" s="3247">
        <v>37.72</v>
      </c>
      <c r="F92" s="3243"/>
      <c r="G92" s="3245"/>
      <c r="H92" s="3246"/>
    </row>
    <row r="93" spans="1:8" ht="18" customHeight="1">
      <c r="A93" s="3242" t="s">
        <v>3272</v>
      </c>
      <c r="B93" s="3247">
        <v>49.97</v>
      </c>
      <c r="C93" s="3248">
        <v>12.99</v>
      </c>
      <c r="D93" s="3244"/>
      <c r="E93" s="3247">
        <v>36.979999999999997</v>
      </c>
      <c r="F93" s="3243"/>
      <c r="G93" s="3245"/>
      <c r="H93" s="3246"/>
    </row>
    <row r="94" spans="1:8" ht="18" customHeight="1">
      <c r="A94" s="3242" t="s">
        <v>3273</v>
      </c>
      <c r="B94" s="3247">
        <v>49.97</v>
      </c>
      <c r="C94" s="3248">
        <v>12.99</v>
      </c>
      <c r="D94" s="3244"/>
      <c r="E94" s="3247">
        <v>36.979999999999997</v>
      </c>
      <c r="F94" s="3243"/>
      <c r="G94" s="3245"/>
      <c r="H94" s="3246"/>
    </row>
    <row r="95" spans="1:8" ht="18" customHeight="1">
      <c r="A95" s="3242" t="s">
        <v>3274</v>
      </c>
      <c r="B95" s="3247">
        <v>48.01</v>
      </c>
      <c r="C95" s="3248">
        <v>12.48</v>
      </c>
      <c r="D95" s="3244"/>
      <c r="E95" s="3247">
        <v>35.53</v>
      </c>
      <c r="F95" s="3243"/>
      <c r="G95" s="3245"/>
      <c r="H95" s="3246"/>
    </row>
    <row r="96" spans="1:8" ht="18" customHeight="1">
      <c r="A96" s="3242" t="s">
        <v>3275</v>
      </c>
      <c r="B96" s="3247">
        <v>51.7</v>
      </c>
      <c r="C96" s="3248">
        <v>13.44</v>
      </c>
      <c r="D96" s="3244"/>
      <c r="E96" s="3247">
        <v>38.26</v>
      </c>
      <c r="F96" s="3243"/>
      <c r="G96" s="3245">
        <v>2.846603</v>
      </c>
      <c r="H96" s="3246"/>
    </row>
    <row r="97" spans="1:8" ht="18" customHeight="1">
      <c r="A97" s="3242" t="s">
        <v>3276</v>
      </c>
      <c r="B97" s="3247">
        <v>55.01</v>
      </c>
      <c r="C97" s="3248">
        <v>14.3</v>
      </c>
      <c r="D97" s="3244"/>
      <c r="E97" s="3247">
        <v>40.71</v>
      </c>
      <c r="F97" s="3243"/>
      <c r="G97" s="3245"/>
      <c r="H97" s="3246"/>
    </row>
    <row r="98" spans="1:8" ht="18" customHeight="1">
      <c r="A98" s="3242" t="s">
        <v>3277</v>
      </c>
      <c r="B98" s="3247">
        <v>49.97</v>
      </c>
      <c r="C98" s="3248">
        <v>12.99</v>
      </c>
      <c r="D98" s="3244"/>
      <c r="E98" s="3247">
        <v>36.979999999999997</v>
      </c>
      <c r="F98" s="3243"/>
      <c r="G98" s="3245"/>
      <c r="H98" s="3246"/>
    </row>
    <row r="99" spans="1:8" ht="18" customHeight="1">
      <c r="A99" s="3242" t="s">
        <v>3278</v>
      </c>
      <c r="B99" s="3247">
        <v>50.97</v>
      </c>
      <c r="C99" s="3248">
        <v>13.25</v>
      </c>
      <c r="D99" s="3244"/>
      <c r="E99" s="3247">
        <v>37.72</v>
      </c>
      <c r="F99" s="3243"/>
      <c r="G99" s="3245"/>
      <c r="H99" s="3246"/>
    </row>
    <row r="100" spans="1:8" ht="18" customHeight="1">
      <c r="A100" s="3242" t="s">
        <v>3279</v>
      </c>
      <c r="B100" s="3247">
        <v>48.93</v>
      </c>
      <c r="C100" s="3248">
        <v>12.72</v>
      </c>
      <c r="D100" s="3244"/>
      <c r="E100" s="3247">
        <v>36.21</v>
      </c>
      <c r="F100" s="3243"/>
      <c r="G100" s="3245"/>
      <c r="H100" s="3246"/>
    </row>
    <row r="101" spans="1:8" ht="18" customHeight="1">
      <c r="A101" s="3242" t="s">
        <v>3280</v>
      </c>
      <c r="B101" s="3247">
        <v>50.97</v>
      </c>
      <c r="C101" s="3248">
        <v>13.25</v>
      </c>
      <c r="D101" s="3244"/>
      <c r="E101" s="3247">
        <v>37.72</v>
      </c>
      <c r="F101" s="3243"/>
      <c r="G101" s="3245"/>
      <c r="H101" s="3246"/>
    </row>
    <row r="102" spans="1:8" ht="18" customHeight="1">
      <c r="A102" s="3242" t="s">
        <v>3281</v>
      </c>
      <c r="B102" s="3247">
        <v>49.97</v>
      </c>
      <c r="C102" s="3248">
        <v>12.99</v>
      </c>
      <c r="D102" s="3238"/>
      <c r="E102" s="3247">
        <v>36.979999999999997</v>
      </c>
      <c r="F102" s="3243"/>
      <c r="G102" s="3245"/>
      <c r="H102" s="3246"/>
    </row>
    <row r="103" spans="1:8" ht="18" customHeight="1">
      <c r="A103" s="3242" t="s">
        <v>3282</v>
      </c>
      <c r="B103" s="3247">
        <v>49.97</v>
      </c>
      <c r="C103" s="3248">
        <v>12.99</v>
      </c>
      <c r="D103" s="3244"/>
      <c r="E103" s="3247">
        <v>36.979999999999997</v>
      </c>
      <c r="F103" s="3243"/>
      <c r="G103" s="3245"/>
      <c r="H103" s="3246"/>
    </row>
    <row r="104" spans="1:8" ht="18" customHeight="1">
      <c r="A104" s="3242" t="s">
        <v>3283</v>
      </c>
      <c r="B104" s="3247">
        <v>50.97</v>
      </c>
      <c r="C104" s="3248">
        <v>13.25</v>
      </c>
      <c r="D104" s="3244"/>
      <c r="E104" s="3247">
        <v>37.72</v>
      </c>
      <c r="F104" s="3243"/>
      <c r="G104" s="3245"/>
      <c r="H104" s="3246"/>
    </row>
    <row r="105" spans="1:8" ht="18" customHeight="1">
      <c r="A105" s="3242" t="s">
        <v>3284</v>
      </c>
      <c r="B105" s="3247">
        <v>48.93</v>
      </c>
      <c r="C105" s="3248">
        <v>12.72</v>
      </c>
      <c r="D105" s="3244"/>
      <c r="E105" s="3247">
        <v>36.21</v>
      </c>
      <c r="F105" s="3243"/>
      <c r="G105" s="3245"/>
      <c r="H105" s="3246"/>
    </row>
    <row r="106" spans="1:8" ht="18" customHeight="1">
      <c r="A106" s="3242" t="s">
        <v>3285</v>
      </c>
      <c r="B106" s="3247">
        <v>50.97</v>
      </c>
      <c r="C106" s="3248">
        <v>13.25</v>
      </c>
      <c r="D106" s="3244"/>
      <c r="E106" s="3247">
        <v>37.72</v>
      </c>
      <c r="F106" s="3243"/>
      <c r="G106" s="3245"/>
      <c r="H106" s="3246"/>
    </row>
    <row r="107" spans="1:8" ht="18" customHeight="1">
      <c r="A107" s="3242" t="s">
        <v>3286</v>
      </c>
      <c r="B107" s="3247">
        <v>55.04</v>
      </c>
      <c r="C107" s="3248">
        <v>14.31</v>
      </c>
      <c r="D107" s="3244"/>
      <c r="E107" s="3247">
        <v>40.729999999999997</v>
      </c>
      <c r="F107" s="3243"/>
      <c r="G107" s="3245"/>
      <c r="H107" s="3246"/>
    </row>
    <row r="108" spans="1:8" ht="18" customHeight="1">
      <c r="A108" s="3242" t="s">
        <v>3287</v>
      </c>
      <c r="B108" s="3247">
        <v>50.97</v>
      </c>
      <c r="C108" s="3248">
        <v>13.25</v>
      </c>
      <c r="D108" s="3238"/>
      <c r="E108" s="3247">
        <v>37.72</v>
      </c>
      <c r="F108" s="3243"/>
      <c r="G108" s="3245"/>
      <c r="H108" s="3246"/>
    </row>
    <row r="109" spans="1:8" ht="18" customHeight="1">
      <c r="A109" s="3242" t="s">
        <v>3288</v>
      </c>
      <c r="B109" s="3247">
        <v>48.93</v>
      </c>
      <c r="C109" s="3248">
        <v>12.72</v>
      </c>
      <c r="D109" s="3238"/>
      <c r="E109" s="3247">
        <v>36.21</v>
      </c>
      <c r="F109" s="3243"/>
      <c r="G109" s="3245"/>
      <c r="H109" s="3246"/>
    </row>
    <row r="110" spans="1:8" ht="18" customHeight="1">
      <c r="A110" s="3249" t="s">
        <v>3289</v>
      </c>
      <c r="B110" s="3247">
        <v>50.97</v>
      </c>
      <c r="C110" s="3248">
        <v>13.25</v>
      </c>
      <c r="D110" s="3244"/>
      <c r="E110" s="3247">
        <v>37.72</v>
      </c>
      <c r="F110" s="3243"/>
      <c r="G110" s="3245"/>
      <c r="H110" s="3246"/>
    </row>
    <row r="111" spans="1:8" ht="18" customHeight="1">
      <c r="A111" s="3249" t="s">
        <v>3290</v>
      </c>
      <c r="B111" s="3247">
        <v>50.97</v>
      </c>
      <c r="C111" s="3248">
        <v>13.25</v>
      </c>
      <c r="D111" s="3244"/>
      <c r="E111" s="3247">
        <v>37.72</v>
      </c>
      <c r="F111" s="3243"/>
      <c r="G111" s="3245"/>
      <c r="H111" s="3246"/>
    </row>
    <row r="112" spans="1:8" ht="18" customHeight="1">
      <c r="A112" s="3249" t="s">
        <v>3291</v>
      </c>
      <c r="B112" s="3247">
        <v>48.93</v>
      </c>
      <c r="C112" s="3248">
        <v>12.72</v>
      </c>
      <c r="D112" s="3244"/>
      <c r="E112" s="3247">
        <v>36.21</v>
      </c>
      <c r="F112" s="3243"/>
      <c r="G112" s="3245"/>
      <c r="H112" s="3246"/>
    </row>
    <row r="113" spans="1:8" ht="18" customHeight="1">
      <c r="A113" s="3249" t="s">
        <v>3292</v>
      </c>
      <c r="B113" s="3247">
        <v>50.97</v>
      </c>
      <c r="C113" s="3248">
        <v>13.25</v>
      </c>
      <c r="D113" s="3244"/>
      <c r="E113" s="3247">
        <v>37.72</v>
      </c>
      <c r="F113" s="3243"/>
      <c r="G113" s="3245"/>
      <c r="H113" s="3246"/>
    </row>
    <row r="114" spans="1:8" ht="18" customHeight="1">
      <c r="A114" s="3249" t="s">
        <v>3293</v>
      </c>
      <c r="B114" s="3247">
        <v>50.97</v>
      </c>
      <c r="C114" s="3248">
        <v>13.25</v>
      </c>
      <c r="D114" s="3244"/>
      <c r="E114" s="3247">
        <v>37.72</v>
      </c>
      <c r="F114" s="3243"/>
      <c r="G114" s="3245"/>
      <c r="H114" s="3246"/>
    </row>
    <row r="115" spans="1:8" ht="18" customHeight="1">
      <c r="A115" s="3242" t="s">
        <v>3294</v>
      </c>
      <c r="B115" s="3247">
        <v>48.93</v>
      </c>
      <c r="C115" s="3248">
        <v>12.72</v>
      </c>
      <c r="D115" s="3244"/>
      <c r="E115" s="3247">
        <v>36.21</v>
      </c>
      <c r="F115" s="3243"/>
      <c r="G115" s="3245"/>
      <c r="H115" s="3246"/>
    </row>
    <row r="116" spans="1:8" ht="18" customHeight="1">
      <c r="A116" s="3242" t="s">
        <v>3295</v>
      </c>
      <c r="B116" s="3247">
        <v>50.97</v>
      </c>
      <c r="C116" s="3248">
        <v>13.25</v>
      </c>
      <c r="D116" s="3244"/>
      <c r="E116" s="3247">
        <v>37.72</v>
      </c>
      <c r="F116" s="3243"/>
      <c r="G116" s="3245"/>
      <c r="H116" s="3246"/>
    </row>
    <row r="117" spans="1:8" ht="18" customHeight="1">
      <c r="A117" s="3242" t="s">
        <v>3296</v>
      </c>
      <c r="B117" s="3247">
        <v>49.97</v>
      </c>
      <c r="C117" s="3248">
        <v>12.99</v>
      </c>
      <c r="D117" s="3244"/>
      <c r="E117" s="3247">
        <v>36.979999999999997</v>
      </c>
      <c r="F117" s="3243"/>
      <c r="G117" s="3245"/>
      <c r="H117" s="3246"/>
    </row>
    <row r="118" spans="1:8" ht="18" customHeight="1">
      <c r="A118" s="3242" t="s">
        <v>3297</v>
      </c>
      <c r="B118" s="3247">
        <v>47.77</v>
      </c>
      <c r="C118" s="3248">
        <v>12.42</v>
      </c>
      <c r="D118" s="3244"/>
      <c r="E118" s="3247">
        <v>35.35</v>
      </c>
      <c r="F118" s="3243"/>
      <c r="G118" s="3245"/>
      <c r="H118" s="3246"/>
    </row>
    <row r="119" spans="1:8" ht="18" customHeight="1">
      <c r="A119" s="3242" t="s">
        <v>3298</v>
      </c>
      <c r="B119" s="3247">
        <v>51.7</v>
      </c>
      <c r="C119" s="3248">
        <v>13.44</v>
      </c>
      <c r="D119" s="3244"/>
      <c r="E119" s="3247">
        <v>38.26</v>
      </c>
      <c r="F119" s="3243"/>
      <c r="G119" s="3245"/>
      <c r="H119" s="3246"/>
    </row>
    <row r="120" spans="1:8" ht="18" customHeight="1">
      <c r="A120" s="3242" t="s">
        <v>3299</v>
      </c>
      <c r="B120" s="3247">
        <v>51.7</v>
      </c>
      <c r="C120" s="3248">
        <v>13.44</v>
      </c>
      <c r="D120" s="3244"/>
      <c r="E120" s="3247">
        <v>38.26</v>
      </c>
      <c r="F120" s="3243"/>
      <c r="G120" s="3245"/>
      <c r="H120" s="3246"/>
    </row>
    <row r="121" spans="1:8" ht="18" customHeight="1">
      <c r="A121" s="3242" t="s">
        <v>3300</v>
      </c>
      <c r="B121" s="3247">
        <v>50.97</v>
      </c>
      <c r="C121" s="3248">
        <v>13.25</v>
      </c>
      <c r="D121" s="3244"/>
      <c r="E121" s="3247">
        <v>37.72</v>
      </c>
      <c r="F121" s="3243"/>
      <c r="G121" s="3245"/>
      <c r="H121" s="3246"/>
    </row>
    <row r="122" spans="1:8" ht="18" customHeight="1">
      <c r="A122" s="3242" t="s">
        <v>3301</v>
      </c>
      <c r="B122" s="3247">
        <v>48.93</v>
      </c>
      <c r="C122" s="3248">
        <v>12.72</v>
      </c>
      <c r="D122" s="3244"/>
      <c r="E122" s="3247">
        <v>36.21</v>
      </c>
      <c r="F122" s="3243"/>
      <c r="G122" s="3245"/>
      <c r="H122" s="3246"/>
    </row>
    <row r="123" spans="1:8" ht="18" customHeight="1">
      <c r="A123" s="3242" t="s">
        <v>3302</v>
      </c>
      <c r="B123" s="3247">
        <v>50.97</v>
      </c>
      <c r="C123" s="3248">
        <v>13.25</v>
      </c>
      <c r="D123" s="3244"/>
      <c r="E123" s="3247">
        <v>37.72</v>
      </c>
      <c r="F123" s="3243"/>
      <c r="G123" s="3245"/>
      <c r="H123" s="3246"/>
    </row>
    <row r="124" spans="1:8" ht="18" customHeight="1">
      <c r="A124" s="3242" t="s">
        <v>3303</v>
      </c>
      <c r="B124" s="3247"/>
      <c r="C124" s="3248"/>
      <c r="D124" s="3244"/>
      <c r="E124" s="3247"/>
      <c r="F124" s="3243"/>
      <c r="G124" s="3245"/>
      <c r="H124" s="3246"/>
    </row>
    <row r="125" spans="1:8">
      <c r="A125" s="3242" t="s">
        <v>3304</v>
      </c>
      <c r="B125" s="3247">
        <v>45</v>
      </c>
      <c r="C125" s="3243"/>
      <c r="D125" s="3243"/>
      <c r="E125" s="3243"/>
      <c r="F125" s="3245" t="s">
        <v>3305</v>
      </c>
      <c r="G125" s="3248"/>
    </row>
    <row r="126" spans="1:8">
      <c r="A126" s="3242" t="s">
        <v>3306</v>
      </c>
      <c r="B126" s="3247">
        <v>44.69</v>
      </c>
      <c r="C126" s="3243"/>
      <c r="D126" s="3243"/>
      <c r="E126" s="3243"/>
      <c r="F126" s="3245" t="s">
        <v>3305</v>
      </c>
      <c r="G126" s="3248"/>
    </row>
    <row r="127" spans="1:8">
      <c r="A127" s="3242" t="s">
        <v>3307</v>
      </c>
      <c r="B127" s="3247">
        <v>44.53</v>
      </c>
      <c r="C127" s="3243"/>
      <c r="D127" s="3243"/>
      <c r="E127" s="3243"/>
      <c r="F127" s="3245" t="s">
        <v>3305</v>
      </c>
      <c r="G127" s="3248"/>
    </row>
    <row r="128" spans="1:8">
      <c r="A128" s="3242" t="s">
        <v>3308</v>
      </c>
      <c r="B128" s="3247">
        <v>24.84</v>
      </c>
      <c r="C128" s="3243"/>
      <c r="D128" s="3243"/>
      <c r="E128" s="3243"/>
      <c r="F128" s="3245" t="s">
        <v>3305</v>
      </c>
      <c r="G128" s="3248"/>
    </row>
    <row r="129" spans="1:8">
      <c r="A129" s="3242" t="s">
        <v>3309</v>
      </c>
      <c r="B129" s="3247">
        <v>28.89</v>
      </c>
      <c r="C129" s="3243"/>
      <c r="D129" s="3243"/>
      <c r="E129" s="3243"/>
      <c r="F129" s="3245" t="s">
        <v>3305</v>
      </c>
      <c r="G129" s="3248"/>
    </row>
    <row r="130" spans="1:8">
      <c r="A130" s="3242" t="s">
        <v>3310</v>
      </c>
      <c r="B130" s="3247">
        <v>82.21</v>
      </c>
      <c r="C130" s="3243"/>
      <c r="D130" s="3243"/>
      <c r="E130" s="3243"/>
      <c r="F130" s="3245" t="s">
        <v>3305</v>
      </c>
      <c r="G130" s="3248"/>
    </row>
    <row r="131" spans="1:8">
      <c r="A131" s="3242" t="s">
        <v>3311</v>
      </c>
      <c r="B131" s="3247">
        <v>47.13</v>
      </c>
      <c r="C131" s="3243"/>
      <c r="D131" s="3243"/>
      <c r="E131" s="3243"/>
      <c r="F131" s="3245" t="s">
        <v>3305</v>
      </c>
      <c r="G131" s="3248"/>
    </row>
    <row r="132" spans="1:8">
      <c r="A132" s="3242" t="s">
        <v>3312</v>
      </c>
      <c r="B132" s="3247">
        <v>26.14</v>
      </c>
      <c r="C132" s="3243"/>
      <c r="D132" s="3243"/>
      <c r="E132" s="3243"/>
      <c r="F132" s="3245" t="s">
        <v>3305</v>
      </c>
      <c r="G132" s="3248"/>
    </row>
    <row r="133" spans="1:8">
      <c r="A133" s="3242" t="s">
        <v>3313</v>
      </c>
      <c r="B133" s="3247">
        <v>50.68</v>
      </c>
      <c r="C133" s="3243"/>
      <c r="D133" s="3243"/>
      <c r="E133" s="3243"/>
      <c r="F133" s="3245" t="s">
        <v>3305</v>
      </c>
      <c r="G133" s="3248"/>
    </row>
    <row r="134" spans="1:8">
      <c r="A134" s="3242" t="s">
        <v>3314</v>
      </c>
      <c r="B134" s="3247">
        <v>47.57</v>
      </c>
      <c r="C134" s="3243"/>
      <c r="D134" s="3243"/>
      <c r="E134" s="3243"/>
      <c r="F134" s="3245" t="s">
        <v>3305</v>
      </c>
      <c r="G134" s="3248"/>
    </row>
    <row r="135" spans="1:8">
      <c r="A135" s="3242" t="s">
        <v>3315</v>
      </c>
      <c r="B135" s="3247">
        <v>45.82</v>
      </c>
      <c r="C135" s="3243"/>
      <c r="D135" s="3243"/>
      <c r="E135" s="3243"/>
      <c r="F135" s="3245" t="s">
        <v>3305</v>
      </c>
      <c r="G135" s="3248"/>
    </row>
    <row r="136" spans="1:8">
      <c r="A136" s="3242" t="s">
        <v>3316</v>
      </c>
      <c r="B136" s="3247">
        <v>43.34</v>
      </c>
      <c r="C136" s="3243"/>
      <c r="D136" s="3243"/>
      <c r="E136" s="3243"/>
      <c r="F136" s="3245" t="s">
        <v>3305</v>
      </c>
      <c r="G136" s="3248"/>
    </row>
    <row r="137" spans="1:8">
      <c r="A137" s="3242" t="s">
        <v>3317</v>
      </c>
      <c r="B137" s="3247">
        <v>9.15</v>
      </c>
      <c r="C137" s="3243"/>
      <c r="D137" s="3243"/>
      <c r="E137" s="3243"/>
      <c r="F137" s="3245" t="s">
        <v>3305</v>
      </c>
      <c r="G137" s="3248"/>
    </row>
    <row r="138" spans="1:8" ht="18" customHeight="1">
      <c r="A138" s="3242"/>
      <c r="B138" s="3247"/>
      <c r="C138" s="3248"/>
      <c r="D138" s="3244"/>
      <c r="E138" s="3247"/>
      <c r="F138" s="3243"/>
      <c r="G138" s="3245"/>
      <c r="H138" s="3246"/>
    </row>
    <row r="139" spans="1:8" ht="18" customHeight="1">
      <c r="A139" s="3242" t="s">
        <v>3318</v>
      </c>
      <c r="B139" s="3243"/>
      <c r="C139" s="3244"/>
      <c r="D139" s="3244"/>
      <c r="E139" s="3243"/>
      <c r="F139" s="3243"/>
      <c r="G139" s="3245"/>
      <c r="H139" s="3246"/>
    </row>
    <row r="140" spans="1:8" ht="18" customHeight="1">
      <c r="A140" s="3242" t="s">
        <v>3319</v>
      </c>
      <c r="B140" s="3247">
        <v>45.68</v>
      </c>
      <c r="C140" s="3248">
        <v>45.68</v>
      </c>
      <c r="D140" s="3244"/>
      <c r="E140" s="3243"/>
      <c r="F140" s="3243"/>
      <c r="G140" s="3245"/>
      <c r="H140" s="3246"/>
    </row>
    <row r="141" spans="1:8" ht="18" customHeight="1">
      <c r="A141" s="3242" t="s">
        <v>3320</v>
      </c>
      <c r="B141" s="3247">
        <v>62.55</v>
      </c>
      <c r="C141" s="3248">
        <v>62.55</v>
      </c>
      <c r="D141" s="3244"/>
      <c r="E141" s="3243"/>
      <c r="F141" s="3243"/>
      <c r="G141" s="3245"/>
      <c r="H141" s="3246"/>
    </row>
    <row r="142" spans="1:8" ht="18" customHeight="1">
      <c r="A142" s="3242" t="s">
        <v>3321</v>
      </c>
      <c r="B142" s="3247">
        <v>38.130000000000003</v>
      </c>
      <c r="C142" s="3248">
        <v>38.130000000000003</v>
      </c>
      <c r="D142" s="3244"/>
      <c r="E142" s="3243"/>
      <c r="F142" s="3243"/>
      <c r="G142" s="3245"/>
      <c r="H142" s="3246"/>
    </row>
    <row r="143" spans="1:8" ht="18" customHeight="1">
      <c r="A143" s="3242" t="s">
        <v>3322</v>
      </c>
      <c r="B143" s="3247">
        <v>44.53</v>
      </c>
      <c r="C143" s="3248">
        <v>44.53</v>
      </c>
      <c r="D143" s="3244"/>
      <c r="E143" s="3243"/>
      <c r="F143" s="3243"/>
      <c r="G143" s="3245"/>
      <c r="H143" s="3246"/>
    </row>
    <row r="144" spans="1:8" ht="18" customHeight="1">
      <c r="A144" s="3242" t="s">
        <v>3323</v>
      </c>
      <c r="B144" s="3247">
        <v>24.84</v>
      </c>
      <c r="C144" s="3248">
        <v>24.84</v>
      </c>
      <c r="D144" s="3244"/>
      <c r="E144" s="3243"/>
      <c r="F144" s="3243"/>
      <c r="G144" s="3245"/>
      <c r="H144" s="3246"/>
    </row>
    <row r="145" spans="1:8" ht="18" customHeight="1">
      <c r="A145" s="3242" t="s">
        <v>3324</v>
      </c>
      <c r="B145" s="3247">
        <v>32.67</v>
      </c>
      <c r="C145" s="3248">
        <v>32.67</v>
      </c>
      <c r="D145" s="3244"/>
      <c r="E145" s="3243"/>
      <c r="F145" s="3243"/>
      <c r="G145" s="3245"/>
      <c r="H145" s="3246"/>
    </row>
    <row r="146" spans="1:8" ht="18" customHeight="1">
      <c r="A146" s="3242" t="s">
        <v>3325</v>
      </c>
      <c r="B146" s="3247">
        <v>82.21</v>
      </c>
      <c r="C146" s="3248">
        <v>82.21</v>
      </c>
      <c r="D146" s="3244"/>
      <c r="E146" s="3243"/>
      <c r="F146" s="3243"/>
      <c r="G146" s="3245"/>
      <c r="H146" s="3246"/>
    </row>
    <row r="147" spans="1:8" ht="18" customHeight="1">
      <c r="A147" s="3242" t="s">
        <v>3326</v>
      </c>
      <c r="B147" s="3247">
        <v>47.13</v>
      </c>
      <c r="C147" s="3248">
        <v>47.13</v>
      </c>
      <c r="D147" s="3244"/>
      <c r="E147" s="3243"/>
      <c r="F147" s="3243"/>
      <c r="G147" s="3245"/>
      <c r="H147" s="3246"/>
    </row>
    <row r="148" spans="1:8" ht="18" customHeight="1">
      <c r="A148" s="3242" t="s">
        <v>3327</v>
      </c>
      <c r="B148" s="3247">
        <v>50.68</v>
      </c>
      <c r="C148" s="3248">
        <v>50.68</v>
      </c>
      <c r="D148" s="3244"/>
      <c r="E148" s="3243"/>
      <c r="F148" s="3243"/>
      <c r="G148" s="3245"/>
      <c r="H148" s="3246"/>
    </row>
    <row r="149" spans="1:8" ht="18" customHeight="1">
      <c r="A149" s="3242" t="s">
        <v>3328</v>
      </c>
      <c r="B149" s="3247">
        <v>9.15</v>
      </c>
      <c r="C149" s="3248">
        <v>9.15</v>
      </c>
      <c r="D149" s="3244"/>
      <c r="E149" s="3243"/>
      <c r="F149" s="3243"/>
      <c r="G149" s="3245"/>
      <c r="H149" s="3246"/>
    </row>
    <row r="150" spans="1:8" ht="18" customHeight="1">
      <c r="A150" s="3242" t="s">
        <v>3329</v>
      </c>
      <c r="B150" s="3247">
        <v>47.57</v>
      </c>
      <c r="C150" s="3248">
        <v>47.57</v>
      </c>
      <c r="D150" s="3238"/>
      <c r="E150" s="3243"/>
      <c r="F150" s="3243"/>
      <c r="G150" s="3245"/>
      <c r="H150" s="3246"/>
    </row>
    <row r="151" spans="1:8" ht="18" customHeight="1">
      <c r="A151" s="3242" t="s">
        <v>3330</v>
      </c>
      <c r="B151" s="3247">
        <v>45.82</v>
      </c>
      <c r="C151" s="3248">
        <v>45.82</v>
      </c>
      <c r="D151" s="3244"/>
      <c r="E151" s="3243"/>
      <c r="F151" s="3243"/>
      <c r="G151" s="3245"/>
      <c r="H151" s="3246"/>
    </row>
    <row r="152" spans="1:8" ht="18" customHeight="1">
      <c r="A152" s="3242" t="s">
        <v>3331</v>
      </c>
      <c r="B152" s="3247">
        <v>23.82</v>
      </c>
      <c r="C152" s="3248">
        <v>23.82</v>
      </c>
      <c r="D152" s="3244"/>
      <c r="E152" s="3243"/>
      <c r="F152" s="3243"/>
      <c r="G152" s="3245"/>
      <c r="H152" s="3246"/>
    </row>
    <row r="153" spans="1:8" ht="18" customHeight="1">
      <c r="A153" s="3242" t="s">
        <v>3332</v>
      </c>
      <c r="B153" s="3247">
        <v>49.97</v>
      </c>
      <c r="C153" s="3248">
        <v>12.99</v>
      </c>
      <c r="D153" s="3244"/>
      <c r="E153" s="3247">
        <v>36.979999999999997</v>
      </c>
      <c r="F153" s="3243"/>
      <c r="G153" s="3245"/>
      <c r="H153" s="3246"/>
    </row>
    <row r="154" spans="1:8" ht="18" customHeight="1">
      <c r="A154" s="3242" t="s">
        <v>3333</v>
      </c>
      <c r="B154" s="3247">
        <v>49.97</v>
      </c>
      <c r="C154" s="3248">
        <v>12.99</v>
      </c>
      <c r="D154" s="3244"/>
      <c r="E154" s="3247">
        <v>36.979999999999997</v>
      </c>
      <c r="F154" s="3243"/>
      <c r="G154" s="3245"/>
      <c r="H154" s="3246"/>
    </row>
    <row r="155" spans="1:8" ht="18" customHeight="1">
      <c r="A155" s="3242" t="s">
        <v>3334</v>
      </c>
      <c r="B155" s="3247">
        <v>49.97</v>
      </c>
      <c r="C155" s="3248">
        <v>12.99</v>
      </c>
      <c r="D155" s="3244"/>
      <c r="E155" s="3247">
        <v>36.979999999999997</v>
      </c>
      <c r="F155" s="3243"/>
      <c r="G155" s="3245"/>
      <c r="H155" s="3246"/>
    </row>
    <row r="156" spans="1:8" ht="18" customHeight="1">
      <c r="A156" s="3242" t="s">
        <v>3335</v>
      </c>
      <c r="B156" s="3247">
        <v>49.97</v>
      </c>
      <c r="C156" s="3248">
        <v>12.99</v>
      </c>
      <c r="D156" s="3238"/>
      <c r="E156" s="3247">
        <v>36.979999999999997</v>
      </c>
      <c r="F156" s="3243"/>
      <c r="G156" s="3245"/>
      <c r="H156" s="3246"/>
    </row>
    <row r="157" spans="1:8" ht="18" customHeight="1">
      <c r="A157" s="3242" t="s">
        <v>3336</v>
      </c>
      <c r="B157" s="3247">
        <v>50.97</v>
      </c>
      <c r="C157" s="3248">
        <v>13.25</v>
      </c>
      <c r="D157" s="3238"/>
      <c r="E157" s="3247">
        <v>37.72</v>
      </c>
      <c r="F157" s="3243"/>
      <c r="G157" s="3245"/>
      <c r="H157" s="3246"/>
    </row>
    <row r="158" spans="1:8" ht="18" customHeight="1">
      <c r="A158" s="3249" t="s">
        <v>3337</v>
      </c>
      <c r="B158" s="3247">
        <v>48.93</v>
      </c>
      <c r="C158" s="3248">
        <v>12.72</v>
      </c>
      <c r="D158" s="3244"/>
      <c r="E158" s="3247">
        <v>36.21</v>
      </c>
      <c r="F158" s="3243"/>
      <c r="G158" s="3245"/>
      <c r="H158" s="3246"/>
    </row>
    <row r="159" spans="1:8" ht="18" customHeight="1">
      <c r="A159" s="3249" t="s">
        <v>3338</v>
      </c>
      <c r="B159" s="3247">
        <v>50.97</v>
      </c>
      <c r="C159" s="3248">
        <v>13.25</v>
      </c>
      <c r="D159" s="3244"/>
      <c r="E159" s="3247">
        <v>37.72</v>
      </c>
      <c r="F159" s="3243"/>
      <c r="G159" s="3245"/>
      <c r="H159" s="3246"/>
    </row>
    <row r="160" spans="1:8" ht="18" customHeight="1">
      <c r="A160" s="3249" t="s">
        <v>3339</v>
      </c>
      <c r="B160" s="3247">
        <v>50.89</v>
      </c>
      <c r="C160" s="3248">
        <v>13.23</v>
      </c>
      <c r="D160" s="3244"/>
      <c r="E160" s="3247">
        <v>37.659999999999997</v>
      </c>
      <c r="F160" s="3243"/>
      <c r="G160" s="3245"/>
      <c r="H160" s="3246"/>
    </row>
    <row r="161" spans="1:8" ht="18" customHeight="1">
      <c r="A161" s="3249" t="s">
        <v>3340</v>
      </c>
      <c r="B161" s="3247">
        <v>50.97</v>
      </c>
      <c r="C161" s="3248">
        <v>13.25</v>
      </c>
      <c r="D161" s="3244"/>
      <c r="E161" s="3247">
        <v>37.72</v>
      </c>
      <c r="F161" s="3243"/>
      <c r="G161" s="3245"/>
      <c r="H161" s="3246"/>
    </row>
    <row r="162" spans="1:8" ht="18" customHeight="1">
      <c r="A162" s="3249" t="s">
        <v>3341</v>
      </c>
      <c r="B162" s="3247">
        <v>48.93</v>
      </c>
      <c r="C162" s="3248">
        <v>12.72</v>
      </c>
      <c r="D162" s="3244"/>
      <c r="E162" s="3247">
        <v>36.21</v>
      </c>
      <c r="F162" s="3243"/>
      <c r="G162" s="3245"/>
      <c r="H162" s="3246"/>
    </row>
    <row r="163" spans="1:8" ht="18" customHeight="1">
      <c r="A163" s="3242" t="s">
        <v>3342</v>
      </c>
      <c r="B163" s="3247">
        <v>50.97</v>
      </c>
      <c r="C163" s="3248">
        <v>13.25</v>
      </c>
      <c r="D163" s="3244"/>
      <c r="E163" s="3247">
        <v>37.72</v>
      </c>
      <c r="F163" s="3243"/>
      <c r="G163" s="3245"/>
      <c r="H163" s="3246"/>
    </row>
    <row r="164" spans="1:8" ht="18" customHeight="1">
      <c r="A164" s="3242" t="s">
        <v>3343</v>
      </c>
      <c r="B164" s="3247">
        <v>50.97</v>
      </c>
      <c r="C164" s="3248">
        <v>13.25</v>
      </c>
      <c r="D164" s="3244"/>
      <c r="E164" s="3247">
        <v>37.72</v>
      </c>
      <c r="F164" s="3243"/>
      <c r="G164" s="3245"/>
      <c r="H164" s="3246"/>
    </row>
    <row r="165" spans="1:8" ht="18" customHeight="1">
      <c r="A165" s="3242" t="s">
        <v>3344</v>
      </c>
      <c r="B165" s="3247">
        <v>48.93</v>
      </c>
      <c r="C165" s="3248">
        <v>12.72</v>
      </c>
      <c r="D165" s="3244"/>
      <c r="E165" s="3247">
        <v>36.21</v>
      </c>
      <c r="F165" s="3243"/>
      <c r="G165" s="3245"/>
      <c r="H165" s="3246"/>
    </row>
    <row r="166" spans="1:8" ht="18" customHeight="1">
      <c r="A166" s="3242" t="s">
        <v>3345</v>
      </c>
      <c r="B166" s="3247">
        <v>50.97</v>
      </c>
      <c r="C166" s="3248">
        <v>13.25</v>
      </c>
      <c r="D166" s="3244"/>
      <c r="E166" s="3247">
        <v>37.72</v>
      </c>
      <c r="F166" s="3243"/>
      <c r="G166" s="3245"/>
      <c r="H166" s="3246"/>
    </row>
    <row r="167" spans="1:8" ht="18" customHeight="1">
      <c r="A167" s="3242" t="s">
        <v>3346</v>
      </c>
      <c r="B167" s="3247">
        <v>55.04</v>
      </c>
      <c r="C167" s="3248">
        <v>14.31</v>
      </c>
      <c r="D167" s="3244"/>
      <c r="E167" s="3247">
        <v>40.729999999999997</v>
      </c>
      <c r="F167" s="3243"/>
      <c r="G167" s="3245"/>
      <c r="H167" s="3246"/>
    </row>
    <row r="168" spans="1:8" ht="18" customHeight="1">
      <c r="A168" s="3242" t="s">
        <v>3347</v>
      </c>
      <c r="B168" s="3247">
        <v>49.97</v>
      </c>
      <c r="C168" s="3248">
        <v>12.99</v>
      </c>
      <c r="D168" s="3244"/>
      <c r="E168" s="3247">
        <v>36.979999999999997</v>
      </c>
      <c r="F168" s="3243"/>
      <c r="G168" s="3245"/>
      <c r="H168" s="3246"/>
    </row>
    <row r="169" spans="1:8" ht="18" customHeight="1">
      <c r="A169" s="3242" t="s">
        <v>3348</v>
      </c>
      <c r="B169" s="3247">
        <v>49.97</v>
      </c>
      <c r="C169" s="3248">
        <v>12.99</v>
      </c>
      <c r="D169" s="3244"/>
      <c r="E169" s="3247">
        <v>36.979999999999997</v>
      </c>
      <c r="F169" s="3243"/>
      <c r="G169" s="3245"/>
      <c r="H169" s="3246"/>
    </row>
    <row r="170" spans="1:8" ht="18" customHeight="1">
      <c r="A170" s="3242" t="s">
        <v>3349</v>
      </c>
      <c r="B170" s="3247">
        <v>52.01</v>
      </c>
      <c r="C170" s="3248">
        <v>13.52</v>
      </c>
      <c r="D170" s="3244"/>
      <c r="E170" s="3247">
        <v>38.49</v>
      </c>
      <c r="F170" s="3243"/>
      <c r="G170" s="3245"/>
      <c r="H170" s="3246"/>
    </row>
    <row r="171" spans="1:8" ht="18" customHeight="1">
      <c r="A171" s="3242" t="s">
        <v>3350</v>
      </c>
      <c r="B171" s="3247">
        <v>52.01</v>
      </c>
      <c r="C171" s="3248">
        <v>13.52</v>
      </c>
      <c r="D171" s="3244"/>
      <c r="E171" s="3247">
        <v>38.49</v>
      </c>
      <c r="F171" s="3243"/>
      <c r="G171" s="3245"/>
      <c r="H171" s="3246"/>
    </row>
    <row r="172" spans="1:8" ht="18" customHeight="1">
      <c r="A172" s="3242" t="s">
        <v>3351</v>
      </c>
      <c r="B172" s="3247">
        <v>55.39</v>
      </c>
      <c r="C172" s="3248">
        <v>14.4</v>
      </c>
      <c r="D172" s="3244"/>
      <c r="E172" s="3247">
        <v>40.99</v>
      </c>
      <c r="F172" s="3243"/>
      <c r="G172" s="3245"/>
      <c r="H172" s="3246"/>
    </row>
    <row r="173" spans="1:8" ht="18" customHeight="1">
      <c r="A173" s="3242" t="s">
        <v>3352</v>
      </c>
      <c r="B173" s="3247">
        <v>55.39</v>
      </c>
      <c r="C173" s="3248">
        <v>14.4</v>
      </c>
      <c r="D173" s="3244"/>
      <c r="E173" s="3247">
        <v>40.99</v>
      </c>
      <c r="F173" s="3243"/>
      <c r="G173" s="3245"/>
      <c r="H173" s="3246"/>
    </row>
    <row r="174" spans="1:8" ht="18" customHeight="1">
      <c r="A174" s="3242" t="s">
        <v>3353</v>
      </c>
      <c r="B174" s="3247">
        <v>55.39</v>
      </c>
      <c r="C174" s="3248">
        <v>14.4</v>
      </c>
      <c r="D174" s="3244"/>
      <c r="E174" s="3247">
        <v>40.99</v>
      </c>
      <c r="F174" s="3243"/>
      <c r="G174" s="3245"/>
      <c r="H174" s="3246"/>
    </row>
    <row r="175" spans="1:8" ht="18" customHeight="1">
      <c r="A175" s="3242" t="s">
        <v>3354</v>
      </c>
      <c r="B175" s="3247">
        <v>48.08</v>
      </c>
      <c r="C175" s="3248">
        <v>12.5</v>
      </c>
      <c r="D175" s="3244"/>
      <c r="E175" s="3247">
        <v>35.58</v>
      </c>
      <c r="F175" s="3243"/>
      <c r="G175" s="3245"/>
      <c r="H175" s="3246"/>
    </row>
    <row r="176" spans="1:8" ht="18" customHeight="1">
      <c r="A176" s="3242" t="s">
        <v>3355</v>
      </c>
      <c r="B176" s="3247">
        <v>46.16</v>
      </c>
      <c r="C176" s="3248">
        <v>12</v>
      </c>
      <c r="D176" s="3244"/>
      <c r="E176" s="3247">
        <v>34.159999999999997</v>
      </c>
      <c r="F176" s="3243"/>
      <c r="G176" s="3245"/>
      <c r="H176" s="3246"/>
    </row>
    <row r="177" spans="1:8" ht="18" customHeight="1">
      <c r="A177" s="3242" t="s">
        <v>3356</v>
      </c>
      <c r="B177" s="3247">
        <v>48.08</v>
      </c>
      <c r="C177" s="3248">
        <v>12.5</v>
      </c>
      <c r="D177" s="3244"/>
      <c r="E177" s="3247">
        <v>35.58</v>
      </c>
      <c r="F177" s="3243"/>
      <c r="G177" s="3245"/>
      <c r="H177" s="3246"/>
    </row>
    <row r="178" spans="1:8" ht="18" customHeight="1">
      <c r="A178" s="3242" t="s">
        <v>3357</v>
      </c>
      <c r="B178" s="3247">
        <v>48.08</v>
      </c>
      <c r="C178" s="3248">
        <v>12.5</v>
      </c>
      <c r="D178" s="3244"/>
      <c r="E178" s="3247">
        <v>35.58</v>
      </c>
      <c r="F178" s="3243"/>
      <c r="G178" s="3245"/>
      <c r="H178" s="3246"/>
    </row>
    <row r="179" spans="1:8" ht="18" customHeight="1">
      <c r="A179" s="3242" t="s">
        <v>3358</v>
      </c>
      <c r="B179" s="3247">
        <v>46.16</v>
      </c>
      <c r="C179" s="3248">
        <v>12</v>
      </c>
      <c r="D179" s="3244"/>
      <c r="E179" s="3247">
        <v>34.159999999999997</v>
      </c>
      <c r="F179" s="3243"/>
      <c r="G179" s="3245"/>
      <c r="H179" s="3246"/>
    </row>
    <row r="180" spans="1:8" ht="18" customHeight="1">
      <c r="A180" s="3242" t="s">
        <v>3359</v>
      </c>
      <c r="B180" s="3247">
        <v>48.08</v>
      </c>
      <c r="C180" s="3248">
        <v>12.5</v>
      </c>
      <c r="D180" s="3238"/>
      <c r="E180" s="3247">
        <v>35.58</v>
      </c>
      <c r="F180" s="3243"/>
      <c r="G180" s="3245"/>
      <c r="H180" s="3246"/>
    </row>
    <row r="181" spans="1:8" ht="18" customHeight="1">
      <c r="A181" s="3242" t="s">
        <v>3360</v>
      </c>
      <c r="B181" s="3247">
        <v>50.97</v>
      </c>
      <c r="C181" s="3248">
        <v>13.25</v>
      </c>
      <c r="D181" s="3244"/>
      <c r="E181" s="3247">
        <v>37.72</v>
      </c>
      <c r="F181" s="3243"/>
      <c r="G181" s="3245"/>
      <c r="H181" s="3246"/>
    </row>
    <row r="182" spans="1:8" ht="18" customHeight="1">
      <c r="A182" s="3242" t="s">
        <v>3361</v>
      </c>
      <c r="B182" s="3247">
        <v>48.93</v>
      </c>
      <c r="C182" s="3248">
        <v>12.72</v>
      </c>
      <c r="D182" s="3244"/>
      <c r="E182" s="3247">
        <v>36.21</v>
      </c>
      <c r="F182" s="3243"/>
      <c r="G182" s="3245"/>
      <c r="H182" s="3246"/>
    </row>
    <row r="183" spans="1:8" ht="18" customHeight="1">
      <c r="A183" s="3242" t="s">
        <v>3362</v>
      </c>
      <c r="B183" s="3247">
        <v>50.97</v>
      </c>
      <c r="C183" s="3248">
        <v>13.25</v>
      </c>
      <c r="D183" s="3244"/>
      <c r="E183" s="3247">
        <v>37.72</v>
      </c>
      <c r="F183" s="3243"/>
      <c r="G183" s="3245"/>
      <c r="H183" s="3246"/>
    </row>
    <row r="184" spans="1:8" ht="18" customHeight="1">
      <c r="A184" s="3242" t="s">
        <v>3363</v>
      </c>
      <c r="B184" s="3247">
        <v>50.97</v>
      </c>
      <c r="C184" s="3248">
        <v>13.25</v>
      </c>
      <c r="D184" s="3244"/>
      <c r="E184" s="3247">
        <v>37.72</v>
      </c>
      <c r="F184" s="3243"/>
      <c r="G184" s="3245"/>
      <c r="H184" s="3246"/>
    </row>
    <row r="185" spans="1:8" ht="18" customHeight="1">
      <c r="A185" s="3242" t="s">
        <v>3364</v>
      </c>
      <c r="B185" s="3247">
        <v>48.93</v>
      </c>
      <c r="C185" s="3248">
        <v>12.72</v>
      </c>
      <c r="D185" s="3244"/>
      <c r="E185" s="3247">
        <v>36.21</v>
      </c>
      <c r="F185" s="3243"/>
      <c r="G185" s="3245"/>
      <c r="H185" s="3246"/>
    </row>
    <row r="186" spans="1:8" ht="18" customHeight="1">
      <c r="A186" s="3242" t="s">
        <v>3365</v>
      </c>
      <c r="B186" s="3247">
        <v>50.97</v>
      </c>
      <c r="C186" s="3248">
        <v>13.25</v>
      </c>
      <c r="D186" s="3238"/>
      <c r="E186" s="3247">
        <v>37.72</v>
      </c>
      <c r="F186" s="3243"/>
      <c r="G186" s="3245"/>
      <c r="H186" s="3246"/>
    </row>
    <row r="187" spans="1:8" ht="18" customHeight="1">
      <c r="A187" s="3242" t="s">
        <v>3366</v>
      </c>
      <c r="B187" s="3247">
        <v>51.7</v>
      </c>
      <c r="C187" s="3248">
        <v>13.44</v>
      </c>
      <c r="D187" s="3238"/>
      <c r="E187" s="3247">
        <v>38.26</v>
      </c>
      <c r="F187" s="3243"/>
      <c r="G187" s="3245"/>
      <c r="H187" s="3246"/>
    </row>
    <row r="188" spans="1:8" ht="18" customHeight="1">
      <c r="A188" s="3249" t="s">
        <v>3367</v>
      </c>
      <c r="B188" s="3247">
        <v>53.01</v>
      </c>
      <c r="C188" s="3248">
        <v>13.78</v>
      </c>
      <c r="D188" s="3244"/>
      <c r="E188" s="3247">
        <v>39.229999999999997</v>
      </c>
      <c r="F188" s="3243"/>
      <c r="G188" s="3245"/>
      <c r="H188" s="3246"/>
    </row>
    <row r="189" spans="1:8" ht="18" customHeight="1">
      <c r="A189" s="3249" t="s">
        <v>3368</v>
      </c>
      <c r="B189" s="3247">
        <v>50.97</v>
      </c>
      <c r="C189" s="3248">
        <v>13.25</v>
      </c>
      <c r="D189" s="3244"/>
      <c r="E189" s="3247">
        <v>37.72</v>
      </c>
      <c r="F189" s="3243"/>
      <c r="G189" s="3245"/>
      <c r="H189" s="3246"/>
    </row>
    <row r="190" spans="1:8" ht="18" customHeight="1">
      <c r="A190" s="3249" t="s">
        <v>3369</v>
      </c>
      <c r="B190" s="3247">
        <v>48.93</v>
      </c>
      <c r="C190" s="3248">
        <v>12.72</v>
      </c>
      <c r="D190" s="3244"/>
      <c r="E190" s="3247">
        <v>36.21</v>
      </c>
      <c r="F190" s="3243"/>
      <c r="G190" s="3245"/>
      <c r="H190" s="3246"/>
    </row>
    <row r="191" spans="1:8" ht="18" customHeight="1">
      <c r="A191" s="3249" t="s">
        <v>3370</v>
      </c>
      <c r="B191" s="3247">
        <v>50.97</v>
      </c>
      <c r="C191" s="3248">
        <v>13.25</v>
      </c>
      <c r="D191" s="3244"/>
      <c r="E191" s="3247">
        <v>37.72</v>
      </c>
      <c r="F191" s="3243"/>
      <c r="G191" s="3245"/>
      <c r="H191" s="3246"/>
    </row>
    <row r="192" spans="1:8" ht="18" customHeight="1">
      <c r="A192" s="3249" t="s">
        <v>3371</v>
      </c>
      <c r="B192" s="3247">
        <v>50.97</v>
      </c>
      <c r="C192" s="3248">
        <v>13.25</v>
      </c>
      <c r="D192" s="3244"/>
      <c r="E192" s="3247">
        <v>37.72</v>
      </c>
      <c r="F192" s="3243"/>
      <c r="G192" s="3245"/>
      <c r="H192" s="3246"/>
    </row>
    <row r="193" spans="1:8" ht="18" customHeight="1">
      <c r="A193" s="3242" t="s">
        <v>3372</v>
      </c>
      <c r="B193" s="3247">
        <v>48.93</v>
      </c>
      <c r="C193" s="3248">
        <v>12.72</v>
      </c>
      <c r="D193" s="3244"/>
      <c r="E193" s="3247">
        <v>36.21</v>
      </c>
      <c r="F193" s="3243"/>
      <c r="G193" s="3245"/>
      <c r="H193" s="3246"/>
    </row>
    <row r="194" spans="1:8" ht="18" customHeight="1">
      <c r="A194" s="3242" t="s">
        <v>3373</v>
      </c>
      <c r="B194" s="3247">
        <v>50.97</v>
      </c>
      <c r="C194" s="3248">
        <v>13.25</v>
      </c>
      <c r="D194" s="3244"/>
      <c r="E194" s="3247">
        <v>37.72</v>
      </c>
      <c r="F194" s="3243"/>
      <c r="G194" s="3245"/>
      <c r="H194" s="3246"/>
    </row>
    <row r="195" spans="1:8" ht="18" customHeight="1">
      <c r="A195" s="3242" t="s">
        <v>3374</v>
      </c>
      <c r="B195" s="3247">
        <v>50.97</v>
      </c>
      <c r="C195" s="3248">
        <v>13.25</v>
      </c>
      <c r="D195" s="3244"/>
      <c r="E195" s="3247">
        <v>37.72</v>
      </c>
      <c r="F195" s="3243"/>
      <c r="G195" s="3245"/>
      <c r="H195" s="3246"/>
    </row>
    <row r="196" spans="1:8" ht="18" customHeight="1">
      <c r="A196" s="3242" t="s">
        <v>3375</v>
      </c>
      <c r="B196" s="3247">
        <v>48.93</v>
      </c>
      <c r="C196" s="3248">
        <v>12.72</v>
      </c>
      <c r="D196" s="3244"/>
      <c r="E196" s="3247">
        <v>36.21</v>
      </c>
      <c r="F196" s="3243"/>
      <c r="G196" s="3245"/>
      <c r="H196" s="3246"/>
    </row>
    <row r="197" spans="1:8" ht="18" customHeight="1">
      <c r="A197" s="3242" t="s">
        <v>3376</v>
      </c>
      <c r="B197" s="3247">
        <v>50.97</v>
      </c>
      <c r="C197" s="3248">
        <v>13.25</v>
      </c>
      <c r="D197" s="3244"/>
      <c r="E197" s="3247">
        <v>37.72</v>
      </c>
      <c r="F197" s="3243"/>
      <c r="G197" s="3245"/>
      <c r="H197" s="3246"/>
    </row>
    <row r="198" spans="1:8" ht="18" customHeight="1">
      <c r="A198" s="3242" t="s">
        <v>3377</v>
      </c>
      <c r="B198" s="3247">
        <v>50.97</v>
      </c>
      <c r="C198" s="3248">
        <v>13.25</v>
      </c>
      <c r="D198" s="3244"/>
      <c r="E198" s="3247">
        <v>37.72</v>
      </c>
      <c r="F198" s="3243"/>
      <c r="G198" s="3245"/>
      <c r="H198" s="3246"/>
    </row>
    <row r="199" spans="1:8" ht="18" customHeight="1">
      <c r="A199" s="3242" t="s">
        <v>3378</v>
      </c>
      <c r="B199" s="3247">
        <v>48.93</v>
      </c>
      <c r="C199" s="3248">
        <v>12.72</v>
      </c>
      <c r="D199" s="3244"/>
      <c r="E199" s="3247">
        <v>36.21</v>
      </c>
      <c r="F199" s="3243"/>
      <c r="G199" s="3245"/>
      <c r="H199" s="3246"/>
    </row>
    <row r="200" spans="1:8" ht="18" customHeight="1">
      <c r="A200" s="3242" t="s">
        <v>3379</v>
      </c>
      <c r="B200" s="3247">
        <v>50.97</v>
      </c>
      <c r="C200" s="3248">
        <v>13.25</v>
      </c>
      <c r="D200" s="3244"/>
      <c r="E200" s="3247">
        <v>37.72</v>
      </c>
      <c r="F200" s="3243"/>
      <c r="G200" s="3245"/>
      <c r="H200" s="3246"/>
    </row>
    <row r="201" spans="1:8" ht="18" customHeight="1">
      <c r="A201" s="3242" t="s">
        <v>3380</v>
      </c>
      <c r="B201" s="3247">
        <v>50.97</v>
      </c>
      <c r="C201" s="3248">
        <v>13.25</v>
      </c>
      <c r="D201" s="3244"/>
      <c r="E201" s="3247">
        <v>37.72</v>
      </c>
      <c r="F201" s="3243"/>
      <c r="G201" s="3245"/>
      <c r="H201" s="3246"/>
    </row>
    <row r="202" spans="1:8" ht="18" customHeight="1">
      <c r="A202" s="3242" t="s">
        <v>3381</v>
      </c>
      <c r="B202" s="3247">
        <v>48.93</v>
      </c>
      <c r="C202" s="3248">
        <v>12.72</v>
      </c>
      <c r="D202" s="3244"/>
      <c r="E202" s="3247">
        <v>36.21</v>
      </c>
      <c r="F202" s="3243"/>
      <c r="G202" s="3245"/>
      <c r="H202" s="3246"/>
    </row>
    <row r="203" spans="1:8" ht="18" customHeight="1">
      <c r="A203" s="3242" t="s">
        <v>3382</v>
      </c>
      <c r="B203" s="3247">
        <v>50.97</v>
      </c>
      <c r="C203" s="3248">
        <v>13.25</v>
      </c>
      <c r="D203" s="3244"/>
      <c r="E203" s="3247">
        <v>37.72</v>
      </c>
      <c r="F203" s="3243"/>
      <c r="G203" s="3245"/>
      <c r="H203" s="3246"/>
    </row>
    <row r="204" spans="1:8" ht="18" customHeight="1">
      <c r="A204" s="3242" t="s">
        <v>3383</v>
      </c>
      <c r="B204" s="3247">
        <v>50.97</v>
      </c>
      <c r="C204" s="3248">
        <v>13.25</v>
      </c>
      <c r="D204" s="3244"/>
      <c r="E204" s="3247">
        <v>37.72</v>
      </c>
      <c r="F204" s="3243"/>
      <c r="G204" s="3245"/>
      <c r="H204" s="3246"/>
    </row>
    <row r="205" spans="1:8" ht="18" customHeight="1">
      <c r="A205" s="3242" t="s">
        <v>3384</v>
      </c>
      <c r="B205" s="3247">
        <v>48.93</v>
      </c>
      <c r="C205" s="3248">
        <v>12.72</v>
      </c>
      <c r="D205" s="3244"/>
      <c r="E205" s="3247">
        <v>36.21</v>
      </c>
      <c r="F205" s="3243"/>
      <c r="G205" s="3245"/>
      <c r="H205" s="3246"/>
    </row>
    <row r="206" spans="1:8" ht="18" customHeight="1">
      <c r="A206" s="3242" t="s">
        <v>3385</v>
      </c>
      <c r="B206" s="3247">
        <v>50.97</v>
      </c>
      <c r="C206" s="3248">
        <v>13.25</v>
      </c>
      <c r="D206" s="3244"/>
      <c r="E206" s="3247">
        <v>37.72</v>
      </c>
      <c r="F206" s="3243"/>
      <c r="G206" s="3245"/>
      <c r="H206" s="3246"/>
    </row>
    <row r="207" spans="1:8" ht="18" customHeight="1">
      <c r="A207" s="3242" t="s">
        <v>3386</v>
      </c>
      <c r="B207" s="3247">
        <v>49.97</v>
      </c>
      <c r="C207" s="3248">
        <v>12.99</v>
      </c>
      <c r="D207" s="3244"/>
      <c r="E207" s="3247">
        <v>36.979999999999997</v>
      </c>
      <c r="F207" s="3243"/>
      <c r="G207" s="3245"/>
      <c r="H207" s="3246"/>
    </row>
    <row r="208" spans="1:8" ht="18" customHeight="1">
      <c r="A208" s="3242" t="s">
        <v>3387</v>
      </c>
      <c r="B208" s="3247">
        <v>49.97</v>
      </c>
      <c r="C208" s="3248">
        <v>12.99</v>
      </c>
      <c r="D208" s="3244"/>
      <c r="E208" s="3247">
        <v>36.979999999999997</v>
      </c>
      <c r="F208" s="3243"/>
      <c r="G208" s="3245"/>
      <c r="H208" s="3246"/>
    </row>
    <row r="209" spans="1:8" ht="18" customHeight="1">
      <c r="A209" s="3242" t="s">
        <v>3388</v>
      </c>
      <c r="B209" s="3247">
        <v>53.01</v>
      </c>
      <c r="C209" s="3248">
        <v>13.78</v>
      </c>
      <c r="D209" s="3244"/>
      <c r="E209" s="3247">
        <v>39.229999999999997</v>
      </c>
      <c r="F209" s="3243"/>
      <c r="G209" s="3245"/>
      <c r="H209" s="3246"/>
    </row>
    <row r="210" spans="1:8" ht="18" customHeight="1">
      <c r="A210" s="3242" t="s">
        <v>3389</v>
      </c>
      <c r="B210" s="3247">
        <v>53.01</v>
      </c>
      <c r="C210" s="3248">
        <v>13.78</v>
      </c>
      <c r="D210" s="3238"/>
      <c r="E210" s="3247">
        <v>39.229999999999997</v>
      </c>
      <c r="F210" s="3243"/>
      <c r="G210" s="3245"/>
      <c r="H210" s="3246"/>
    </row>
    <row r="211" spans="1:8" ht="18" customHeight="1">
      <c r="A211" s="3242" t="s">
        <v>3390</v>
      </c>
      <c r="B211" s="3247">
        <v>49.97</v>
      </c>
      <c r="C211" s="3248">
        <v>12.99</v>
      </c>
      <c r="D211" s="3244"/>
      <c r="E211" s="3247">
        <v>36.979999999999997</v>
      </c>
      <c r="F211" s="3243"/>
      <c r="G211" s="3245"/>
      <c r="H211" s="3246"/>
    </row>
    <row r="212" spans="1:8" ht="18" customHeight="1">
      <c r="A212" s="3242" t="s">
        <v>3391</v>
      </c>
      <c r="B212" s="3247">
        <v>49.97</v>
      </c>
      <c r="C212" s="3248">
        <v>12.99</v>
      </c>
      <c r="D212" s="3244"/>
      <c r="E212" s="3247">
        <v>36.979999999999997</v>
      </c>
      <c r="F212" s="3243"/>
      <c r="G212" s="3245"/>
      <c r="H212" s="3246"/>
    </row>
    <row r="213" spans="1:8" ht="18" customHeight="1">
      <c r="A213" s="3242" t="s">
        <v>3392</v>
      </c>
      <c r="B213" s="3247">
        <v>50.97</v>
      </c>
      <c r="C213" s="3248">
        <v>13.25</v>
      </c>
      <c r="D213" s="3244"/>
      <c r="E213" s="3247">
        <v>37.72</v>
      </c>
      <c r="F213" s="3243"/>
      <c r="G213" s="3245"/>
      <c r="H213" s="3246"/>
    </row>
    <row r="214" spans="1:8" ht="18" customHeight="1">
      <c r="A214" s="3242" t="s">
        <v>3393</v>
      </c>
      <c r="B214" s="3247">
        <v>48.93</v>
      </c>
      <c r="C214" s="3248">
        <v>12.72</v>
      </c>
      <c r="D214" s="3244"/>
      <c r="E214" s="3247">
        <v>36.21</v>
      </c>
      <c r="F214" s="3243"/>
      <c r="G214" s="3245"/>
      <c r="H214" s="3246"/>
    </row>
    <row r="215" spans="1:8" ht="18" customHeight="1">
      <c r="A215" s="3242" t="s">
        <v>3394</v>
      </c>
      <c r="B215" s="3247">
        <v>50.97</v>
      </c>
      <c r="C215" s="3248">
        <v>13.25</v>
      </c>
      <c r="D215" s="3244"/>
      <c r="E215" s="3247">
        <v>37.72</v>
      </c>
      <c r="F215" s="3243"/>
      <c r="G215" s="3245"/>
      <c r="H215" s="3246"/>
    </row>
    <row r="216" spans="1:8" ht="18" customHeight="1">
      <c r="A216" s="3242" t="s">
        <v>3395</v>
      </c>
      <c r="B216" s="3247">
        <v>50.97</v>
      </c>
      <c r="C216" s="3248">
        <v>13.25</v>
      </c>
      <c r="D216" s="3238"/>
      <c r="E216" s="3247">
        <v>37.72</v>
      </c>
      <c r="F216" s="3243"/>
      <c r="G216" s="3245"/>
      <c r="H216" s="3246"/>
    </row>
    <row r="217" spans="1:8" ht="18" customHeight="1">
      <c r="A217" s="3242" t="s">
        <v>3396</v>
      </c>
      <c r="B217" s="3247">
        <v>48.93</v>
      </c>
      <c r="C217" s="3248">
        <v>12.72</v>
      </c>
      <c r="D217" s="3238"/>
      <c r="E217" s="3247">
        <v>36.21</v>
      </c>
      <c r="F217" s="3243"/>
      <c r="G217" s="3245"/>
      <c r="H217" s="3246"/>
    </row>
    <row r="218" spans="1:8" ht="18" customHeight="1">
      <c r="A218" s="3249" t="s">
        <v>3397</v>
      </c>
      <c r="B218" s="3247">
        <v>50.97</v>
      </c>
      <c r="C218" s="3248">
        <v>13.25</v>
      </c>
      <c r="D218" s="3244"/>
      <c r="E218" s="3247">
        <v>37.72</v>
      </c>
      <c r="F218" s="3243"/>
      <c r="G218" s="3245"/>
      <c r="H218" s="3246"/>
    </row>
    <row r="219" spans="1:8" ht="18" customHeight="1">
      <c r="A219" s="3249" t="s">
        <v>3398</v>
      </c>
      <c r="B219" s="3247">
        <v>50.97</v>
      </c>
      <c r="C219" s="3248">
        <v>13.25</v>
      </c>
      <c r="D219" s="3244"/>
      <c r="E219" s="3247">
        <v>37.72</v>
      </c>
      <c r="F219" s="3243"/>
      <c r="G219" s="3245"/>
      <c r="H219" s="3246"/>
    </row>
    <row r="220" spans="1:8" ht="18" customHeight="1">
      <c r="A220" s="3249" t="s">
        <v>3399</v>
      </c>
      <c r="B220" s="3247">
        <v>48.93</v>
      </c>
      <c r="C220" s="3248">
        <v>12.72</v>
      </c>
      <c r="D220" s="3244"/>
      <c r="E220" s="3247">
        <v>36.21</v>
      </c>
      <c r="F220" s="3243"/>
      <c r="G220" s="3245"/>
      <c r="H220" s="3246"/>
    </row>
    <row r="221" spans="1:8" ht="18" customHeight="1">
      <c r="A221" s="3249" t="s">
        <v>3400</v>
      </c>
      <c r="B221" s="3247">
        <v>50.97</v>
      </c>
      <c r="C221" s="3248">
        <v>13.25</v>
      </c>
      <c r="D221" s="3244"/>
      <c r="E221" s="3247">
        <v>37.72</v>
      </c>
      <c r="F221" s="3243"/>
      <c r="G221" s="3245"/>
      <c r="H221" s="3246"/>
    </row>
    <row r="222" spans="1:8" ht="18" customHeight="1">
      <c r="A222" s="3249" t="s">
        <v>3401</v>
      </c>
      <c r="B222" s="3247">
        <v>49.97</v>
      </c>
      <c r="C222" s="3248">
        <v>12.99</v>
      </c>
      <c r="D222" s="3244"/>
      <c r="E222" s="3247">
        <v>36.979999999999997</v>
      </c>
      <c r="F222" s="3243"/>
      <c r="G222" s="3245"/>
      <c r="H222" s="3246"/>
    </row>
    <row r="223" spans="1:8" ht="18" customHeight="1">
      <c r="A223" s="3242" t="s">
        <v>3402</v>
      </c>
      <c r="B223" s="3247">
        <v>49.97</v>
      </c>
      <c r="C223" s="3248">
        <v>12.99</v>
      </c>
      <c r="D223" s="3244"/>
      <c r="E223" s="3247">
        <v>36.979999999999997</v>
      </c>
      <c r="F223" s="3243"/>
      <c r="G223" s="3245"/>
      <c r="H223" s="3246"/>
    </row>
    <row r="224" spans="1:8" ht="18" customHeight="1">
      <c r="A224" s="3242" t="s">
        <v>3403</v>
      </c>
      <c r="B224" s="3247">
        <v>53.01</v>
      </c>
      <c r="C224" s="3248">
        <v>13.78</v>
      </c>
      <c r="D224" s="3244"/>
      <c r="E224" s="3247">
        <v>39.229999999999997</v>
      </c>
      <c r="F224" s="3243"/>
      <c r="G224" s="3245"/>
      <c r="H224" s="3246"/>
    </row>
    <row r="225" spans="1:8" ht="18" customHeight="1">
      <c r="A225" s="3242" t="s">
        <v>3404</v>
      </c>
      <c r="B225" s="3247">
        <v>50.78</v>
      </c>
      <c r="C225" s="3248">
        <v>13.2</v>
      </c>
      <c r="D225" s="3244"/>
      <c r="E225" s="3247">
        <v>37.58</v>
      </c>
      <c r="F225" s="3243"/>
      <c r="G225" s="3245"/>
      <c r="H225" s="3246"/>
    </row>
    <row r="226" spans="1:8" ht="18" customHeight="1">
      <c r="A226" s="3242" t="s">
        <v>3405</v>
      </c>
      <c r="B226" s="3247">
        <v>50.78</v>
      </c>
      <c r="C226" s="3248">
        <v>13.2</v>
      </c>
      <c r="D226" s="3244"/>
      <c r="E226" s="3247">
        <v>37.58</v>
      </c>
      <c r="F226" s="3243"/>
      <c r="G226" s="3245"/>
      <c r="H226" s="3246"/>
    </row>
    <row r="227" spans="1:8" ht="18" customHeight="1">
      <c r="A227" s="3242" t="s">
        <v>3406</v>
      </c>
      <c r="B227" s="3247">
        <v>53.01</v>
      </c>
      <c r="C227" s="3248">
        <v>13.78</v>
      </c>
      <c r="D227" s="3244"/>
      <c r="E227" s="3247">
        <v>39.229999999999997</v>
      </c>
      <c r="F227" s="3243"/>
      <c r="G227" s="3245"/>
      <c r="H227" s="3246"/>
    </row>
    <row r="228" spans="1:8" ht="18" customHeight="1">
      <c r="A228" s="3242" t="s">
        <v>3407</v>
      </c>
      <c r="B228" s="3247">
        <v>49.97</v>
      </c>
      <c r="C228" s="3248">
        <v>12.99</v>
      </c>
      <c r="D228" s="3244"/>
      <c r="E228" s="3247">
        <v>36.979999999999997</v>
      </c>
      <c r="F228" s="3243"/>
      <c r="G228" s="3245"/>
      <c r="H228" s="3246"/>
    </row>
    <row r="229" spans="1:8" ht="18" customHeight="1">
      <c r="A229" s="3242" t="s">
        <v>3408</v>
      </c>
      <c r="B229" s="3247">
        <v>49.97</v>
      </c>
      <c r="C229" s="3248">
        <v>12.99</v>
      </c>
      <c r="D229" s="3244"/>
      <c r="E229" s="3247">
        <v>36.979999999999997</v>
      </c>
      <c r="F229" s="3243"/>
      <c r="G229" s="3245"/>
      <c r="H229" s="3246"/>
    </row>
    <row r="230" spans="1:8" ht="18" customHeight="1">
      <c r="A230" s="3242" t="s">
        <v>3409</v>
      </c>
      <c r="B230" s="3247">
        <v>50.97</v>
      </c>
      <c r="C230" s="3248">
        <v>13.25</v>
      </c>
      <c r="D230" s="3244"/>
      <c r="E230" s="3247">
        <v>37.72</v>
      </c>
      <c r="F230" s="3243"/>
      <c r="G230" s="3245"/>
      <c r="H230" s="3246"/>
    </row>
    <row r="231" spans="1:8" ht="18" customHeight="1">
      <c r="A231" s="3242" t="s">
        <v>3410</v>
      </c>
      <c r="B231" s="3247">
        <v>48.93</v>
      </c>
      <c r="C231" s="3248">
        <v>12.72</v>
      </c>
      <c r="D231" s="3244"/>
      <c r="E231" s="3247">
        <v>36.21</v>
      </c>
      <c r="F231" s="3243"/>
      <c r="G231" s="3245"/>
      <c r="H231" s="3246"/>
    </row>
    <row r="232" spans="1:8" ht="18" customHeight="1">
      <c r="A232" s="3242" t="s">
        <v>3411</v>
      </c>
      <c r="B232" s="3247">
        <v>50.97</v>
      </c>
      <c r="C232" s="3248">
        <v>13.25</v>
      </c>
      <c r="D232" s="3244"/>
      <c r="E232" s="3247">
        <v>37.72</v>
      </c>
      <c r="F232" s="3243"/>
      <c r="G232" s="3245"/>
      <c r="H232" s="3246"/>
    </row>
    <row r="233" spans="1:8" ht="18" customHeight="1">
      <c r="A233" s="3242" t="s">
        <v>3412</v>
      </c>
      <c r="B233" s="3247">
        <v>50.97</v>
      </c>
      <c r="C233" s="3248">
        <v>13.25</v>
      </c>
      <c r="D233" s="3244"/>
      <c r="E233" s="3247">
        <v>37.72</v>
      </c>
      <c r="F233" s="3243"/>
      <c r="G233" s="3245"/>
      <c r="H233" s="3246"/>
    </row>
    <row r="234" spans="1:8" ht="18" customHeight="1">
      <c r="A234" s="3242" t="s">
        <v>3413</v>
      </c>
      <c r="B234" s="3247">
        <v>48.93</v>
      </c>
      <c r="C234" s="3248">
        <v>12.72</v>
      </c>
      <c r="D234" s="3244"/>
      <c r="E234" s="3247">
        <v>36.21</v>
      </c>
      <c r="F234" s="3243"/>
      <c r="G234" s="3245"/>
      <c r="H234" s="3246"/>
    </row>
    <row r="235" spans="1:8" ht="18" customHeight="1">
      <c r="A235" s="3242" t="s">
        <v>3414</v>
      </c>
      <c r="B235" s="3247">
        <v>49.97</v>
      </c>
      <c r="C235" s="3248">
        <v>12.99</v>
      </c>
      <c r="D235" s="3244"/>
      <c r="E235" s="3247">
        <v>36.979999999999997</v>
      </c>
      <c r="F235" s="3243"/>
      <c r="G235" s="3245"/>
      <c r="H235" s="3246"/>
    </row>
    <row r="236" spans="1:8" ht="18" customHeight="1">
      <c r="A236" s="3242" t="s">
        <v>3415</v>
      </c>
      <c r="B236" s="3247">
        <v>49.97</v>
      </c>
      <c r="C236" s="3248">
        <v>12.99</v>
      </c>
      <c r="D236" s="3244"/>
      <c r="E236" s="3247">
        <v>36.979999999999997</v>
      </c>
      <c r="F236" s="3243"/>
      <c r="G236" s="3245"/>
      <c r="H236" s="3246"/>
    </row>
    <row r="237" spans="1:8" ht="18" customHeight="1">
      <c r="A237" s="3242" t="s">
        <v>3416</v>
      </c>
      <c r="B237" s="3247">
        <v>53.01</v>
      </c>
      <c r="C237" s="3248">
        <v>13.78</v>
      </c>
      <c r="D237" s="3244"/>
      <c r="E237" s="3247">
        <v>39.229999999999997</v>
      </c>
      <c r="F237" s="3243"/>
      <c r="G237" s="3245"/>
      <c r="H237" s="3246"/>
    </row>
    <row r="238" spans="1:8" ht="18" customHeight="1">
      <c r="A238" s="3242" t="s">
        <v>3417</v>
      </c>
      <c r="B238" s="3247">
        <v>50.97</v>
      </c>
      <c r="C238" s="3248">
        <v>13.25</v>
      </c>
      <c r="D238" s="3244"/>
      <c r="E238" s="3247">
        <v>37.72</v>
      </c>
      <c r="F238" s="3243"/>
      <c r="G238" s="3245"/>
      <c r="H238" s="3246"/>
    </row>
    <row r="239" spans="1:8" ht="18" customHeight="1">
      <c r="A239" s="3242" t="s">
        <v>3418</v>
      </c>
      <c r="B239" s="3247">
        <v>48.93</v>
      </c>
      <c r="C239" s="3248">
        <v>12.72</v>
      </c>
      <c r="D239" s="3244"/>
      <c r="E239" s="3247">
        <v>36.21</v>
      </c>
      <c r="F239" s="3243"/>
      <c r="G239" s="3245"/>
      <c r="H239" s="3246"/>
    </row>
    <row r="240" spans="1:8" ht="18" customHeight="1">
      <c r="A240" s="3242" t="s">
        <v>3419</v>
      </c>
      <c r="B240" s="3247">
        <v>50.97</v>
      </c>
      <c r="C240" s="3248">
        <v>13.25</v>
      </c>
      <c r="D240" s="3238"/>
      <c r="E240" s="3247">
        <v>37.72</v>
      </c>
      <c r="F240" s="3243"/>
      <c r="G240" s="3245"/>
      <c r="H240" s="3246"/>
    </row>
    <row r="241" spans="1:8" ht="18" customHeight="1">
      <c r="A241" s="3242" t="s">
        <v>3420</v>
      </c>
      <c r="B241" s="3247">
        <v>50.97</v>
      </c>
      <c r="C241" s="3248">
        <v>13.25</v>
      </c>
      <c r="D241" s="3244"/>
      <c r="E241" s="3247">
        <v>37.72</v>
      </c>
      <c r="F241" s="3243"/>
      <c r="G241" s="3245"/>
      <c r="H241" s="3246"/>
    </row>
    <row r="242" spans="1:8" ht="18" customHeight="1">
      <c r="A242" s="3242" t="s">
        <v>3421</v>
      </c>
      <c r="B242" s="3247">
        <v>48.93</v>
      </c>
      <c r="C242" s="3248">
        <v>12.72</v>
      </c>
      <c r="D242" s="3244"/>
      <c r="E242" s="3247">
        <v>36.21</v>
      </c>
      <c r="F242" s="3243"/>
      <c r="G242" s="3245"/>
      <c r="H242" s="3246"/>
    </row>
    <row r="243" spans="1:8" ht="18" customHeight="1">
      <c r="A243" s="3242" t="s">
        <v>3422</v>
      </c>
      <c r="B243" s="3247">
        <v>50.97</v>
      </c>
      <c r="C243" s="3248">
        <v>13.25</v>
      </c>
      <c r="D243" s="3244"/>
      <c r="E243" s="3247">
        <v>37.72</v>
      </c>
      <c r="F243" s="3243"/>
      <c r="G243" s="3245"/>
      <c r="H243" s="3246"/>
    </row>
    <row r="244" spans="1:8" ht="18" customHeight="1">
      <c r="A244" s="3242" t="s">
        <v>3423</v>
      </c>
      <c r="B244" s="3247">
        <v>53.01</v>
      </c>
      <c r="C244" s="3248">
        <v>13.78</v>
      </c>
      <c r="D244" s="3244"/>
      <c r="E244" s="3247">
        <v>39.229999999999997</v>
      </c>
      <c r="F244" s="3243"/>
      <c r="G244" s="3245"/>
      <c r="H244" s="3246"/>
    </row>
    <row r="245" spans="1:8" ht="18" customHeight="1">
      <c r="A245" s="3242" t="s">
        <v>3424</v>
      </c>
      <c r="B245" s="3247">
        <v>50.97</v>
      </c>
      <c r="C245" s="3248">
        <v>13.25</v>
      </c>
      <c r="D245" s="3244"/>
      <c r="E245" s="3247">
        <v>37.72</v>
      </c>
      <c r="F245" s="3243"/>
      <c r="G245" s="3245"/>
      <c r="H245" s="3246"/>
    </row>
    <row r="246" spans="1:8" ht="18" customHeight="1">
      <c r="A246" s="3242" t="s">
        <v>3425</v>
      </c>
      <c r="B246" s="3247">
        <v>50.97</v>
      </c>
      <c r="C246" s="3248">
        <v>13.25</v>
      </c>
      <c r="D246" s="3238"/>
      <c r="E246" s="3247">
        <v>37.72</v>
      </c>
      <c r="F246" s="3243"/>
      <c r="G246" s="3245"/>
      <c r="H246" s="3246"/>
    </row>
    <row r="247" spans="1:8" ht="18" customHeight="1">
      <c r="A247" s="3242" t="s">
        <v>3426</v>
      </c>
      <c r="B247" s="3247">
        <v>48.93</v>
      </c>
      <c r="C247" s="3248">
        <v>12.72</v>
      </c>
      <c r="D247" s="3238"/>
      <c r="E247" s="3247">
        <v>36.21</v>
      </c>
      <c r="F247" s="3243"/>
      <c r="G247" s="3245"/>
      <c r="H247" s="3246"/>
    </row>
    <row r="248" spans="1:8" ht="18" customHeight="1">
      <c r="A248" s="3249" t="s">
        <v>3427</v>
      </c>
      <c r="B248" s="3247">
        <v>50.97</v>
      </c>
      <c r="C248" s="3248">
        <v>13.25</v>
      </c>
      <c r="D248" s="3244"/>
      <c r="E248" s="3247">
        <v>37.72</v>
      </c>
      <c r="F248" s="3243"/>
      <c r="G248" s="3245"/>
      <c r="H248" s="3246"/>
    </row>
    <row r="249" spans="1:8" ht="18" customHeight="1">
      <c r="A249" s="3249" t="s">
        <v>3428</v>
      </c>
      <c r="B249" s="3247">
        <v>50.97</v>
      </c>
      <c r="C249" s="3248">
        <v>13.25</v>
      </c>
      <c r="D249" s="3244"/>
      <c r="E249" s="3247">
        <v>37.72</v>
      </c>
      <c r="F249" s="3243"/>
      <c r="G249" s="3245"/>
      <c r="H249" s="3246"/>
    </row>
    <row r="250" spans="1:8" ht="18" customHeight="1">
      <c r="A250" s="3249" t="s">
        <v>3429</v>
      </c>
      <c r="B250" s="3247">
        <v>48.93</v>
      </c>
      <c r="C250" s="3248">
        <v>12.72</v>
      </c>
      <c r="D250" s="3244"/>
      <c r="E250" s="3247">
        <v>36.21</v>
      </c>
      <c r="F250" s="3243"/>
      <c r="G250" s="3245"/>
      <c r="H250" s="3246"/>
    </row>
    <row r="251" spans="1:8" ht="18" customHeight="1">
      <c r="A251" s="3249" t="s">
        <v>3430</v>
      </c>
      <c r="B251" s="3247">
        <v>50.97</v>
      </c>
      <c r="C251" s="3248">
        <v>13.25</v>
      </c>
      <c r="D251" s="3244"/>
      <c r="E251" s="3247">
        <v>37.72</v>
      </c>
      <c r="F251" s="3243"/>
      <c r="G251" s="3245"/>
      <c r="H251" s="3246"/>
    </row>
    <row r="252" spans="1:8" ht="18" customHeight="1">
      <c r="A252" s="3249" t="s">
        <v>3431</v>
      </c>
      <c r="B252" s="3247">
        <v>49.97</v>
      </c>
      <c r="C252" s="3248">
        <v>12.99</v>
      </c>
      <c r="D252" s="3244"/>
      <c r="E252" s="3247">
        <v>36.979999999999997</v>
      </c>
      <c r="F252" s="3243"/>
      <c r="G252" s="3245"/>
      <c r="H252" s="3246"/>
    </row>
    <row r="253" spans="1:8" ht="18" customHeight="1">
      <c r="A253" s="3242" t="s">
        <v>3432</v>
      </c>
      <c r="B253" s="3247">
        <v>49.97</v>
      </c>
      <c r="C253" s="3248">
        <v>12.99</v>
      </c>
      <c r="D253" s="3244"/>
      <c r="E253" s="3247">
        <v>36.979999999999997</v>
      </c>
      <c r="F253" s="3243"/>
      <c r="G253" s="3245"/>
      <c r="H253" s="3246"/>
    </row>
    <row r="254" spans="1:8" ht="18" customHeight="1">
      <c r="A254" s="3242" t="s">
        <v>3433</v>
      </c>
      <c r="B254" s="3247">
        <v>50.97</v>
      </c>
      <c r="C254" s="3248">
        <v>13.25</v>
      </c>
      <c r="D254" s="3244"/>
      <c r="E254" s="3247">
        <v>37.72</v>
      </c>
      <c r="F254" s="3243"/>
      <c r="G254" s="3245"/>
      <c r="H254" s="3246"/>
    </row>
    <row r="255" spans="1:8" ht="18" customHeight="1">
      <c r="A255" s="3242" t="s">
        <v>3434</v>
      </c>
      <c r="B255" s="3247">
        <v>48.93</v>
      </c>
      <c r="C255" s="3248">
        <v>12.72</v>
      </c>
      <c r="D255" s="3244"/>
      <c r="E255" s="3247">
        <v>36.21</v>
      </c>
      <c r="F255" s="3243"/>
      <c r="G255" s="3245"/>
      <c r="H255" s="3246"/>
    </row>
    <row r="256" spans="1:8" ht="18" customHeight="1">
      <c r="A256" s="3242" t="s">
        <v>3435</v>
      </c>
      <c r="B256" s="3247">
        <v>50.97</v>
      </c>
      <c r="C256" s="3248">
        <v>13.25</v>
      </c>
      <c r="D256" s="3244"/>
      <c r="E256" s="3247">
        <v>37.72</v>
      </c>
      <c r="F256" s="3243"/>
      <c r="G256" s="3245"/>
      <c r="H256" s="3246"/>
    </row>
    <row r="257" spans="1:8" ht="18" customHeight="1">
      <c r="A257" s="3242" t="s">
        <v>3436</v>
      </c>
      <c r="B257" s="3247">
        <v>53.01</v>
      </c>
      <c r="C257" s="3248">
        <v>13.78</v>
      </c>
      <c r="D257" s="3244"/>
      <c r="E257" s="3247">
        <v>39.229999999999997</v>
      </c>
      <c r="F257" s="3243"/>
      <c r="G257" s="3245"/>
      <c r="H257" s="3246"/>
    </row>
    <row r="258" spans="1:8" ht="18" customHeight="1">
      <c r="A258" s="3242" t="s">
        <v>3437</v>
      </c>
      <c r="B258" s="3247">
        <v>50.97</v>
      </c>
      <c r="C258" s="3248">
        <v>13.25</v>
      </c>
      <c r="D258" s="3244"/>
      <c r="E258" s="3247">
        <v>37.72</v>
      </c>
      <c r="F258" s="3243"/>
      <c r="G258" s="3245"/>
      <c r="H258" s="3246"/>
    </row>
    <row r="259" spans="1:8" ht="18" customHeight="1">
      <c r="A259" s="3242" t="s">
        <v>3438</v>
      </c>
      <c r="B259" s="3247">
        <v>48.93</v>
      </c>
      <c r="C259" s="3248">
        <v>12.72</v>
      </c>
      <c r="D259" s="3244"/>
      <c r="E259" s="3247">
        <v>36.21</v>
      </c>
      <c r="F259" s="3243"/>
      <c r="G259" s="3245"/>
      <c r="H259" s="3246"/>
    </row>
    <row r="260" spans="1:8" ht="18" customHeight="1">
      <c r="A260" s="3242" t="s">
        <v>3439</v>
      </c>
      <c r="B260" s="3247">
        <v>50.97</v>
      </c>
      <c r="C260" s="3248">
        <v>13.25</v>
      </c>
      <c r="D260" s="3244"/>
      <c r="E260" s="3247">
        <v>37.72</v>
      </c>
      <c r="F260" s="3243"/>
      <c r="G260" s="3245"/>
      <c r="H260" s="3246"/>
    </row>
    <row r="261" spans="1:8" ht="18" customHeight="1">
      <c r="A261" s="3242" t="s">
        <v>3440</v>
      </c>
      <c r="B261" s="3247">
        <v>50.97</v>
      </c>
      <c r="C261" s="3248">
        <v>13.25</v>
      </c>
      <c r="D261" s="3244"/>
      <c r="E261" s="3247">
        <v>37.72</v>
      </c>
      <c r="F261" s="3243"/>
      <c r="G261" s="3245"/>
      <c r="H261" s="3246"/>
    </row>
    <row r="262" spans="1:8" ht="18" customHeight="1">
      <c r="A262" s="3242" t="s">
        <v>3441</v>
      </c>
      <c r="B262" s="3247">
        <v>48.93</v>
      </c>
      <c r="C262" s="3248">
        <v>12.72</v>
      </c>
      <c r="D262" s="3244"/>
      <c r="E262" s="3247">
        <v>36.21</v>
      </c>
      <c r="F262" s="3243"/>
      <c r="G262" s="3245"/>
      <c r="H262" s="3246"/>
    </row>
    <row r="263" spans="1:8" ht="18" customHeight="1">
      <c r="A263" s="3242" t="s">
        <v>3442</v>
      </c>
      <c r="B263" s="3247">
        <v>50.97</v>
      </c>
      <c r="C263" s="3248">
        <v>13.25</v>
      </c>
      <c r="D263" s="3244"/>
      <c r="E263" s="3247">
        <v>37.72</v>
      </c>
      <c r="F263" s="3243"/>
      <c r="G263" s="3245"/>
      <c r="H263" s="3246"/>
    </row>
    <row r="264" spans="1:8" ht="18" customHeight="1">
      <c r="A264" s="3242" t="s">
        <v>3443</v>
      </c>
      <c r="B264" s="3247">
        <v>50.97</v>
      </c>
      <c r="C264" s="3248">
        <v>13.25</v>
      </c>
      <c r="D264" s="3244"/>
      <c r="E264" s="3247">
        <v>37.72</v>
      </c>
      <c r="F264" s="3243"/>
      <c r="G264" s="3245"/>
      <c r="H264" s="3246"/>
    </row>
    <row r="265" spans="1:8" ht="18" customHeight="1">
      <c r="A265" s="3242" t="s">
        <v>3444</v>
      </c>
      <c r="B265" s="3247">
        <v>48.93</v>
      </c>
      <c r="C265" s="3248">
        <v>12.72</v>
      </c>
      <c r="D265" s="3244"/>
      <c r="E265" s="3247">
        <v>36.21</v>
      </c>
      <c r="F265" s="3243"/>
      <c r="G265" s="3245"/>
      <c r="H265" s="3246"/>
    </row>
    <row r="266" spans="1:8" ht="18" customHeight="1">
      <c r="A266" s="3242" t="s">
        <v>3445</v>
      </c>
      <c r="B266" s="3247">
        <v>50.97</v>
      </c>
      <c r="C266" s="3248">
        <v>13.25</v>
      </c>
      <c r="D266" s="3244"/>
      <c r="E266" s="3247">
        <v>37.72</v>
      </c>
      <c r="F266" s="3243"/>
      <c r="G266" s="3245"/>
      <c r="H266" s="3246"/>
    </row>
    <row r="267" spans="1:8" ht="18" customHeight="1">
      <c r="A267" s="3242" t="s">
        <v>3446</v>
      </c>
      <c r="B267" s="3247">
        <v>50.97</v>
      </c>
      <c r="C267" s="3248">
        <v>13.25</v>
      </c>
      <c r="D267" s="3244"/>
      <c r="E267" s="3247">
        <v>37.72</v>
      </c>
      <c r="F267" s="3243"/>
      <c r="G267" s="3245"/>
      <c r="H267" s="3246"/>
    </row>
    <row r="268" spans="1:8" ht="18" customHeight="1">
      <c r="A268" s="3242" t="s">
        <v>3447</v>
      </c>
      <c r="B268" s="3247">
        <v>48.93</v>
      </c>
      <c r="C268" s="3248">
        <v>12.72</v>
      </c>
      <c r="D268" s="3244"/>
      <c r="E268" s="3247">
        <v>36.21</v>
      </c>
      <c r="F268" s="3243"/>
      <c r="G268" s="3245"/>
      <c r="H268" s="3246"/>
    </row>
    <row r="269" spans="1:8" ht="18" customHeight="1">
      <c r="A269" s="3242" t="s">
        <v>3448</v>
      </c>
      <c r="B269" s="3247">
        <v>50.97</v>
      </c>
      <c r="C269" s="3248">
        <v>13.25</v>
      </c>
      <c r="D269" s="3244"/>
      <c r="E269" s="3247">
        <v>37.72</v>
      </c>
      <c r="F269" s="3243"/>
      <c r="G269" s="3245"/>
      <c r="H269" s="3246"/>
    </row>
    <row r="270" spans="1:8" ht="18" customHeight="1">
      <c r="A270" s="3242" t="s">
        <v>3449</v>
      </c>
      <c r="B270" s="3247">
        <v>50.97</v>
      </c>
      <c r="C270" s="3248">
        <v>13.25</v>
      </c>
      <c r="D270" s="3238"/>
      <c r="E270" s="3247">
        <v>37.72</v>
      </c>
      <c r="F270" s="3243"/>
      <c r="G270" s="3245"/>
      <c r="H270" s="3246"/>
    </row>
    <row r="271" spans="1:8" ht="18" customHeight="1">
      <c r="A271" s="3242" t="s">
        <v>3450</v>
      </c>
      <c r="B271" s="3247">
        <v>48.93</v>
      </c>
      <c r="C271" s="3248">
        <v>12.72</v>
      </c>
      <c r="D271" s="3244"/>
      <c r="E271" s="3247">
        <v>36.21</v>
      </c>
      <c r="F271" s="3243"/>
      <c r="G271" s="3245"/>
      <c r="H271" s="3246"/>
    </row>
    <row r="272" spans="1:8" ht="18" customHeight="1">
      <c r="A272" s="3242" t="s">
        <v>3451</v>
      </c>
      <c r="B272" s="3247">
        <v>50.97</v>
      </c>
      <c r="C272" s="3248">
        <v>13.25</v>
      </c>
      <c r="D272" s="3244"/>
      <c r="E272" s="3247">
        <v>37.72</v>
      </c>
      <c r="F272" s="3243"/>
      <c r="G272" s="3245"/>
      <c r="H272" s="3246"/>
    </row>
    <row r="273" spans="1:8" ht="18" customHeight="1">
      <c r="A273" s="3242" t="s">
        <v>3452</v>
      </c>
      <c r="B273" s="3247">
        <v>50.97</v>
      </c>
      <c r="C273" s="3248">
        <v>13.25</v>
      </c>
      <c r="D273" s="3244"/>
      <c r="E273" s="3247">
        <v>37.72</v>
      </c>
      <c r="F273" s="3243"/>
      <c r="G273" s="3245"/>
      <c r="H273" s="3246"/>
    </row>
    <row r="274" spans="1:8" ht="18" customHeight="1">
      <c r="A274" s="3242" t="s">
        <v>3453</v>
      </c>
      <c r="B274" s="3247">
        <v>48.93</v>
      </c>
      <c r="C274" s="3248">
        <v>12.72</v>
      </c>
      <c r="D274" s="3244"/>
      <c r="E274" s="3247">
        <v>36.21</v>
      </c>
      <c r="F274" s="3243"/>
      <c r="G274" s="3245"/>
      <c r="H274" s="3246"/>
    </row>
    <row r="275" spans="1:8" ht="18" customHeight="1">
      <c r="A275" s="3242" t="s">
        <v>3454</v>
      </c>
      <c r="B275" s="3247">
        <v>50.97</v>
      </c>
      <c r="C275" s="3248">
        <v>13.25</v>
      </c>
      <c r="D275" s="3244"/>
      <c r="E275" s="3247">
        <v>37.72</v>
      </c>
      <c r="F275" s="3243"/>
      <c r="G275" s="3245"/>
      <c r="H275" s="3246"/>
    </row>
    <row r="276" spans="1:8" ht="18" customHeight="1">
      <c r="A276" s="3242" t="s">
        <v>3455</v>
      </c>
      <c r="B276" s="3247">
        <v>49.97</v>
      </c>
      <c r="C276" s="3248">
        <v>12.99</v>
      </c>
      <c r="D276" s="3238"/>
      <c r="E276" s="3247">
        <v>36.979999999999997</v>
      </c>
      <c r="F276" s="3243"/>
      <c r="G276" s="3245"/>
      <c r="H276" s="3246"/>
    </row>
    <row r="277" spans="1:8" ht="18" customHeight="1">
      <c r="A277" s="3242" t="s">
        <v>3456</v>
      </c>
      <c r="B277" s="3247">
        <v>49.97</v>
      </c>
      <c r="C277" s="3248">
        <v>12.99</v>
      </c>
      <c r="D277" s="3238"/>
      <c r="E277" s="3247">
        <v>36.979999999999997</v>
      </c>
      <c r="F277" s="3243"/>
      <c r="G277" s="3245"/>
      <c r="H277" s="3246"/>
    </row>
    <row r="278" spans="1:8" ht="18" customHeight="1">
      <c r="A278" s="3249" t="s">
        <v>3457</v>
      </c>
      <c r="B278" s="3247">
        <v>43.85</v>
      </c>
      <c r="C278" s="3248">
        <v>11.4</v>
      </c>
      <c r="D278" s="3244"/>
      <c r="E278" s="3247">
        <v>32.450000000000003</v>
      </c>
      <c r="F278" s="3243"/>
      <c r="G278" s="3245"/>
      <c r="H278" s="3246"/>
    </row>
    <row r="279" spans="1:8" ht="18" customHeight="1">
      <c r="A279" s="3249" t="s">
        <v>3458</v>
      </c>
      <c r="B279" s="3247">
        <v>50.97</v>
      </c>
      <c r="C279" s="3248">
        <v>13.25</v>
      </c>
      <c r="D279" s="3244"/>
      <c r="E279" s="3247">
        <v>37.72</v>
      </c>
      <c r="F279" s="3243"/>
      <c r="G279" s="3245"/>
      <c r="H279" s="3246"/>
    </row>
    <row r="280" spans="1:8" ht="18" customHeight="1">
      <c r="A280" s="3249" t="s">
        <v>3459</v>
      </c>
      <c r="B280" s="3247">
        <v>50.78</v>
      </c>
      <c r="C280" s="3248">
        <v>13.2</v>
      </c>
      <c r="D280" s="3244"/>
      <c r="E280" s="3247">
        <v>37.58</v>
      </c>
      <c r="F280" s="3243"/>
      <c r="G280" s="3245"/>
      <c r="H280" s="3246"/>
    </row>
    <row r="281" spans="1:8" ht="18" customHeight="1">
      <c r="A281" s="3249" t="s">
        <v>3460</v>
      </c>
      <c r="B281" s="3247">
        <v>50.78</v>
      </c>
      <c r="C281" s="3248">
        <v>13.2</v>
      </c>
      <c r="D281" s="3244"/>
      <c r="E281" s="3247">
        <v>37.58</v>
      </c>
      <c r="F281" s="3243"/>
      <c r="G281" s="3245"/>
      <c r="H281" s="3246"/>
    </row>
    <row r="282" spans="1:8" ht="18" customHeight="1">
      <c r="A282" s="3249" t="s">
        <v>3461</v>
      </c>
      <c r="B282" s="3247">
        <v>50.78</v>
      </c>
      <c r="C282" s="3248">
        <v>13.2</v>
      </c>
      <c r="D282" s="3244"/>
      <c r="E282" s="3247">
        <v>37.58</v>
      </c>
      <c r="F282" s="3243"/>
      <c r="G282" s="3245"/>
      <c r="H282" s="3246"/>
    </row>
    <row r="283" spans="1:8" ht="18" customHeight="1">
      <c r="A283" s="3242" t="s">
        <v>3462</v>
      </c>
      <c r="B283" s="3247">
        <v>50.78</v>
      </c>
      <c r="C283" s="3248">
        <v>13.2</v>
      </c>
      <c r="D283" s="3244"/>
      <c r="E283" s="3247">
        <v>37.58</v>
      </c>
      <c r="F283" s="3243"/>
      <c r="G283" s="3245"/>
      <c r="H283" s="3246"/>
    </row>
    <row r="284" spans="1:8" ht="18" customHeight="1">
      <c r="A284" s="3242" t="s">
        <v>3463</v>
      </c>
      <c r="B284" s="3247">
        <v>50.78</v>
      </c>
      <c r="C284" s="3248">
        <v>13.2</v>
      </c>
      <c r="D284" s="3244"/>
      <c r="E284" s="3247">
        <v>37.58</v>
      </c>
      <c r="F284" s="3243"/>
      <c r="G284" s="3245"/>
      <c r="H284" s="3246"/>
    </row>
    <row r="285" spans="1:8" ht="18" customHeight="1">
      <c r="A285" s="3242" t="s">
        <v>3464</v>
      </c>
      <c r="B285" s="3247">
        <v>50.78</v>
      </c>
      <c r="C285" s="3248">
        <v>13.2</v>
      </c>
      <c r="D285" s="3244"/>
      <c r="E285" s="3247">
        <v>37.58</v>
      </c>
      <c r="F285" s="3243"/>
      <c r="G285" s="3245"/>
      <c r="H285" s="3246"/>
    </row>
    <row r="286" spans="1:8" ht="18" customHeight="1">
      <c r="A286" s="3242" t="s">
        <v>3465</v>
      </c>
      <c r="B286" s="3247">
        <v>50.78</v>
      </c>
      <c r="C286" s="3248">
        <v>13.2</v>
      </c>
      <c r="D286" s="3244"/>
      <c r="E286" s="3247">
        <v>37.58</v>
      </c>
      <c r="F286" s="3243"/>
      <c r="G286" s="3245"/>
      <c r="H286" s="3246"/>
    </row>
    <row r="287" spans="1:8" ht="18" customHeight="1">
      <c r="A287" s="3242" t="s">
        <v>3466</v>
      </c>
      <c r="B287" s="3247">
        <v>48.93</v>
      </c>
      <c r="C287" s="3248">
        <v>12.72</v>
      </c>
      <c r="D287" s="3244"/>
      <c r="E287" s="3247">
        <v>36.21</v>
      </c>
      <c r="F287" s="3243"/>
      <c r="G287" s="3245"/>
      <c r="H287" s="3246"/>
    </row>
    <row r="288" spans="1:8" ht="18" customHeight="1">
      <c r="A288" s="3242" t="s">
        <v>3467</v>
      </c>
      <c r="B288" s="3247">
        <v>49.97</v>
      </c>
      <c r="C288" s="3248">
        <v>12.99</v>
      </c>
      <c r="D288" s="3244"/>
      <c r="E288" s="3247">
        <v>36.979999999999997</v>
      </c>
      <c r="F288" s="3243"/>
      <c r="G288" s="3245"/>
      <c r="H288" s="3246"/>
    </row>
    <row r="289" spans="1:8" ht="18" customHeight="1">
      <c r="A289" s="3242" t="s">
        <v>3468</v>
      </c>
      <c r="B289" s="3247">
        <v>49.97</v>
      </c>
      <c r="C289" s="3248">
        <v>12.99</v>
      </c>
      <c r="D289" s="3244"/>
      <c r="E289" s="3247">
        <v>36.979999999999997</v>
      </c>
      <c r="F289" s="3243"/>
      <c r="G289" s="3245"/>
      <c r="H289" s="3246"/>
    </row>
    <row r="290" spans="1:8" ht="18" customHeight="1">
      <c r="A290" s="3242" t="s">
        <v>3469</v>
      </c>
      <c r="B290" s="3247">
        <v>50.97</v>
      </c>
      <c r="C290" s="3248">
        <v>13.25</v>
      </c>
      <c r="D290" s="3244"/>
      <c r="E290" s="3247">
        <v>37.72</v>
      </c>
      <c r="F290" s="3243"/>
      <c r="G290" s="3245"/>
      <c r="H290" s="3246"/>
    </row>
    <row r="291" spans="1:8" ht="18" customHeight="1">
      <c r="A291" s="3242" t="s">
        <v>3470</v>
      </c>
      <c r="B291" s="3247">
        <v>48.93</v>
      </c>
      <c r="C291" s="3248">
        <v>12.72</v>
      </c>
      <c r="D291" s="3244"/>
      <c r="E291" s="3247">
        <v>36.21</v>
      </c>
      <c r="F291" s="3243"/>
      <c r="G291" s="3245"/>
      <c r="H291" s="3246"/>
    </row>
    <row r="292" spans="1:8" ht="18" customHeight="1">
      <c r="A292" s="3242" t="s">
        <v>3471</v>
      </c>
      <c r="B292" s="3247">
        <v>50.97</v>
      </c>
      <c r="C292" s="3248">
        <v>13.25</v>
      </c>
      <c r="D292" s="3244"/>
      <c r="E292" s="3247">
        <v>37.72</v>
      </c>
      <c r="F292" s="3243"/>
      <c r="G292" s="3245"/>
      <c r="H292" s="3246"/>
    </row>
    <row r="293" spans="1:8" ht="18" customHeight="1">
      <c r="A293" s="3242" t="s">
        <v>3472</v>
      </c>
      <c r="B293" s="3247">
        <v>50.97</v>
      </c>
      <c r="C293" s="3248">
        <v>13.25</v>
      </c>
      <c r="D293" s="3244"/>
      <c r="E293" s="3247">
        <v>37.72</v>
      </c>
      <c r="F293" s="3243"/>
      <c r="G293" s="3245"/>
      <c r="H293" s="3246"/>
    </row>
    <row r="294" spans="1:8" ht="18" customHeight="1">
      <c r="A294" s="3242" t="s">
        <v>3473</v>
      </c>
      <c r="B294" s="3247">
        <v>48.93</v>
      </c>
      <c r="C294" s="3248">
        <v>12.72</v>
      </c>
      <c r="D294" s="3244"/>
      <c r="E294" s="3247">
        <v>36.21</v>
      </c>
      <c r="F294" s="3243"/>
      <c r="G294" s="3245">
        <v>2.846603</v>
      </c>
      <c r="H294" s="3246"/>
    </row>
    <row r="295" spans="1:8" ht="18" customHeight="1">
      <c r="A295" s="3242" t="s">
        <v>3474</v>
      </c>
      <c r="B295" s="3247">
        <v>50.97</v>
      </c>
      <c r="C295" s="3248">
        <v>13.25</v>
      </c>
      <c r="D295" s="3244"/>
      <c r="E295" s="3247">
        <v>37.72</v>
      </c>
      <c r="F295" s="3243"/>
      <c r="G295" s="3245"/>
      <c r="H295" s="3246"/>
    </row>
    <row r="296" spans="1:8" ht="18" customHeight="1">
      <c r="A296" s="3242" t="s">
        <v>3475</v>
      </c>
      <c r="B296" s="3247">
        <v>53.01</v>
      </c>
      <c r="C296" s="3248">
        <v>13.78</v>
      </c>
      <c r="D296" s="3244"/>
      <c r="E296" s="3247">
        <v>39.229999999999997</v>
      </c>
      <c r="F296" s="3243"/>
      <c r="G296" s="3245"/>
      <c r="H296" s="3246"/>
    </row>
    <row r="297" spans="1:8" ht="18" customHeight="1">
      <c r="A297" s="3242" t="s">
        <v>3476</v>
      </c>
      <c r="B297" s="3247">
        <v>50.97</v>
      </c>
      <c r="C297" s="3248">
        <v>13.25</v>
      </c>
      <c r="D297" s="3244"/>
      <c r="E297" s="3247">
        <v>37.72</v>
      </c>
      <c r="F297" s="3243"/>
      <c r="G297" s="3245"/>
      <c r="H297" s="3246"/>
    </row>
    <row r="298" spans="1:8" ht="18" customHeight="1">
      <c r="A298" s="3242" t="s">
        <v>3477</v>
      </c>
      <c r="B298" s="3247">
        <v>48.93</v>
      </c>
      <c r="C298" s="3248">
        <v>12.72</v>
      </c>
      <c r="D298" s="3244"/>
      <c r="E298" s="3247">
        <v>36.21</v>
      </c>
      <c r="F298" s="3243"/>
      <c r="G298" s="3245"/>
      <c r="H298" s="3246"/>
    </row>
    <row r="299" spans="1:8" ht="18" customHeight="1">
      <c r="A299" s="3242" t="s">
        <v>3478</v>
      </c>
      <c r="B299" s="3247">
        <v>50.97</v>
      </c>
      <c r="C299" s="3248">
        <v>13.25</v>
      </c>
      <c r="D299" s="3244"/>
      <c r="E299" s="3247">
        <v>37.72</v>
      </c>
      <c r="F299" s="3243"/>
      <c r="G299" s="3245"/>
      <c r="H299" s="3246"/>
    </row>
    <row r="300" spans="1:8" ht="18" customHeight="1">
      <c r="A300" s="3242" t="s">
        <v>3479</v>
      </c>
      <c r="B300" s="3247">
        <v>50.97</v>
      </c>
      <c r="C300" s="3248">
        <v>13.25</v>
      </c>
      <c r="D300" s="3238"/>
      <c r="E300" s="3247">
        <v>37.72</v>
      </c>
      <c r="F300" s="3243"/>
      <c r="G300" s="3245"/>
      <c r="H300" s="3246"/>
    </row>
    <row r="301" spans="1:8" ht="18" customHeight="1">
      <c r="A301" s="3242" t="s">
        <v>3480</v>
      </c>
      <c r="B301" s="3247">
        <v>48.93</v>
      </c>
      <c r="C301" s="3248">
        <v>12.72</v>
      </c>
      <c r="D301" s="3244"/>
      <c r="E301" s="3247">
        <v>36.21</v>
      </c>
      <c r="F301" s="3243"/>
      <c r="G301" s="3245"/>
      <c r="H301" s="3246"/>
    </row>
    <row r="302" spans="1:8" ht="18" customHeight="1">
      <c r="A302" s="3242" t="s">
        <v>3481</v>
      </c>
      <c r="B302" s="3247">
        <v>50.97</v>
      </c>
      <c r="C302" s="3248">
        <v>13.25</v>
      </c>
      <c r="D302" s="3244"/>
      <c r="E302" s="3247">
        <v>37.72</v>
      </c>
      <c r="F302" s="3243"/>
      <c r="G302" s="3245"/>
      <c r="H302" s="3246"/>
    </row>
    <row r="303" spans="1:8" ht="18" customHeight="1">
      <c r="A303" s="3242" t="s">
        <v>3482</v>
      </c>
      <c r="B303" s="3247">
        <v>49.97</v>
      </c>
      <c r="C303" s="3248">
        <v>12.99</v>
      </c>
      <c r="D303" s="3244"/>
      <c r="E303" s="3247">
        <v>36.979999999999997</v>
      </c>
      <c r="F303" s="3243"/>
      <c r="G303" s="3245"/>
      <c r="H303" s="3246"/>
    </row>
    <row r="304" spans="1:8" ht="18" customHeight="1">
      <c r="A304" s="3242" t="s">
        <v>3483</v>
      </c>
      <c r="B304" s="3247">
        <v>49.97</v>
      </c>
      <c r="C304" s="3248">
        <v>12.99</v>
      </c>
      <c r="D304" s="3244"/>
      <c r="E304" s="3247">
        <v>36.979999999999997</v>
      </c>
      <c r="F304" s="3243"/>
      <c r="G304" s="3245"/>
      <c r="H304" s="3246"/>
    </row>
    <row r="305" spans="1:8" ht="18" customHeight="1">
      <c r="A305" s="3242" t="s">
        <v>3484</v>
      </c>
      <c r="B305" s="3247">
        <v>50.97</v>
      </c>
      <c r="C305" s="3248">
        <v>13.25</v>
      </c>
      <c r="D305" s="3244"/>
      <c r="E305" s="3247">
        <v>37.72</v>
      </c>
      <c r="F305" s="3243"/>
      <c r="G305" s="3245"/>
      <c r="H305" s="3246"/>
    </row>
    <row r="306" spans="1:8" ht="18" customHeight="1">
      <c r="A306" s="3242" t="s">
        <v>3485</v>
      </c>
      <c r="B306" s="3247">
        <v>48.93</v>
      </c>
      <c r="C306" s="3248">
        <v>12.72</v>
      </c>
      <c r="D306" s="3238"/>
      <c r="E306" s="3247">
        <v>36.21</v>
      </c>
      <c r="F306" s="3243"/>
      <c r="G306" s="3245"/>
      <c r="H306" s="3246"/>
    </row>
    <row r="307" spans="1:8" ht="18" customHeight="1">
      <c r="A307" s="3242" t="s">
        <v>3486</v>
      </c>
      <c r="B307" s="3247">
        <v>50.97</v>
      </c>
      <c r="C307" s="3248">
        <v>13.25</v>
      </c>
      <c r="D307" s="3238"/>
      <c r="E307" s="3247">
        <v>37.72</v>
      </c>
      <c r="F307" s="3243"/>
      <c r="G307" s="3245"/>
      <c r="H307" s="3246"/>
    </row>
    <row r="308" spans="1:8" ht="18" customHeight="1">
      <c r="A308" s="3249" t="s">
        <v>3487</v>
      </c>
      <c r="B308" s="3247">
        <v>53.01</v>
      </c>
      <c r="C308" s="3248">
        <v>13.78</v>
      </c>
      <c r="D308" s="3244"/>
      <c r="E308" s="3247">
        <v>39.229999999999997</v>
      </c>
      <c r="F308" s="3243"/>
      <c r="G308" s="3245"/>
      <c r="H308" s="3246"/>
    </row>
    <row r="309" spans="1:8" ht="18" customHeight="1">
      <c r="A309" s="3249" t="s">
        <v>3488</v>
      </c>
      <c r="B309" s="3247">
        <v>53.01</v>
      </c>
      <c r="C309" s="3248">
        <v>13.78</v>
      </c>
      <c r="D309" s="3244"/>
      <c r="E309" s="3247">
        <v>39.229999999999997</v>
      </c>
      <c r="F309" s="3243"/>
      <c r="G309" s="3245"/>
      <c r="H309" s="3246"/>
    </row>
    <row r="310" spans="1:8" ht="18" customHeight="1">
      <c r="A310" s="3249" t="s">
        <v>3489</v>
      </c>
      <c r="B310" s="3247">
        <v>50.97</v>
      </c>
      <c r="C310" s="3248">
        <v>13.25</v>
      </c>
      <c r="D310" s="3244"/>
      <c r="E310" s="3247">
        <v>37.72</v>
      </c>
      <c r="F310" s="3243"/>
      <c r="G310" s="3245"/>
      <c r="H310" s="3246"/>
    </row>
    <row r="311" spans="1:8" ht="18" customHeight="1">
      <c r="A311" s="3249" t="s">
        <v>3490</v>
      </c>
      <c r="B311" s="3247">
        <v>48.93</v>
      </c>
      <c r="C311" s="3248">
        <v>12.72</v>
      </c>
      <c r="D311" s="3244"/>
      <c r="E311" s="3247">
        <v>36.21</v>
      </c>
      <c r="F311" s="3243"/>
      <c r="G311" s="3245"/>
      <c r="H311" s="3246"/>
    </row>
    <row r="312" spans="1:8" ht="18" customHeight="1">
      <c r="A312" s="3249" t="s">
        <v>3491</v>
      </c>
      <c r="B312" s="3247">
        <v>50.97</v>
      </c>
      <c r="C312" s="3248">
        <v>13.25</v>
      </c>
      <c r="D312" s="3244"/>
      <c r="E312" s="3247">
        <v>37.72</v>
      </c>
      <c r="F312" s="3243"/>
      <c r="G312" s="3245"/>
      <c r="H312" s="3246"/>
    </row>
    <row r="313" spans="1:8" ht="18" customHeight="1">
      <c r="A313" s="3242" t="s">
        <v>3492</v>
      </c>
      <c r="B313" s="3247">
        <v>49.97</v>
      </c>
      <c r="C313" s="3248">
        <v>12.99</v>
      </c>
      <c r="D313" s="3244"/>
      <c r="E313" s="3247">
        <v>36.979999999999997</v>
      </c>
      <c r="F313" s="3243"/>
      <c r="G313" s="3245"/>
      <c r="H313" s="3246"/>
    </row>
    <row r="314" spans="1:8" ht="18" customHeight="1">
      <c r="A314" s="3242" t="s">
        <v>3493</v>
      </c>
      <c r="B314" s="3247">
        <v>49.97</v>
      </c>
      <c r="C314" s="3248">
        <v>12.99</v>
      </c>
      <c r="D314" s="3244"/>
      <c r="E314" s="3247">
        <v>36.979999999999997</v>
      </c>
      <c r="F314" s="3243"/>
      <c r="G314" s="3245"/>
      <c r="H314" s="3246"/>
    </row>
    <row r="315" spans="1:8" ht="18" customHeight="1">
      <c r="A315" s="3242" t="s">
        <v>3494</v>
      </c>
      <c r="B315" s="3247">
        <v>50.97</v>
      </c>
      <c r="C315" s="3248">
        <v>13.25</v>
      </c>
      <c r="D315" s="3244"/>
      <c r="E315" s="3247">
        <v>37.72</v>
      </c>
      <c r="F315" s="3243"/>
      <c r="G315" s="3245"/>
      <c r="H315" s="3246"/>
    </row>
    <row r="316" spans="1:8" ht="18" customHeight="1">
      <c r="A316" s="3242" t="s">
        <v>3495</v>
      </c>
      <c r="B316" s="3247">
        <v>48.93</v>
      </c>
      <c r="C316" s="3248">
        <v>12.72</v>
      </c>
      <c r="D316" s="3244"/>
      <c r="E316" s="3247">
        <v>36.21</v>
      </c>
      <c r="F316" s="3243"/>
      <c r="G316" s="3245"/>
      <c r="H316" s="3246"/>
    </row>
    <row r="317" spans="1:8" ht="18" customHeight="1">
      <c r="A317" s="3242" t="s">
        <v>3496</v>
      </c>
      <c r="B317" s="3247">
        <v>50.97</v>
      </c>
      <c r="C317" s="3248">
        <v>13.25</v>
      </c>
      <c r="D317" s="3244"/>
      <c r="E317" s="3247">
        <v>37.72</v>
      </c>
      <c r="F317" s="3243"/>
      <c r="G317" s="3245"/>
      <c r="H317" s="3246"/>
    </row>
    <row r="318" spans="1:8" ht="18" customHeight="1">
      <c r="A318" s="3242" t="s">
        <v>3497</v>
      </c>
      <c r="B318" s="3247">
        <v>50.78</v>
      </c>
      <c r="C318" s="3248">
        <v>13.2</v>
      </c>
      <c r="D318" s="3244"/>
      <c r="E318" s="3247">
        <v>37.58</v>
      </c>
      <c r="F318" s="3243"/>
      <c r="G318" s="3245"/>
      <c r="H318" s="3246"/>
    </row>
    <row r="319" spans="1:8" ht="18" customHeight="1">
      <c r="A319" s="3242" t="s">
        <v>3498</v>
      </c>
      <c r="B319" s="3247">
        <v>51.7</v>
      </c>
      <c r="C319" s="3248">
        <v>13.44</v>
      </c>
      <c r="D319" s="3244"/>
      <c r="E319" s="3247">
        <v>38.26</v>
      </c>
      <c r="F319" s="3243"/>
      <c r="G319" s="3245"/>
      <c r="H319" s="3246"/>
    </row>
    <row r="320" spans="1:8" ht="18" customHeight="1">
      <c r="A320" s="3242" t="s">
        <v>3499</v>
      </c>
      <c r="B320" s="3247"/>
      <c r="C320" s="3248"/>
      <c r="D320" s="3244"/>
      <c r="E320" s="3247"/>
      <c r="F320" s="3243"/>
      <c r="G320" s="3245"/>
      <c r="H320" s="3246"/>
    </row>
    <row r="321" spans="1:8">
      <c r="A321" s="3242" t="s">
        <v>3500</v>
      </c>
      <c r="B321" s="3247">
        <v>33.61</v>
      </c>
      <c r="C321" s="3243"/>
      <c r="D321" s="3243"/>
      <c r="E321" s="3243"/>
      <c r="F321" s="3245" t="s">
        <v>3305</v>
      </c>
      <c r="G321" s="3246"/>
    </row>
    <row r="322" spans="1:8">
      <c r="A322" s="3242" t="s">
        <v>3501</v>
      </c>
      <c r="B322" s="3247">
        <v>48.59</v>
      </c>
      <c r="C322" s="3243"/>
      <c r="D322" s="3243"/>
      <c r="E322" s="3243"/>
      <c r="F322" s="3245" t="s">
        <v>3305</v>
      </c>
      <c r="G322" s="3246"/>
    </row>
    <row r="323" spans="1:8">
      <c r="A323" s="3242" t="s">
        <v>3502</v>
      </c>
      <c r="B323" s="3247">
        <v>45.82</v>
      </c>
      <c r="C323" s="3243"/>
      <c r="D323" s="3243"/>
      <c r="E323" s="3243"/>
      <c r="F323" s="3245" t="s">
        <v>3305</v>
      </c>
      <c r="G323" s="3246"/>
    </row>
    <row r="324" spans="1:8">
      <c r="A324" s="3242" t="s">
        <v>3503</v>
      </c>
      <c r="B324" s="3247">
        <v>31.33</v>
      </c>
      <c r="C324" s="3243"/>
      <c r="D324" s="3243"/>
      <c r="E324" s="3243"/>
      <c r="F324" s="3245" t="s">
        <v>3305</v>
      </c>
      <c r="G324" s="3246"/>
    </row>
    <row r="325" spans="1:8">
      <c r="A325" s="3242" t="s">
        <v>3504</v>
      </c>
      <c r="B325" s="3247">
        <v>9.15</v>
      </c>
      <c r="C325" s="3243"/>
      <c r="D325" s="3243"/>
      <c r="E325" s="3243"/>
      <c r="F325" s="3245" t="s">
        <v>3305</v>
      </c>
      <c r="G325" s="3246"/>
    </row>
    <row r="326" spans="1:8" ht="18" customHeight="1">
      <c r="A326" s="3242" t="s">
        <v>3505</v>
      </c>
      <c r="B326" s="3243"/>
      <c r="C326" s="3244"/>
      <c r="D326" s="3244"/>
      <c r="E326" s="3243"/>
      <c r="F326" s="3243"/>
      <c r="G326" s="3245"/>
      <c r="H326" s="3246"/>
    </row>
    <row r="327" spans="1:8" ht="18" customHeight="1">
      <c r="A327" s="3242" t="s">
        <v>3506</v>
      </c>
      <c r="B327" s="3247">
        <v>44.53</v>
      </c>
      <c r="C327" s="3248">
        <v>44.53</v>
      </c>
      <c r="D327" s="3244"/>
      <c r="E327" s="3243"/>
      <c r="F327" s="3243"/>
      <c r="G327" s="3245"/>
      <c r="H327" s="3246"/>
    </row>
    <row r="328" spans="1:8" ht="18" customHeight="1">
      <c r="A328" s="3242" t="s">
        <v>3507</v>
      </c>
      <c r="B328" s="3247">
        <v>31.05</v>
      </c>
      <c r="C328" s="3248">
        <v>31.05</v>
      </c>
      <c r="D328" s="3244"/>
      <c r="E328" s="3243"/>
      <c r="F328" s="3243"/>
      <c r="G328" s="3245"/>
      <c r="H328" s="3246"/>
    </row>
    <row r="329" spans="1:8" ht="18" customHeight="1">
      <c r="A329" s="3242" t="s">
        <v>3508</v>
      </c>
      <c r="B329" s="3247">
        <v>36.72</v>
      </c>
      <c r="C329" s="3248">
        <v>36.72</v>
      </c>
      <c r="D329" s="3244"/>
      <c r="E329" s="3243"/>
      <c r="F329" s="3243"/>
      <c r="G329" s="3245"/>
      <c r="H329" s="3246"/>
    </row>
    <row r="330" spans="1:8" ht="18" customHeight="1">
      <c r="A330" s="3242" t="s">
        <v>3509</v>
      </c>
      <c r="B330" s="3247">
        <v>45.48</v>
      </c>
      <c r="C330" s="3248">
        <v>45.48</v>
      </c>
      <c r="D330" s="3238"/>
      <c r="E330" s="3243"/>
      <c r="F330" s="3243"/>
      <c r="G330" s="3245"/>
      <c r="H330" s="3246"/>
    </row>
    <row r="331" spans="1:8" ht="18" customHeight="1">
      <c r="A331" s="3242" t="s">
        <v>3510</v>
      </c>
      <c r="B331" s="3247">
        <v>47.13</v>
      </c>
      <c r="C331" s="3248">
        <v>47.13</v>
      </c>
      <c r="D331" s="3244"/>
      <c r="E331" s="3243"/>
      <c r="F331" s="3243"/>
      <c r="G331" s="3245"/>
      <c r="H331" s="3246"/>
    </row>
    <row r="332" spans="1:8" ht="18" customHeight="1">
      <c r="A332" s="3242" t="s">
        <v>3511</v>
      </c>
      <c r="B332" s="3247">
        <v>50.68</v>
      </c>
      <c r="C332" s="3248">
        <v>50.68</v>
      </c>
      <c r="D332" s="3244"/>
      <c r="E332" s="3243"/>
      <c r="F332" s="3243"/>
      <c r="G332" s="3245"/>
      <c r="H332" s="3246"/>
    </row>
    <row r="333" spans="1:8" ht="18" customHeight="1">
      <c r="A333" s="3242" t="s">
        <v>3512</v>
      </c>
      <c r="B333" s="3247">
        <v>9.15</v>
      </c>
      <c r="C333" s="3248">
        <v>9.15</v>
      </c>
      <c r="D333" s="3244"/>
      <c r="E333" s="3243"/>
      <c r="F333" s="3243"/>
      <c r="G333" s="3245"/>
      <c r="H333" s="3246"/>
    </row>
    <row r="334" spans="1:8" ht="18" customHeight="1">
      <c r="A334" s="3242" t="s">
        <v>3513</v>
      </c>
      <c r="B334" s="3247">
        <v>47.57</v>
      </c>
      <c r="C334" s="3248">
        <v>47.57</v>
      </c>
      <c r="D334" s="3244"/>
      <c r="E334" s="3243"/>
      <c r="F334" s="3243"/>
      <c r="G334" s="3245"/>
      <c r="H334" s="3246"/>
    </row>
    <row r="335" spans="1:8" ht="18" customHeight="1">
      <c r="A335" s="3242" t="s">
        <v>3514</v>
      </c>
      <c r="B335" s="3247">
        <v>45.81</v>
      </c>
      <c r="C335" s="3248">
        <v>45.81</v>
      </c>
      <c r="D335" s="3244"/>
      <c r="E335" s="3243"/>
      <c r="F335" s="3243"/>
      <c r="G335" s="3245"/>
      <c r="H335" s="3246"/>
    </row>
    <row r="336" spans="1:8" ht="18" customHeight="1">
      <c r="A336" s="3242" t="s">
        <v>3515</v>
      </c>
      <c r="B336" s="3247">
        <v>55.04</v>
      </c>
      <c r="C336" s="3248">
        <v>14.31</v>
      </c>
      <c r="D336" s="3238"/>
      <c r="E336" s="3247">
        <v>40.729999999999997</v>
      </c>
      <c r="F336" s="3243"/>
      <c r="G336" s="3245">
        <v>2.846603</v>
      </c>
      <c r="H336" s="3246"/>
    </row>
    <row r="337" spans="1:8" ht="18" customHeight="1">
      <c r="A337" s="3242" t="s">
        <v>3516</v>
      </c>
      <c r="B337" s="3247">
        <v>50.97</v>
      </c>
      <c r="C337" s="3248">
        <v>13.25</v>
      </c>
      <c r="D337" s="3238"/>
      <c r="E337" s="3247">
        <v>37.72</v>
      </c>
      <c r="F337" s="3243"/>
      <c r="G337" s="3245"/>
      <c r="H337" s="3246"/>
    </row>
    <row r="338" spans="1:8" ht="18" customHeight="1">
      <c r="A338" s="3249" t="s">
        <v>3517</v>
      </c>
      <c r="B338" s="3247">
        <v>48.93</v>
      </c>
      <c r="C338" s="3248">
        <v>12.72</v>
      </c>
      <c r="D338" s="3244"/>
      <c r="E338" s="3247">
        <v>36.21</v>
      </c>
      <c r="F338" s="3243"/>
      <c r="G338" s="3245"/>
      <c r="H338" s="3246"/>
    </row>
    <row r="339" spans="1:8" ht="18" customHeight="1">
      <c r="A339" s="3249" t="s">
        <v>3518</v>
      </c>
      <c r="B339" s="3247">
        <v>50.97</v>
      </c>
      <c r="C339" s="3248">
        <v>13.25</v>
      </c>
      <c r="D339" s="3244"/>
      <c r="E339" s="3247">
        <v>37.72</v>
      </c>
      <c r="F339" s="3243"/>
      <c r="G339" s="3245"/>
      <c r="H339" s="3246"/>
    </row>
    <row r="340" spans="1:8" ht="18" customHeight="1">
      <c r="A340" s="3249" t="s">
        <v>3519</v>
      </c>
      <c r="B340" s="3247">
        <v>50.97</v>
      </c>
      <c r="C340" s="3248">
        <v>13.25</v>
      </c>
      <c r="D340" s="3244"/>
      <c r="E340" s="3247">
        <v>37.72</v>
      </c>
      <c r="F340" s="3243"/>
      <c r="G340" s="3245"/>
      <c r="H340" s="3246"/>
    </row>
    <row r="341" spans="1:8" ht="18" customHeight="1">
      <c r="A341" s="3249" t="s">
        <v>3520</v>
      </c>
      <c r="B341" s="3247">
        <v>48.93</v>
      </c>
      <c r="C341" s="3248">
        <v>12.72</v>
      </c>
      <c r="D341" s="3244"/>
      <c r="E341" s="3247">
        <v>36.21</v>
      </c>
      <c r="F341" s="3243"/>
      <c r="G341" s="3245"/>
      <c r="H341" s="3246"/>
    </row>
    <row r="342" spans="1:8" ht="18" customHeight="1">
      <c r="A342" s="3249" t="s">
        <v>3521</v>
      </c>
      <c r="B342" s="3247">
        <v>50.97</v>
      </c>
      <c r="C342" s="3248">
        <v>13.25</v>
      </c>
      <c r="D342" s="3244"/>
      <c r="E342" s="3247">
        <v>37.72</v>
      </c>
      <c r="F342" s="3243"/>
      <c r="G342" s="3245"/>
      <c r="H342" s="3246"/>
    </row>
    <row r="343" spans="1:8" ht="18" customHeight="1">
      <c r="A343" s="3242" t="s">
        <v>3522</v>
      </c>
      <c r="B343" s="3247">
        <v>50.97</v>
      </c>
      <c r="C343" s="3248">
        <v>13.25</v>
      </c>
      <c r="D343" s="3244"/>
      <c r="E343" s="3247">
        <v>37.72</v>
      </c>
      <c r="F343" s="3243"/>
      <c r="G343" s="3245"/>
      <c r="H343" s="3246"/>
    </row>
    <row r="344" spans="1:8" ht="18" customHeight="1">
      <c r="A344" s="3242" t="s">
        <v>3523</v>
      </c>
      <c r="B344" s="3247">
        <v>48.93</v>
      </c>
      <c r="C344" s="3248">
        <v>12.72</v>
      </c>
      <c r="D344" s="3244"/>
      <c r="E344" s="3247">
        <v>36.21</v>
      </c>
      <c r="F344" s="3243"/>
      <c r="G344" s="3245"/>
      <c r="H344" s="3246"/>
    </row>
    <row r="345" spans="1:8" ht="18" customHeight="1">
      <c r="A345" s="3242" t="s">
        <v>3524</v>
      </c>
      <c r="B345" s="3247">
        <v>50.97</v>
      </c>
      <c r="C345" s="3248">
        <v>13.25</v>
      </c>
      <c r="D345" s="3244"/>
      <c r="E345" s="3247">
        <v>37.72</v>
      </c>
      <c r="F345" s="3243"/>
      <c r="G345" s="3245"/>
      <c r="H345" s="3246"/>
    </row>
    <row r="346" spans="1:8" ht="18" customHeight="1">
      <c r="A346" s="3242" t="s">
        <v>3525</v>
      </c>
      <c r="B346" s="3247">
        <v>50.97</v>
      </c>
      <c r="C346" s="3248">
        <v>13.25</v>
      </c>
      <c r="D346" s="3244"/>
      <c r="E346" s="3247">
        <v>37.72</v>
      </c>
      <c r="F346" s="3243"/>
      <c r="G346" s="3245"/>
      <c r="H346" s="3246"/>
    </row>
    <row r="347" spans="1:8" ht="18" customHeight="1">
      <c r="A347" s="3242" t="s">
        <v>3526</v>
      </c>
      <c r="B347" s="3247">
        <v>48.93</v>
      </c>
      <c r="C347" s="3248">
        <v>12.72</v>
      </c>
      <c r="D347" s="3244"/>
      <c r="E347" s="3247">
        <v>36.21</v>
      </c>
      <c r="F347" s="3243"/>
      <c r="G347" s="3245"/>
      <c r="H347" s="3246"/>
    </row>
    <row r="348" spans="1:8" ht="18" customHeight="1">
      <c r="A348" s="3242" t="s">
        <v>3527</v>
      </c>
      <c r="B348" s="3247">
        <v>50.97</v>
      </c>
      <c r="C348" s="3248">
        <v>13.25</v>
      </c>
      <c r="D348" s="3244"/>
      <c r="E348" s="3247">
        <v>37.72</v>
      </c>
      <c r="F348" s="3243"/>
      <c r="G348" s="3245"/>
      <c r="H348" s="3246"/>
    </row>
    <row r="349" spans="1:8" ht="18" customHeight="1">
      <c r="A349" s="3242" t="s">
        <v>3528</v>
      </c>
      <c r="B349" s="3247">
        <v>50.97</v>
      </c>
      <c r="C349" s="3248">
        <v>13.25</v>
      </c>
      <c r="D349" s="3244"/>
      <c r="E349" s="3247">
        <v>37.72</v>
      </c>
      <c r="F349" s="3243"/>
      <c r="G349" s="3245"/>
      <c r="H349" s="3246"/>
    </row>
    <row r="350" spans="1:8" ht="18" customHeight="1">
      <c r="A350" s="3242" t="s">
        <v>3529</v>
      </c>
      <c r="B350" s="3247">
        <v>48.93</v>
      </c>
      <c r="C350" s="3248">
        <v>12.72</v>
      </c>
      <c r="D350" s="3244"/>
      <c r="E350" s="3247">
        <v>36.21</v>
      </c>
      <c r="F350" s="3243"/>
      <c r="G350" s="3245"/>
      <c r="H350" s="3246"/>
    </row>
    <row r="351" spans="1:8" ht="18" customHeight="1">
      <c r="A351" s="3242" t="s">
        <v>3530</v>
      </c>
      <c r="B351" s="3247">
        <v>50.97</v>
      </c>
      <c r="C351" s="3248">
        <v>13.25</v>
      </c>
      <c r="D351" s="3244"/>
      <c r="E351" s="3247">
        <v>37.72</v>
      </c>
      <c r="F351" s="3243"/>
      <c r="G351" s="3245"/>
      <c r="H351" s="3246"/>
    </row>
    <row r="352" spans="1:8" ht="18" customHeight="1">
      <c r="A352" s="3242" t="s">
        <v>3531</v>
      </c>
      <c r="B352" s="3247">
        <v>50.97</v>
      </c>
      <c r="C352" s="3248">
        <v>13.25</v>
      </c>
      <c r="D352" s="3244"/>
      <c r="E352" s="3247">
        <v>37.72</v>
      </c>
      <c r="F352" s="3243"/>
      <c r="G352" s="3245"/>
      <c r="H352" s="3246"/>
    </row>
    <row r="353" spans="1:8" ht="18" customHeight="1">
      <c r="A353" s="3242" t="s">
        <v>3532</v>
      </c>
      <c r="B353" s="3247">
        <v>48.93</v>
      </c>
      <c r="C353" s="3248">
        <v>12.72</v>
      </c>
      <c r="D353" s="3244"/>
      <c r="E353" s="3247">
        <v>36.21</v>
      </c>
      <c r="F353" s="3243"/>
      <c r="G353" s="3245"/>
      <c r="H353" s="3246"/>
    </row>
    <row r="354" spans="1:8" ht="18" customHeight="1">
      <c r="A354" s="3242" t="s">
        <v>3533</v>
      </c>
      <c r="B354" s="3247">
        <v>50.97</v>
      </c>
      <c r="C354" s="3248">
        <v>13.25</v>
      </c>
      <c r="D354" s="3244"/>
      <c r="E354" s="3247">
        <v>37.72</v>
      </c>
      <c r="F354" s="3243"/>
      <c r="G354" s="3245"/>
      <c r="H354" s="3246"/>
    </row>
    <row r="355" spans="1:8" ht="18" customHeight="1">
      <c r="A355" s="3242" t="s">
        <v>3534</v>
      </c>
      <c r="B355" s="3247">
        <v>50.97</v>
      </c>
      <c r="C355" s="3248">
        <v>13.25</v>
      </c>
      <c r="D355" s="3244"/>
      <c r="E355" s="3247">
        <v>37.72</v>
      </c>
      <c r="F355" s="3243"/>
      <c r="G355" s="3245"/>
      <c r="H355" s="3246"/>
    </row>
    <row r="356" spans="1:8" ht="18" customHeight="1">
      <c r="A356" s="3242" t="s">
        <v>3535</v>
      </c>
      <c r="B356" s="3247">
        <v>48.93</v>
      </c>
      <c r="C356" s="3248">
        <v>12.72</v>
      </c>
      <c r="D356" s="3244"/>
      <c r="E356" s="3247">
        <v>36.21</v>
      </c>
      <c r="F356" s="3243"/>
      <c r="G356" s="3245"/>
      <c r="H356" s="3246"/>
    </row>
    <row r="357" spans="1:8" ht="18" customHeight="1">
      <c r="A357" s="3242" t="s">
        <v>3536</v>
      </c>
      <c r="B357" s="3247">
        <v>50.97</v>
      </c>
      <c r="C357" s="3248">
        <v>13.25</v>
      </c>
      <c r="D357" s="3244"/>
      <c r="E357" s="3247">
        <v>37.72</v>
      </c>
      <c r="F357" s="3243"/>
      <c r="G357" s="3245"/>
      <c r="H357" s="3246"/>
    </row>
    <row r="358" spans="1:8" ht="18" customHeight="1">
      <c r="A358" s="3242" t="s">
        <v>3537</v>
      </c>
      <c r="B358" s="3247">
        <v>50.97</v>
      </c>
      <c r="C358" s="3248">
        <v>13.25</v>
      </c>
      <c r="D358" s="3244"/>
      <c r="E358" s="3247">
        <v>37.72</v>
      </c>
      <c r="F358" s="3243"/>
      <c r="G358" s="3245"/>
      <c r="H358" s="3246"/>
    </row>
    <row r="359" spans="1:8" ht="18" customHeight="1">
      <c r="A359" s="3242" t="s">
        <v>3538</v>
      </c>
      <c r="B359" s="3247">
        <v>48.93</v>
      </c>
      <c r="C359" s="3248">
        <v>12.72</v>
      </c>
      <c r="D359" s="3244"/>
      <c r="E359" s="3247">
        <v>36.21</v>
      </c>
      <c r="F359" s="3243"/>
      <c r="G359" s="3245"/>
      <c r="H359" s="3246"/>
    </row>
    <row r="360" spans="1:8" ht="18" customHeight="1">
      <c r="A360" s="3242" t="s">
        <v>3539</v>
      </c>
      <c r="B360" s="3247">
        <v>50.97</v>
      </c>
      <c r="C360" s="3248">
        <v>13.25</v>
      </c>
      <c r="D360" s="3238"/>
      <c r="E360" s="3247">
        <v>37.72</v>
      </c>
      <c r="F360" s="3243"/>
      <c r="G360" s="3245"/>
      <c r="H360" s="3246"/>
    </row>
    <row r="361" spans="1:8" ht="18" customHeight="1">
      <c r="A361" s="3242" t="s">
        <v>3540</v>
      </c>
      <c r="B361" s="3247">
        <v>73.39</v>
      </c>
      <c r="C361" s="3248">
        <v>19.079999999999998</v>
      </c>
      <c r="D361" s="3244"/>
      <c r="E361" s="3247">
        <v>54.31</v>
      </c>
      <c r="F361" s="3243"/>
      <c r="G361" s="3245"/>
      <c r="H361" s="3246"/>
    </row>
    <row r="362" spans="1:8" ht="18" customHeight="1">
      <c r="A362" s="3242" t="s">
        <v>3541</v>
      </c>
      <c r="B362" s="3247">
        <v>73.39</v>
      </c>
      <c r="C362" s="3248">
        <v>19.079999999999998</v>
      </c>
      <c r="D362" s="3244"/>
      <c r="E362" s="3247">
        <v>54.31</v>
      </c>
      <c r="F362" s="3243"/>
      <c r="G362" s="3245"/>
      <c r="H362" s="3246"/>
    </row>
    <row r="363" spans="1:8" ht="18" customHeight="1">
      <c r="A363" s="3242" t="s">
        <v>3542</v>
      </c>
      <c r="B363" s="3247">
        <v>73.39</v>
      </c>
      <c r="C363" s="3248">
        <v>19.079999999999998</v>
      </c>
      <c r="D363" s="3244"/>
      <c r="E363" s="3247">
        <v>54.31</v>
      </c>
      <c r="F363" s="3243"/>
      <c r="G363" s="3245"/>
      <c r="H363" s="3246"/>
    </row>
    <row r="364" spans="1:8" ht="18" customHeight="1">
      <c r="A364" s="3242" t="s">
        <v>3543</v>
      </c>
      <c r="B364" s="3247">
        <v>50.97</v>
      </c>
      <c r="C364" s="3248">
        <v>13.25</v>
      </c>
      <c r="D364" s="3244"/>
      <c r="E364" s="3247">
        <v>37.72</v>
      </c>
      <c r="F364" s="3243"/>
      <c r="G364" s="3245"/>
      <c r="H364" s="3246"/>
    </row>
    <row r="365" spans="1:8" ht="18" customHeight="1">
      <c r="A365" s="3242" t="s">
        <v>3544</v>
      </c>
      <c r="B365" s="3247">
        <v>48.93</v>
      </c>
      <c r="C365" s="3248">
        <v>12.72</v>
      </c>
      <c r="D365" s="3244"/>
      <c r="E365" s="3247">
        <v>36.21</v>
      </c>
      <c r="F365" s="3243"/>
      <c r="G365" s="3245"/>
      <c r="H365" s="3246"/>
    </row>
    <row r="366" spans="1:8" ht="18" customHeight="1">
      <c r="A366" s="3242" t="s">
        <v>3545</v>
      </c>
      <c r="B366" s="3247">
        <v>50.97</v>
      </c>
      <c r="C366" s="3248">
        <v>13.25</v>
      </c>
      <c r="D366" s="3238"/>
      <c r="E366" s="3247">
        <v>37.72</v>
      </c>
      <c r="F366" s="3243"/>
      <c r="G366" s="3245"/>
      <c r="H366" s="3246"/>
    </row>
    <row r="367" spans="1:8" ht="18" customHeight="1">
      <c r="A367" s="3242" t="s">
        <v>3546</v>
      </c>
      <c r="B367" s="3247">
        <v>50.97</v>
      </c>
      <c r="C367" s="3248">
        <v>13.25</v>
      </c>
      <c r="D367" s="3238"/>
      <c r="E367" s="3247">
        <v>37.72</v>
      </c>
      <c r="F367" s="3243"/>
      <c r="G367" s="3245"/>
      <c r="H367" s="3246"/>
    </row>
    <row r="368" spans="1:8" ht="18" customHeight="1">
      <c r="A368" s="3249" t="s">
        <v>3547</v>
      </c>
      <c r="B368" s="3247">
        <v>48.93</v>
      </c>
      <c r="C368" s="3248">
        <v>12.72</v>
      </c>
      <c r="D368" s="3244"/>
      <c r="E368" s="3247">
        <v>36.21</v>
      </c>
      <c r="F368" s="3243"/>
      <c r="G368" s="3245"/>
      <c r="H368" s="3246"/>
    </row>
    <row r="369" spans="1:8" ht="18" customHeight="1">
      <c r="A369" s="3249" t="s">
        <v>3548</v>
      </c>
      <c r="B369" s="3247">
        <v>50.97</v>
      </c>
      <c r="C369" s="3248">
        <v>13.25</v>
      </c>
      <c r="D369" s="3244"/>
      <c r="E369" s="3247">
        <v>37.72</v>
      </c>
      <c r="F369" s="3243"/>
      <c r="G369" s="3245"/>
      <c r="H369" s="3246"/>
    </row>
    <row r="370" spans="1:8" ht="18" customHeight="1">
      <c r="A370" s="3249" t="s">
        <v>3549</v>
      </c>
      <c r="B370" s="3247">
        <v>49.97</v>
      </c>
      <c r="C370" s="3248">
        <v>12.99</v>
      </c>
      <c r="D370" s="3244"/>
      <c r="E370" s="3247">
        <v>36.979999999999997</v>
      </c>
      <c r="F370" s="3243"/>
      <c r="G370" s="3245"/>
      <c r="H370" s="3246"/>
    </row>
    <row r="371" spans="1:8" ht="18" customHeight="1">
      <c r="A371" s="3249" t="s">
        <v>3550</v>
      </c>
      <c r="B371" s="3247">
        <v>49.97</v>
      </c>
      <c r="C371" s="3248">
        <v>12.99</v>
      </c>
      <c r="D371" s="3244"/>
      <c r="E371" s="3247">
        <v>36.979999999999997</v>
      </c>
      <c r="F371" s="3243"/>
      <c r="G371" s="3245"/>
      <c r="H371" s="3246"/>
    </row>
    <row r="372" spans="1:8" ht="18" customHeight="1">
      <c r="A372" s="3249" t="s">
        <v>3551</v>
      </c>
      <c r="B372" s="3247">
        <v>50.97</v>
      </c>
      <c r="C372" s="3248">
        <v>13.25</v>
      </c>
      <c r="D372" s="3244"/>
      <c r="E372" s="3247">
        <v>37.72</v>
      </c>
      <c r="F372" s="3243"/>
      <c r="G372" s="3245"/>
      <c r="H372" s="3246"/>
    </row>
    <row r="373" spans="1:8" ht="18" customHeight="1">
      <c r="A373" s="3242" t="s">
        <v>3552</v>
      </c>
      <c r="B373" s="3247">
        <v>48.93</v>
      </c>
      <c r="C373" s="3248">
        <v>12.72</v>
      </c>
      <c r="D373" s="3244"/>
      <c r="E373" s="3247">
        <v>36.21</v>
      </c>
      <c r="F373" s="3243"/>
      <c r="G373" s="3245"/>
      <c r="H373" s="3246"/>
    </row>
    <row r="374" spans="1:8" ht="18" customHeight="1">
      <c r="A374" s="3242" t="s">
        <v>3553</v>
      </c>
      <c r="B374" s="3247">
        <v>50.97</v>
      </c>
      <c r="C374" s="3248">
        <v>13.25</v>
      </c>
      <c r="D374" s="3244"/>
      <c r="E374" s="3247">
        <v>37.72</v>
      </c>
      <c r="F374" s="3243"/>
      <c r="G374" s="3245"/>
      <c r="H374" s="3246"/>
    </row>
    <row r="375" spans="1:8" ht="18" customHeight="1">
      <c r="A375" s="3242" t="s">
        <v>3554</v>
      </c>
      <c r="B375" s="3247">
        <v>49.97</v>
      </c>
      <c r="C375" s="3248">
        <v>12.99</v>
      </c>
      <c r="D375" s="3244"/>
      <c r="E375" s="3247">
        <v>36.979999999999997</v>
      </c>
      <c r="F375" s="3243"/>
      <c r="G375" s="3245"/>
      <c r="H375" s="3246"/>
    </row>
    <row r="376" spans="1:8" ht="18" customHeight="1">
      <c r="A376" s="3242" t="s">
        <v>3555</v>
      </c>
      <c r="B376" s="3247">
        <v>49.97</v>
      </c>
      <c r="C376" s="3248">
        <v>12.99</v>
      </c>
      <c r="D376" s="3244"/>
      <c r="E376" s="3247">
        <v>36.979999999999997</v>
      </c>
      <c r="F376" s="3243"/>
      <c r="G376" s="3245"/>
      <c r="H376" s="3246"/>
    </row>
    <row r="377" spans="1:8" ht="18" customHeight="1">
      <c r="A377" s="3242" t="s">
        <v>3556</v>
      </c>
      <c r="B377" s="3247">
        <v>50.97</v>
      </c>
      <c r="C377" s="3248">
        <v>13.25</v>
      </c>
      <c r="D377" s="3244"/>
      <c r="E377" s="3247">
        <v>37.72</v>
      </c>
      <c r="F377" s="3243"/>
      <c r="G377" s="3245"/>
      <c r="H377" s="3246"/>
    </row>
    <row r="378" spans="1:8" ht="18" customHeight="1">
      <c r="A378" s="3242" t="s">
        <v>3557</v>
      </c>
      <c r="B378" s="3247">
        <v>48.93</v>
      </c>
      <c r="C378" s="3248">
        <v>12.72</v>
      </c>
      <c r="D378" s="3244"/>
      <c r="E378" s="3247">
        <v>36.21</v>
      </c>
      <c r="F378" s="3243"/>
      <c r="G378" s="3245"/>
      <c r="H378" s="3246"/>
    </row>
    <row r="379" spans="1:8" ht="18" customHeight="1">
      <c r="A379" s="3242" t="s">
        <v>3558</v>
      </c>
      <c r="B379" s="3247">
        <v>50.97</v>
      </c>
      <c r="C379" s="3248">
        <v>13.25</v>
      </c>
      <c r="D379" s="3244"/>
      <c r="E379" s="3247">
        <v>37.72</v>
      </c>
      <c r="F379" s="3243"/>
      <c r="G379" s="3245"/>
      <c r="H379" s="3246"/>
    </row>
    <row r="380" spans="1:8" ht="18" customHeight="1">
      <c r="A380" s="3242" t="s">
        <v>3559</v>
      </c>
      <c r="B380" s="3247">
        <v>50.97</v>
      </c>
      <c r="C380" s="3248">
        <v>13.25</v>
      </c>
      <c r="D380" s="3244"/>
      <c r="E380" s="3247">
        <v>37.72</v>
      </c>
      <c r="F380" s="3243"/>
      <c r="G380" s="3245"/>
      <c r="H380" s="3246"/>
    </row>
    <row r="381" spans="1:8" ht="18" customHeight="1">
      <c r="A381" s="3242" t="s">
        <v>3560</v>
      </c>
      <c r="B381" s="3247">
        <v>50.97</v>
      </c>
      <c r="C381" s="3248">
        <v>13.25</v>
      </c>
      <c r="D381" s="3244"/>
      <c r="E381" s="3247">
        <v>37.72</v>
      </c>
      <c r="F381" s="3243"/>
      <c r="G381" s="3245"/>
      <c r="H381" s="3246"/>
    </row>
    <row r="382" spans="1:8" ht="18" customHeight="1">
      <c r="A382" s="3242" t="s">
        <v>3561</v>
      </c>
      <c r="B382" s="3247">
        <v>50.97</v>
      </c>
      <c r="C382" s="3248">
        <v>13.25</v>
      </c>
      <c r="D382" s="3244"/>
      <c r="E382" s="3247">
        <v>37.72</v>
      </c>
      <c r="F382" s="3243"/>
      <c r="G382" s="3245"/>
      <c r="H382" s="3246"/>
    </row>
    <row r="383" spans="1:8" ht="18" customHeight="1">
      <c r="A383" s="3242" t="s">
        <v>3562</v>
      </c>
      <c r="B383" s="3247">
        <v>48.93</v>
      </c>
      <c r="C383" s="3248">
        <v>12.72</v>
      </c>
      <c r="D383" s="3244"/>
      <c r="E383" s="3247">
        <v>36.21</v>
      </c>
      <c r="F383" s="3243"/>
      <c r="G383" s="3245"/>
      <c r="H383" s="3246"/>
    </row>
    <row r="384" spans="1:8" ht="18" customHeight="1">
      <c r="A384" s="3242" t="s">
        <v>3563</v>
      </c>
      <c r="B384" s="3247">
        <v>50.97</v>
      </c>
      <c r="C384" s="3248">
        <v>13.25</v>
      </c>
      <c r="D384" s="3244"/>
      <c r="E384" s="3247">
        <v>37.72</v>
      </c>
      <c r="F384" s="3243"/>
      <c r="G384" s="3245"/>
      <c r="H384" s="3246"/>
    </row>
    <row r="385" spans="1:8" ht="18" customHeight="1">
      <c r="A385" s="3242" t="s">
        <v>3564</v>
      </c>
      <c r="B385" s="3247">
        <v>53.01</v>
      </c>
      <c r="C385" s="3248">
        <v>13.78</v>
      </c>
      <c r="D385" s="3244"/>
      <c r="E385" s="3247">
        <v>39.229999999999997</v>
      </c>
      <c r="F385" s="3243"/>
      <c r="G385" s="3245"/>
      <c r="H385" s="3246"/>
    </row>
    <row r="386" spans="1:8" ht="18" customHeight="1">
      <c r="A386" s="3242" t="s">
        <v>3565</v>
      </c>
      <c r="B386" s="3247">
        <v>50.97</v>
      </c>
      <c r="C386" s="3248">
        <v>13.25</v>
      </c>
      <c r="D386" s="3244"/>
      <c r="E386" s="3247">
        <v>37.72</v>
      </c>
      <c r="F386" s="3243"/>
      <c r="G386" s="3245"/>
      <c r="H386" s="3246"/>
    </row>
    <row r="387" spans="1:8" ht="18" customHeight="1">
      <c r="A387" s="3242" t="s">
        <v>3566</v>
      </c>
      <c r="B387" s="3247">
        <v>48.93</v>
      </c>
      <c r="C387" s="3248">
        <v>12.72</v>
      </c>
      <c r="D387" s="3244"/>
      <c r="E387" s="3247">
        <v>36.21</v>
      </c>
      <c r="F387" s="3243"/>
      <c r="G387" s="3245"/>
      <c r="H387" s="3246"/>
    </row>
    <row r="388" spans="1:8" ht="18" customHeight="1">
      <c r="A388" s="3242" t="s">
        <v>3567</v>
      </c>
      <c r="B388" s="3247">
        <v>50.97</v>
      </c>
      <c r="C388" s="3248">
        <v>13.25</v>
      </c>
      <c r="D388" s="3244"/>
      <c r="E388" s="3247">
        <v>37.72</v>
      </c>
      <c r="F388" s="3243"/>
      <c r="G388" s="3245"/>
      <c r="H388" s="3246"/>
    </row>
    <row r="389" spans="1:8" ht="18" customHeight="1">
      <c r="A389" s="3242" t="s">
        <v>3568</v>
      </c>
      <c r="B389" s="3247">
        <v>51.7</v>
      </c>
      <c r="C389" s="3248">
        <v>13.44</v>
      </c>
      <c r="D389" s="3244"/>
      <c r="E389" s="3247">
        <v>38.26</v>
      </c>
      <c r="F389" s="3243"/>
      <c r="G389" s="3245"/>
      <c r="H389" s="3246"/>
    </row>
    <row r="390" spans="1:8" ht="18" customHeight="1">
      <c r="A390" s="3242" t="s">
        <v>3569</v>
      </c>
      <c r="B390" s="3247">
        <v>50.78</v>
      </c>
      <c r="C390" s="3248">
        <v>13.2</v>
      </c>
      <c r="D390" s="3238"/>
      <c r="E390" s="3247">
        <v>37.58</v>
      </c>
      <c r="F390" s="3243"/>
      <c r="G390" s="3245"/>
      <c r="H390" s="3246"/>
    </row>
    <row r="391" spans="1:8" ht="18" customHeight="1">
      <c r="A391" s="3242" t="s">
        <v>3570</v>
      </c>
      <c r="B391" s="3247">
        <v>50.78</v>
      </c>
      <c r="C391" s="3248">
        <v>13.2</v>
      </c>
      <c r="D391" s="3244"/>
      <c r="E391" s="3247">
        <v>37.58</v>
      </c>
      <c r="F391" s="3243"/>
      <c r="G391" s="3245"/>
      <c r="H391" s="3246"/>
    </row>
    <row r="392" spans="1:8" ht="18" customHeight="1">
      <c r="A392" s="3242" t="s">
        <v>3571</v>
      </c>
      <c r="B392" s="3247">
        <v>73.39</v>
      </c>
      <c r="C392" s="3248">
        <v>19.079999999999998</v>
      </c>
      <c r="D392" s="3244"/>
      <c r="E392" s="3247">
        <v>54.31</v>
      </c>
      <c r="F392" s="3243"/>
      <c r="G392" s="3245"/>
      <c r="H392" s="3246"/>
    </row>
    <row r="393" spans="1:8" ht="18" customHeight="1">
      <c r="A393" s="3242" t="s">
        <v>3572</v>
      </c>
      <c r="B393" s="3247">
        <v>50.97</v>
      </c>
      <c r="C393" s="3248">
        <v>13.25</v>
      </c>
      <c r="D393" s="3244"/>
      <c r="E393" s="3247">
        <v>37.72</v>
      </c>
      <c r="F393" s="3243"/>
      <c r="G393" s="3245"/>
      <c r="H393" s="3246"/>
    </row>
    <row r="394" spans="1:8" ht="18" customHeight="1">
      <c r="A394" s="3242" t="s">
        <v>3573</v>
      </c>
      <c r="B394" s="3247">
        <v>50.97</v>
      </c>
      <c r="C394" s="3248">
        <v>13.25</v>
      </c>
      <c r="D394" s="3244"/>
      <c r="E394" s="3247">
        <v>37.72</v>
      </c>
      <c r="F394" s="3243"/>
      <c r="G394" s="3245"/>
      <c r="H394" s="3246"/>
    </row>
    <row r="395" spans="1:8" ht="18" customHeight="1">
      <c r="A395" s="3242" t="s">
        <v>3574</v>
      </c>
      <c r="B395" s="3247">
        <v>48.93</v>
      </c>
      <c r="C395" s="3248">
        <v>12.72</v>
      </c>
      <c r="D395" s="3244"/>
      <c r="E395" s="3247">
        <v>36.21</v>
      </c>
      <c r="F395" s="3243"/>
      <c r="G395" s="3245"/>
      <c r="H395" s="3246"/>
    </row>
    <row r="396" spans="1:8" ht="18" customHeight="1">
      <c r="A396" s="3242" t="s">
        <v>3575</v>
      </c>
      <c r="B396" s="3247">
        <v>50.97</v>
      </c>
      <c r="C396" s="3248">
        <v>13.25</v>
      </c>
      <c r="D396" s="3238"/>
      <c r="E396" s="3247">
        <v>37.72</v>
      </c>
      <c r="F396" s="3243"/>
      <c r="G396" s="3245"/>
      <c r="H396" s="3246"/>
    </row>
    <row r="397" spans="1:8" ht="18" customHeight="1">
      <c r="A397" s="3242" t="s">
        <v>3576</v>
      </c>
      <c r="B397" s="3247">
        <v>73.39</v>
      </c>
      <c r="C397" s="3248">
        <v>19.079999999999998</v>
      </c>
      <c r="D397" s="3238"/>
      <c r="E397" s="3247">
        <v>54.31</v>
      </c>
      <c r="F397" s="3243"/>
      <c r="G397" s="3245"/>
      <c r="H397" s="3246"/>
    </row>
    <row r="398" spans="1:8" ht="18" customHeight="1">
      <c r="A398" s="3249" t="s">
        <v>3577</v>
      </c>
      <c r="B398" s="3247">
        <v>48.93</v>
      </c>
      <c r="C398" s="3248">
        <v>12.72</v>
      </c>
      <c r="D398" s="3244"/>
      <c r="E398" s="3247">
        <v>36.21</v>
      </c>
      <c r="F398" s="3243"/>
      <c r="G398" s="3245"/>
      <c r="H398" s="3246"/>
    </row>
    <row r="399" spans="1:8" ht="18" customHeight="1">
      <c r="A399" s="3249" t="s">
        <v>3578</v>
      </c>
      <c r="B399" s="3247">
        <v>50.97</v>
      </c>
      <c r="C399" s="3248">
        <v>13.25</v>
      </c>
      <c r="D399" s="3244"/>
      <c r="E399" s="3247">
        <v>37.72</v>
      </c>
      <c r="F399" s="3243"/>
      <c r="G399" s="3245"/>
      <c r="H399" s="3246"/>
    </row>
    <row r="400" spans="1:8" ht="18" customHeight="1">
      <c r="A400" s="3249" t="s">
        <v>3579</v>
      </c>
      <c r="B400" s="3247">
        <v>48.93</v>
      </c>
      <c r="C400" s="3248">
        <v>12.72</v>
      </c>
      <c r="D400" s="3244"/>
      <c r="E400" s="3247">
        <v>36.21</v>
      </c>
      <c r="F400" s="3243"/>
      <c r="G400" s="3245"/>
      <c r="H400" s="3246"/>
    </row>
    <row r="401" spans="1:8" ht="18" customHeight="1">
      <c r="A401" s="3249" t="s">
        <v>3580</v>
      </c>
      <c r="B401" s="3247">
        <v>48.93</v>
      </c>
      <c r="C401" s="3248">
        <v>12.72</v>
      </c>
      <c r="D401" s="3244"/>
      <c r="E401" s="3247">
        <v>36.21</v>
      </c>
      <c r="F401" s="3243"/>
      <c r="G401" s="3245"/>
      <c r="H401" s="3246"/>
    </row>
    <row r="402" spans="1:8" ht="18" customHeight="1">
      <c r="A402" s="3249" t="s">
        <v>3581</v>
      </c>
      <c r="B402" s="3247">
        <v>48.93</v>
      </c>
      <c r="C402" s="3248">
        <v>12.72</v>
      </c>
      <c r="D402" s="3244"/>
      <c r="E402" s="3247">
        <v>36.21</v>
      </c>
      <c r="F402" s="3243"/>
      <c r="G402" s="3245"/>
      <c r="H402" s="3246"/>
    </row>
    <row r="403" spans="1:8" ht="18" customHeight="1">
      <c r="A403" s="3242" t="s">
        <v>3582</v>
      </c>
      <c r="B403" s="3247">
        <v>48.93</v>
      </c>
      <c r="C403" s="3248">
        <v>12.72</v>
      </c>
      <c r="D403" s="3244"/>
      <c r="E403" s="3247">
        <v>36.21</v>
      </c>
      <c r="F403" s="3243"/>
      <c r="G403" s="3245"/>
      <c r="H403" s="3246"/>
    </row>
    <row r="404" spans="1:8" ht="18" customHeight="1">
      <c r="A404" s="3242" t="s">
        <v>3583</v>
      </c>
      <c r="B404" s="3247">
        <v>50.97</v>
      </c>
      <c r="C404" s="3248">
        <v>13.25</v>
      </c>
      <c r="D404" s="3244"/>
      <c r="E404" s="3247">
        <v>37.72</v>
      </c>
      <c r="F404" s="3243"/>
      <c r="G404" s="3245"/>
      <c r="H404" s="3246"/>
    </row>
    <row r="405" spans="1:8" ht="18" customHeight="1">
      <c r="A405" s="3242" t="s">
        <v>3584</v>
      </c>
      <c r="B405" s="3247">
        <v>48.93</v>
      </c>
      <c r="C405" s="3248">
        <v>12.72</v>
      </c>
      <c r="D405" s="3244"/>
      <c r="E405" s="3247">
        <v>36.21</v>
      </c>
      <c r="F405" s="3243"/>
      <c r="G405" s="3245"/>
      <c r="H405" s="3246"/>
    </row>
    <row r="406" spans="1:8" ht="18" customHeight="1">
      <c r="A406" s="3242" t="s">
        <v>3585</v>
      </c>
      <c r="B406" s="3247">
        <v>50.97</v>
      </c>
      <c r="C406" s="3248">
        <v>13.25</v>
      </c>
      <c r="D406" s="3244"/>
      <c r="E406" s="3247">
        <v>37.72</v>
      </c>
      <c r="F406" s="3243"/>
      <c r="G406" s="3245"/>
      <c r="H406" s="3246"/>
    </row>
    <row r="407" spans="1:8" ht="18" customHeight="1">
      <c r="A407" s="3242" t="s">
        <v>3586</v>
      </c>
      <c r="B407" s="3247">
        <v>50.97</v>
      </c>
      <c r="C407" s="3248">
        <v>13.25</v>
      </c>
      <c r="D407" s="3244"/>
      <c r="E407" s="3247">
        <v>37.72</v>
      </c>
      <c r="F407" s="3243"/>
      <c r="G407" s="3245"/>
      <c r="H407" s="3246"/>
    </row>
    <row r="408" spans="1:8" ht="18" customHeight="1">
      <c r="A408" s="3242" t="s">
        <v>3587</v>
      </c>
      <c r="B408" s="3247">
        <v>48.93</v>
      </c>
      <c r="C408" s="3248">
        <v>12.72</v>
      </c>
      <c r="D408" s="3244"/>
      <c r="E408" s="3247">
        <v>36.21</v>
      </c>
      <c r="F408" s="3243"/>
      <c r="G408" s="3245"/>
      <c r="H408" s="3246"/>
    </row>
    <row r="409" spans="1:8" ht="18" customHeight="1">
      <c r="A409" s="3242" t="s">
        <v>3588</v>
      </c>
      <c r="B409" s="3247">
        <v>50.97</v>
      </c>
      <c r="C409" s="3248">
        <v>13.25</v>
      </c>
      <c r="D409" s="3244"/>
      <c r="E409" s="3247">
        <v>37.72</v>
      </c>
      <c r="F409" s="3243"/>
      <c r="G409" s="3245"/>
      <c r="H409" s="3246"/>
    </row>
    <row r="410" spans="1:8" ht="18" customHeight="1">
      <c r="A410" s="3242" t="s">
        <v>3589</v>
      </c>
      <c r="B410" s="3247">
        <v>49.97</v>
      </c>
      <c r="C410" s="3248">
        <v>12.99</v>
      </c>
      <c r="D410" s="3244"/>
      <c r="E410" s="3247">
        <v>36.979999999999997</v>
      </c>
      <c r="F410" s="3243"/>
      <c r="G410" s="3245"/>
      <c r="H410" s="3246"/>
    </row>
    <row r="411" spans="1:8" ht="18" customHeight="1">
      <c r="A411" s="3242" t="s">
        <v>3590</v>
      </c>
      <c r="B411" s="3247">
        <v>49.97</v>
      </c>
      <c r="C411" s="3248">
        <v>12.99</v>
      </c>
      <c r="D411" s="3244"/>
      <c r="E411" s="3247">
        <v>36.979999999999997</v>
      </c>
      <c r="F411" s="3243"/>
      <c r="G411" s="3245"/>
      <c r="H411" s="3246"/>
    </row>
    <row r="412" spans="1:8" ht="18" customHeight="1">
      <c r="A412" s="3242" t="s">
        <v>3591</v>
      </c>
      <c r="B412" s="3247">
        <v>49.97</v>
      </c>
      <c r="C412" s="3248">
        <v>12.99</v>
      </c>
      <c r="D412" s="3244"/>
      <c r="E412" s="3247">
        <v>36.979999999999997</v>
      </c>
      <c r="F412" s="3243"/>
      <c r="G412" s="3245"/>
      <c r="H412" s="3246"/>
    </row>
    <row r="413" spans="1:8" ht="18" customHeight="1">
      <c r="A413" s="3242" t="s">
        <v>3592</v>
      </c>
      <c r="B413" s="3247">
        <v>49.97</v>
      </c>
      <c r="C413" s="3248">
        <v>12.99</v>
      </c>
      <c r="D413" s="3244"/>
      <c r="E413" s="3247">
        <v>36.979999999999997</v>
      </c>
      <c r="F413" s="3243"/>
      <c r="G413" s="3245"/>
      <c r="H413" s="3246"/>
    </row>
    <row r="414" spans="1:8" ht="18" customHeight="1">
      <c r="A414" s="3242" t="s">
        <v>3593</v>
      </c>
      <c r="B414" s="3247">
        <v>50.97</v>
      </c>
      <c r="C414" s="3248">
        <v>13.25</v>
      </c>
      <c r="D414" s="3244"/>
      <c r="E414" s="3247">
        <v>37.72</v>
      </c>
      <c r="F414" s="3243"/>
      <c r="G414" s="3245">
        <v>2.846603</v>
      </c>
      <c r="H414" s="3246"/>
    </row>
    <row r="415" spans="1:8" ht="18" customHeight="1">
      <c r="A415" s="3242" t="s">
        <v>3594</v>
      </c>
      <c r="B415" s="3247">
        <v>48.93</v>
      </c>
      <c r="C415" s="3248">
        <v>12.72</v>
      </c>
      <c r="D415" s="3244"/>
      <c r="E415" s="3247">
        <v>36.21</v>
      </c>
      <c r="F415" s="3243"/>
      <c r="G415" s="3245"/>
      <c r="H415" s="3246"/>
    </row>
    <row r="416" spans="1:8" ht="18" customHeight="1">
      <c r="A416" s="3242" t="s">
        <v>3595</v>
      </c>
      <c r="B416" s="3247">
        <v>50.97</v>
      </c>
      <c r="C416" s="3248">
        <v>13.25</v>
      </c>
      <c r="D416" s="3244"/>
      <c r="E416" s="3247">
        <v>37.72</v>
      </c>
      <c r="F416" s="3243"/>
      <c r="G416" s="3245"/>
      <c r="H416" s="3246"/>
    </row>
    <row r="417" spans="1:8" ht="18" customHeight="1">
      <c r="A417" s="3242" t="s">
        <v>3596</v>
      </c>
      <c r="B417" s="3247">
        <v>58.16</v>
      </c>
      <c r="C417" s="3248">
        <v>15.12</v>
      </c>
      <c r="D417" s="3244"/>
      <c r="E417" s="3247">
        <v>43.04</v>
      </c>
      <c r="F417" s="3243"/>
      <c r="G417" s="3245"/>
      <c r="H417" s="3246"/>
    </row>
    <row r="418" spans="1:8" ht="18" customHeight="1">
      <c r="A418" s="3242" t="s">
        <v>3597</v>
      </c>
      <c r="B418" s="3247">
        <v>50.97</v>
      </c>
      <c r="C418" s="3248">
        <v>13.25</v>
      </c>
      <c r="D418" s="3244"/>
      <c r="E418" s="3247">
        <v>37.72</v>
      </c>
      <c r="F418" s="3243"/>
      <c r="G418" s="3245"/>
      <c r="H418" s="3246"/>
    </row>
    <row r="419" spans="1:8" ht="18" customHeight="1">
      <c r="A419" s="3242" t="s">
        <v>3598</v>
      </c>
      <c r="B419" s="3247">
        <v>48.93</v>
      </c>
      <c r="C419" s="3248">
        <v>12.72</v>
      </c>
      <c r="D419" s="3244"/>
      <c r="E419" s="3247">
        <v>36.21</v>
      </c>
      <c r="F419" s="3243"/>
      <c r="G419" s="3245"/>
      <c r="H419" s="3246"/>
    </row>
    <row r="420" spans="1:8" ht="18" customHeight="1">
      <c r="A420" s="3242" t="s">
        <v>3599</v>
      </c>
      <c r="B420" s="3247">
        <v>50.97</v>
      </c>
      <c r="C420" s="3248">
        <v>13.25</v>
      </c>
      <c r="D420" s="3238"/>
      <c r="E420" s="3247">
        <v>37.72</v>
      </c>
      <c r="F420" s="3243"/>
      <c r="G420" s="3245"/>
      <c r="H420" s="3246"/>
    </row>
    <row r="421" spans="1:8" ht="18" customHeight="1">
      <c r="A421" s="3242" t="s">
        <v>3600</v>
      </c>
      <c r="B421" s="3247">
        <v>50.97</v>
      </c>
      <c r="C421" s="3248">
        <v>13.25</v>
      </c>
      <c r="D421" s="3244"/>
      <c r="E421" s="3247">
        <v>37.72</v>
      </c>
      <c r="F421" s="3243"/>
      <c r="G421" s="3245"/>
      <c r="H421" s="3246"/>
    </row>
    <row r="422" spans="1:8" ht="18" customHeight="1">
      <c r="A422" s="3242" t="s">
        <v>3601</v>
      </c>
      <c r="B422" s="3247">
        <v>48.93</v>
      </c>
      <c r="C422" s="3248">
        <v>12.72</v>
      </c>
      <c r="D422" s="3244"/>
      <c r="E422" s="3247">
        <v>36.21</v>
      </c>
      <c r="F422" s="3243"/>
      <c r="G422" s="3245"/>
      <c r="H422" s="3246"/>
    </row>
    <row r="423" spans="1:8" ht="18" customHeight="1">
      <c r="A423" s="3242" t="s">
        <v>3602</v>
      </c>
      <c r="B423" s="3247">
        <v>50.97</v>
      </c>
      <c r="C423" s="3248">
        <v>13.25</v>
      </c>
      <c r="D423" s="3244"/>
      <c r="E423" s="3247">
        <v>37.72</v>
      </c>
      <c r="F423" s="3243"/>
      <c r="G423" s="3245"/>
      <c r="H423" s="3246"/>
    </row>
    <row r="424" spans="1:8" ht="18" customHeight="1">
      <c r="A424" s="3242" t="s">
        <v>3603</v>
      </c>
      <c r="B424" s="3247">
        <v>51.93</v>
      </c>
      <c r="C424" s="3248">
        <v>13.5</v>
      </c>
      <c r="D424" s="3244"/>
      <c r="E424" s="3247">
        <v>38.43</v>
      </c>
      <c r="F424" s="3243"/>
      <c r="G424" s="3245"/>
      <c r="H424" s="3246"/>
    </row>
    <row r="425" spans="1:8" ht="18" customHeight="1">
      <c r="A425" s="3242" t="s">
        <v>3604</v>
      </c>
      <c r="B425" s="3247">
        <v>49.97</v>
      </c>
      <c r="C425" s="3248">
        <v>12.99</v>
      </c>
      <c r="D425" s="3244"/>
      <c r="E425" s="3247">
        <v>36.979999999999997</v>
      </c>
      <c r="F425" s="3243"/>
      <c r="G425" s="3245"/>
      <c r="H425" s="3246"/>
    </row>
    <row r="426" spans="1:8" ht="18" customHeight="1">
      <c r="A426" s="3242" t="s">
        <v>3605</v>
      </c>
      <c r="B426" s="3247">
        <v>49.97</v>
      </c>
      <c r="C426" s="3248">
        <v>12.99</v>
      </c>
      <c r="D426" s="3238"/>
      <c r="E426" s="3247">
        <v>36.979999999999997</v>
      </c>
      <c r="F426" s="3243"/>
      <c r="G426" s="3245"/>
      <c r="H426" s="3246"/>
    </row>
    <row r="427" spans="1:8" ht="18" customHeight="1">
      <c r="A427" s="3242" t="s">
        <v>3606</v>
      </c>
      <c r="B427" s="3247">
        <v>49.54</v>
      </c>
      <c r="C427" s="3248">
        <v>12.88</v>
      </c>
      <c r="D427" s="3238"/>
      <c r="E427" s="3247">
        <v>36.659999999999997</v>
      </c>
      <c r="F427" s="3243"/>
      <c r="G427" s="3245"/>
      <c r="H427" s="3246"/>
    </row>
    <row r="428" spans="1:8" ht="18" customHeight="1">
      <c r="A428" s="3249" t="s">
        <v>3607</v>
      </c>
      <c r="B428" s="3247">
        <v>50.97</v>
      </c>
      <c r="C428" s="3248">
        <v>13.25</v>
      </c>
      <c r="D428" s="3244"/>
      <c r="E428" s="3247">
        <v>37.72</v>
      </c>
      <c r="F428" s="3243"/>
      <c r="G428" s="3245"/>
      <c r="H428" s="3246"/>
    </row>
    <row r="429" spans="1:8" ht="18" customHeight="1">
      <c r="A429" s="3249" t="s">
        <v>3608</v>
      </c>
      <c r="B429" s="3247">
        <v>48.93</v>
      </c>
      <c r="C429" s="3248">
        <v>12.72</v>
      </c>
      <c r="D429" s="3244"/>
      <c r="E429" s="3247">
        <v>36.21</v>
      </c>
      <c r="F429" s="3243"/>
      <c r="G429" s="3245"/>
      <c r="H429" s="3246"/>
    </row>
    <row r="430" spans="1:8" ht="18" customHeight="1">
      <c r="A430" s="3249" t="s">
        <v>3609</v>
      </c>
      <c r="B430" s="3247">
        <v>50.97</v>
      </c>
      <c r="C430" s="3248">
        <v>13.25</v>
      </c>
      <c r="D430" s="3244"/>
      <c r="E430" s="3247">
        <v>37.72</v>
      </c>
      <c r="F430" s="3243"/>
      <c r="G430" s="3245"/>
      <c r="H430" s="3246"/>
    </row>
    <row r="431" spans="1:8" ht="18" customHeight="1">
      <c r="A431" s="3249" t="s">
        <v>3610</v>
      </c>
      <c r="B431" s="3247">
        <v>77.55</v>
      </c>
      <c r="C431" s="3248">
        <v>20.16</v>
      </c>
      <c r="D431" s="3244"/>
      <c r="E431" s="3247">
        <v>57.39</v>
      </c>
      <c r="F431" s="3243"/>
      <c r="G431" s="3245"/>
      <c r="H431" s="3246"/>
    </row>
    <row r="432" spans="1:8" ht="18" customHeight="1">
      <c r="A432" s="3249" t="s">
        <v>3611</v>
      </c>
      <c r="B432" s="3247">
        <v>50.97</v>
      </c>
      <c r="C432" s="3248">
        <v>13.25</v>
      </c>
      <c r="D432" s="3244"/>
      <c r="E432" s="3247">
        <v>37.72</v>
      </c>
      <c r="F432" s="3243"/>
      <c r="G432" s="3245"/>
      <c r="H432" s="3246"/>
    </row>
    <row r="433" spans="1:8" ht="18" customHeight="1">
      <c r="A433" s="3242" t="s">
        <v>3612</v>
      </c>
      <c r="B433" s="3247">
        <v>48.93</v>
      </c>
      <c r="C433" s="3248">
        <v>12.72</v>
      </c>
      <c r="D433" s="3244"/>
      <c r="E433" s="3247">
        <v>36.21</v>
      </c>
      <c r="F433" s="3243"/>
      <c r="G433" s="3245"/>
      <c r="H433" s="3246"/>
    </row>
    <row r="434" spans="1:8" ht="18" customHeight="1">
      <c r="A434" s="3242" t="s">
        <v>3613</v>
      </c>
      <c r="B434" s="3247">
        <v>50.97</v>
      </c>
      <c r="C434" s="3248">
        <v>13.25</v>
      </c>
      <c r="D434" s="3244"/>
      <c r="E434" s="3247">
        <v>37.72</v>
      </c>
      <c r="F434" s="3243"/>
      <c r="G434" s="3245"/>
      <c r="H434" s="3246"/>
    </row>
    <row r="435" spans="1:8" ht="18" customHeight="1">
      <c r="A435" s="3242" t="s">
        <v>3614</v>
      </c>
      <c r="B435" s="3247">
        <v>50.97</v>
      </c>
      <c r="C435" s="3248">
        <v>13.25</v>
      </c>
      <c r="D435" s="3244"/>
      <c r="E435" s="3247">
        <v>37.72</v>
      </c>
      <c r="F435" s="3243"/>
      <c r="G435" s="3245"/>
      <c r="H435" s="3246"/>
    </row>
    <row r="436" spans="1:8" ht="18" customHeight="1">
      <c r="A436" s="3242" t="s">
        <v>3615</v>
      </c>
      <c r="B436" s="3247">
        <v>48.93</v>
      </c>
      <c r="C436" s="3248">
        <v>12.72</v>
      </c>
      <c r="D436" s="3244"/>
      <c r="E436" s="3247">
        <v>36.21</v>
      </c>
      <c r="F436" s="3243"/>
      <c r="G436" s="3245"/>
      <c r="H436" s="3246"/>
    </row>
    <row r="437" spans="1:8" ht="18" customHeight="1">
      <c r="A437" s="3242" t="s">
        <v>3616</v>
      </c>
      <c r="B437" s="3247">
        <v>50.97</v>
      </c>
      <c r="C437" s="3248">
        <v>13.25</v>
      </c>
      <c r="D437" s="3244"/>
      <c r="E437" s="3247">
        <v>37.72</v>
      </c>
      <c r="F437" s="3243"/>
      <c r="G437" s="3245"/>
      <c r="H437" s="3246"/>
    </row>
    <row r="438" spans="1:8" ht="18" customHeight="1">
      <c r="A438" s="3242" t="s">
        <v>3617</v>
      </c>
      <c r="B438" s="3243"/>
      <c r="C438" s="3244"/>
      <c r="D438" s="3244"/>
      <c r="E438" s="3243"/>
      <c r="F438" s="3243"/>
      <c r="G438" s="3245"/>
      <c r="H438" s="3246"/>
    </row>
    <row r="439" spans="1:8" ht="18" customHeight="1">
      <c r="A439" s="3242" t="s">
        <v>3618</v>
      </c>
      <c r="B439" s="3247">
        <v>287.02999999999997</v>
      </c>
      <c r="C439" s="3248">
        <v>91.13</v>
      </c>
      <c r="D439" s="3244"/>
      <c r="E439" s="3247">
        <v>195.9</v>
      </c>
      <c r="F439" s="3243"/>
      <c r="G439" s="3245">
        <v>2.149651</v>
      </c>
      <c r="H439" s="3246"/>
    </row>
    <row r="440" spans="1:8" ht="18" customHeight="1">
      <c r="A440" s="3242" t="s">
        <v>3619</v>
      </c>
      <c r="B440" s="3247">
        <v>221.26</v>
      </c>
      <c r="C440" s="3248">
        <v>70.25</v>
      </c>
      <c r="D440" s="3244"/>
      <c r="E440" s="3247">
        <v>151.01</v>
      </c>
      <c r="F440" s="3243"/>
      <c r="G440" s="3245"/>
      <c r="H440" s="3246"/>
    </row>
    <row r="441" spans="1:8" ht="18" customHeight="1">
      <c r="A441" s="3242" t="s">
        <v>3620</v>
      </c>
      <c r="B441" s="3247">
        <v>311.66000000000003</v>
      </c>
      <c r="C441" s="3248">
        <v>98.95</v>
      </c>
      <c r="D441" s="3244"/>
      <c r="E441" s="3247">
        <v>212.71</v>
      </c>
      <c r="F441" s="3243"/>
      <c r="G441" s="3245"/>
      <c r="H441" s="3246"/>
    </row>
    <row r="442" spans="1:8" ht="18" customHeight="1">
      <c r="A442" s="3242" t="s">
        <v>3621</v>
      </c>
      <c r="B442" s="3247">
        <v>747.85</v>
      </c>
      <c r="C442" s="3248">
        <v>237.44</v>
      </c>
      <c r="D442" s="3244"/>
      <c r="E442" s="3247">
        <v>510.41</v>
      </c>
      <c r="F442" s="3243"/>
      <c r="G442" s="3245"/>
      <c r="H442" s="3246"/>
    </row>
    <row r="443" spans="1:8" ht="18" customHeight="1">
      <c r="A443" s="3242" t="s">
        <v>3622</v>
      </c>
      <c r="B443" s="3247">
        <v>208.13</v>
      </c>
      <c r="C443" s="3248">
        <v>66.08</v>
      </c>
      <c r="D443" s="3244"/>
      <c r="E443" s="3247">
        <v>142.05000000000001</v>
      </c>
      <c r="F443" s="3243"/>
      <c r="G443" s="3245"/>
      <c r="H443" s="3246"/>
    </row>
    <row r="444" spans="1:8" ht="18" customHeight="1">
      <c r="A444" s="3242" t="s">
        <v>3623</v>
      </c>
      <c r="B444" s="3247">
        <v>486.21</v>
      </c>
      <c r="C444" s="3248">
        <v>154.37</v>
      </c>
      <c r="D444" s="3244"/>
      <c r="E444" s="3247">
        <v>331.84</v>
      </c>
      <c r="F444" s="3243"/>
      <c r="G444" s="3245">
        <v>2.149651</v>
      </c>
      <c r="H444" s="3246"/>
    </row>
    <row r="445" spans="1:8" ht="18" customHeight="1">
      <c r="A445" s="3242" t="s">
        <v>3624</v>
      </c>
      <c r="B445" s="3247">
        <v>266.14999999999998</v>
      </c>
      <c r="C445" s="3248">
        <v>84.5</v>
      </c>
      <c r="D445" s="3244"/>
      <c r="E445" s="3247">
        <v>181.65</v>
      </c>
      <c r="F445" s="3243"/>
      <c r="G445" s="3245"/>
      <c r="H445" s="3246"/>
    </row>
    <row r="446" spans="1:8" ht="18" customHeight="1">
      <c r="A446" s="3242" t="s">
        <v>3625</v>
      </c>
      <c r="B446" s="3247">
        <v>496.45</v>
      </c>
      <c r="C446" s="3248">
        <v>157.62</v>
      </c>
      <c r="D446" s="3244"/>
      <c r="E446" s="3247">
        <v>338.83</v>
      </c>
      <c r="F446" s="3243"/>
      <c r="G446" s="3245"/>
      <c r="H446" s="3246"/>
    </row>
    <row r="447" spans="1:8" ht="18" customHeight="1">
      <c r="A447" s="3242" t="s">
        <v>3626</v>
      </c>
      <c r="B447" s="3247">
        <v>38.5</v>
      </c>
      <c r="C447" s="3248">
        <v>38.5</v>
      </c>
      <c r="D447" s="3244"/>
      <c r="E447" s="3243"/>
      <c r="F447" s="3243"/>
      <c r="G447" s="3245"/>
      <c r="H447" s="3246"/>
    </row>
    <row r="448" spans="1:8" ht="18" customHeight="1">
      <c r="A448" s="3242" t="s">
        <v>3627</v>
      </c>
      <c r="B448" s="3247">
        <v>56</v>
      </c>
      <c r="C448" s="3248">
        <v>56</v>
      </c>
      <c r="D448" s="3244"/>
      <c r="E448" s="3243"/>
      <c r="F448" s="3243"/>
      <c r="G448" s="3245"/>
      <c r="H448" s="3246"/>
    </row>
    <row r="449" spans="1:8" ht="18" customHeight="1">
      <c r="A449" s="3242" t="s">
        <v>3628</v>
      </c>
      <c r="B449" s="3247">
        <v>39.85</v>
      </c>
      <c r="C449" s="3248">
        <v>39.85</v>
      </c>
      <c r="D449" s="3244"/>
      <c r="E449" s="3243"/>
      <c r="F449" s="3243"/>
      <c r="G449" s="3245"/>
      <c r="H449" s="3246"/>
    </row>
    <row r="450" spans="1:8" ht="18" customHeight="1">
      <c r="A450" s="3242" t="s">
        <v>3629</v>
      </c>
      <c r="B450" s="3247">
        <v>126.12</v>
      </c>
      <c r="C450" s="3248">
        <v>126.12</v>
      </c>
      <c r="D450" s="3238"/>
      <c r="E450" s="3243"/>
      <c r="F450" s="3243"/>
      <c r="G450" s="3245"/>
      <c r="H450" s="3246"/>
    </row>
    <row r="451" spans="1:8" ht="18" customHeight="1">
      <c r="A451" s="3242" t="s">
        <v>3630</v>
      </c>
      <c r="B451" s="3247">
        <v>19.309999999999999</v>
      </c>
      <c r="C451" s="3248">
        <v>19.309999999999999</v>
      </c>
      <c r="D451" s="3244"/>
      <c r="E451" s="3243"/>
      <c r="F451" s="3243"/>
      <c r="G451" s="3245"/>
      <c r="H451" s="3246"/>
    </row>
    <row r="452" spans="1:8" ht="18" customHeight="1">
      <c r="A452" s="3242" t="s">
        <v>3631</v>
      </c>
      <c r="B452" s="3247">
        <v>45.83</v>
      </c>
      <c r="C452" s="3248">
        <v>45.83</v>
      </c>
      <c r="D452" s="3244"/>
      <c r="E452" s="3243"/>
      <c r="F452" s="3243"/>
      <c r="G452" s="3245"/>
      <c r="H452" s="3246"/>
    </row>
    <row r="453" spans="1:8" ht="18" customHeight="1">
      <c r="A453" s="3242" t="s">
        <v>3632</v>
      </c>
      <c r="B453" s="3247">
        <v>88.79</v>
      </c>
      <c r="C453" s="3248">
        <v>88.79</v>
      </c>
      <c r="D453" s="3244"/>
      <c r="E453" s="3243"/>
      <c r="F453" s="3243"/>
      <c r="G453" s="3245"/>
      <c r="H453" s="3246"/>
    </row>
    <row r="454" spans="1:8" ht="18" customHeight="1">
      <c r="A454" s="3242" t="s">
        <v>3633</v>
      </c>
      <c r="B454" s="3247">
        <v>12.46</v>
      </c>
      <c r="C454" s="3248">
        <v>12.46</v>
      </c>
      <c r="D454" s="3244"/>
      <c r="E454" s="3243"/>
      <c r="F454" s="3243"/>
      <c r="G454" s="3245"/>
      <c r="H454" s="3246"/>
    </row>
    <row r="455" spans="1:8" ht="18" customHeight="1">
      <c r="A455" s="3242" t="s">
        <v>3634</v>
      </c>
      <c r="B455" s="3243"/>
      <c r="C455" s="3244"/>
      <c r="D455" s="3244"/>
      <c r="E455" s="3243"/>
      <c r="F455" s="3243"/>
      <c r="G455" s="3245"/>
      <c r="H455" s="3246"/>
    </row>
    <row r="456" spans="1:8" ht="18" customHeight="1">
      <c r="A456" s="3249" t="s">
        <v>3635</v>
      </c>
      <c r="B456" s="3247">
        <v>183.48</v>
      </c>
      <c r="C456" s="3248">
        <v>152.97</v>
      </c>
      <c r="D456" s="3244"/>
      <c r="E456" s="3247">
        <v>30.51</v>
      </c>
      <c r="F456" s="3243"/>
      <c r="G456" s="3245">
        <v>0.19946900000000001</v>
      </c>
      <c r="H456" s="3246"/>
    </row>
    <row r="457" spans="1:8" ht="18" customHeight="1">
      <c r="A457" s="3249" t="s">
        <v>3636</v>
      </c>
      <c r="B457" s="3247">
        <v>223.42</v>
      </c>
      <c r="C457" s="3248">
        <v>214.54</v>
      </c>
      <c r="D457" s="3244"/>
      <c r="E457" s="3247">
        <v>8.8800000000000008</v>
      </c>
      <c r="F457" s="3243"/>
      <c r="G457" s="3245">
        <v>4.1391999999999998E-2</v>
      </c>
      <c r="H457" s="3246"/>
    </row>
    <row r="458" spans="1:8" ht="18" customHeight="1">
      <c r="A458" s="3249" t="s">
        <v>3637</v>
      </c>
      <c r="B458" s="3243"/>
      <c r="C458" s="3244"/>
      <c r="D458" s="3244"/>
      <c r="E458" s="3243"/>
      <c r="F458" s="3243"/>
      <c r="G458" s="3245"/>
      <c r="H458" s="3246"/>
    </row>
    <row r="459" spans="1:8" ht="18" customHeight="1">
      <c r="A459" s="3249" t="s">
        <v>3638</v>
      </c>
      <c r="B459" s="3243"/>
      <c r="C459" s="3244"/>
      <c r="D459" s="3244"/>
      <c r="E459" s="3243"/>
      <c r="F459" s="3243"/>
      <c r="G459" s="3245"/>
      <c r="H459" s="3246"/>
    </row>
    <row r="460" spans="1:8" ht="18" customHeight="1">
      <c r="A460" s="3242" t="s">
        <v>3639</v>
      </c>
      <c r="B460" s="3247">
        <v>5035.82</v>
      </c>
      <c r="C460" s="3248">
        <v>4023.2</v>
      </c>
      <c r="D460" s="3244"/>
      <c r="E460" s="3247">
        <v>1012.62</v>
      </c>
      <c r="F460" s="3243"/>
      <c r="G460" s="3245">
        <v>0.25169399999999997</v>
      </c>
      <c r="H460" s="3246"/>
    </row>
    <row r="461" spans="1:8" ht="18" customHeight="1">
      <c r="A461" s="3242" t="s">
        <v>3640</v>
      </c>
      <c r="B461" s="3243"/>
      <c r="C461" s="3244"/>
      <c r="D461" s="3244"/>
      <c r="E461" s="3243"/>
      <c r="F461" s="3243"/>
      <c r="G461" s="3245"/>
      <c r="H461" s="3246"/>
    </row>
    <row r="462" spans="1:8" ht="18" customHeight="1">
      <c r="A462" s="3242" t="s">
        <v>3641</v>
      </c>
      <c r="B462" s="3247">
        <v>5246.66</v>
      </c>
      <c r="C462" s="3248">
        <v>4191.6499999999996</v>
      </c>
      <c r="D462" s="3244"/>
      <c r="E462" s="3247">
        <v>1055.01</v>
      </c>
      <c r="F462" s="3243"/>
      <c r="G462" s="3245">
        <v>0.25169399999999997</v>
      </c>
      <c r="H462" s="3246"/>
    </row>
    <row r="463" spans="1:8" ht="18" customHeight="1">
      <c r="A463" s="3242" t="s">
        <v>3642</v>
      </c>
      <c r="B463" s="3243"/>
      <c r="C463" s="3244"/>
      <c r="D463" s="3244"/>
      <c r="E463" s="3243"/>
      <c r="F463" s="3243"/>
      <c r="G463" s="3245"/>
      <c r="H463" s="3246"/>
    </row>
    <row r="464" spans="1:8" ht="18" customHeight="1">
      <c r="A464" s="3242" t="s">
        <v>3643</v>
      </c>
      <c r="B464" s="3247">
        <v>3906.68</v>
      </c>
      <c r="C464" s="3248">
        <v>3181.02</v>
      </c>
      <c r="D464" s="3244"/>
      <c r="E464" s="3247">
        <v>725.66</v>
      </c>
      <c r="F464" s="3243"/>
      <c r="G464" s="3245">
        <v>0.22812099999999999</v>
      </c>
      <c r="H464" s="3246"/>
    </row>
    <row r="465" spans="1:8" ht="18" customHeight="1">
      <c r="A465" s="3242" t="s">
        <v>3644</v>
      </c>
      <c r="B465" s="3243"/>
      <c r="C465" s="3244"/>
      <c r="D465" s="3244"/>
      <c r="E465" s="3243"/>
      <c r="F465" s="3243"/>
      <c r="G465" s="3245"/>
      <c r="H465" s="3246"/>
    </row>
    <row r="466" spans="1:8" ht="18" customHeight="1">
      <c r="A466" s="3242" t="s">
        <v>3645</v>
      </c>
      <c r="B466" s="3247">
        <v>3915.72</v>
      </c>
      <c r="C466" s="3248">
        <v>3188.38</v>
      </c>
      <c r="D466" s="3244"/>
      <c r="E466" s="3247">
        <v>727.34</v>
      </c>
      <c r="F466" s="3243"/>
      <c r="G466" s="3245">
        <v>0.22812099999999999</v>
      </c>
      <c r="H466" s="3246"/>
    </row>
    <row r="467" spans="1:8" ht="18" customHeight="1">
      <c r="A467" s="3242" t="s">
        <v>3646</v>
      </c>
      <c r="B467" s="3243"/>
      <c r="C467" s="3244"/>
      <c r="D467" s="3244"/>
      <c r="E467" s="3243"/>
      <c r="F467" s="3243"/>
      <c r="G467" s="3245"/>
      <c r="H467" s="3246"/>
    </row>
    <row r="468" spans="1:8" ht="18" customHeight="1">
      <c r="A468" s="3242" t="s">
        <v>3647</v>
      </c>
      <c r="B468" s="3247">
        <v>3941.96</v>
      </c>
      <c r="C468" s="3248">
        <v>3209.75</v>
      </c>
      <c r="D468" s="3244"/>
      <c r="E468" s="3247">
        <v>732.21</v>
      </c>
      <c r="F468" s="3243"/>
      <c r="G468" s="3245">
        <v>0.22812099999999999</v>
      </c>
      <c r="H468" s="3246"/>
    </row>
    <row r="469" spans="1:8" ht="18" customHeight="1">
      <c r="A469" s="3242" t="s">
        <v>3648</v>
      </c>
      <c r="B469" s="3243"/>
      <c r="C469" s="3244"/>
      <c r="D469" s="3244"/>
      <c r="E469" s="3243"/>
      <c r="F469" s="3243"/>
      <c r="G469" s="3245"/>
      <c r="H469" s="3246"/>
    </row>
    <row r="470" spans="1:8" ht="18" customHeight="1">
      <c r="A470" s="3242" t="s">
        <v>3649</v>
      </c>
      <c r="B470" s="3247">
        <v>3941.96</v>
      </c>
      <c r="C470" s="3248">
        <v>3209.75</v>
      </c>
      <c r="D470" s="3244"/>
      <c r="E470" s="3247">
        <v>732.21</v>
      </c>
      <c r="F470" s="3243"/>
      <c r="G470" s="3245">
        <v>0.22812099999999999</v>
      </c>
      <c r="H470" s="3246"/>
    </row>
    <row r="471" spans="1:8" ht="18" customHeight="1">
      <c r="A471" s="3242" t="s">
        <v>3650</v>
      </c>
      <c r="B471" s="3243"/>
      <c r="C471" s="3244"/>
      <c r="D471" s="3238"/>
      <c r="E471" s="3243"/>
      <c r="F471" s="3243"/>
      <c r="G471" s="3245"/>
      <c r="H471" s="3246"/>
    </row>
    <row r="472" spans="1:8" ht="18" customHeight="1">
      <c r="A472" s="3242" t="s">
        <v>3651</v>
      </c>
      <c r="B472" s="3247">
        <v>3941.96</v>
      </c>
      <c r="C472" s="3248">
        <v>3209.75</v>
      </c>
      <c r="D472" s="3244"/>
      <c r="E472" s="3247">
        <v>732.21</v>
      </c>
      <c r="F472" s="3243"/>
      <c r="G472" s="3245">
        <v>0.22812099999999999</v>
      </c>
      <c r="H472" s="3246"/>
    </row>
    <row r="473" spans="1:8" ht="18" customHeight="1">
      <c r="A473" s="3242" t="s">
        <v>3652</v>
      </c>
      <c r="B473" s="3243"/>
      <c r="C473" s="3244"/>
      <c r="D473" s="3244"/>
      <c r="E473" s="3243"/>
      <c r="F473" s="3243"/>
      <c r="G473" s="3245"/>
      <c r="H473" s="3246"/>
    </row>
    <row r="474" spans="1:8" ht="18" customHeight="1">
      <c r="A474" s="3242" t="s">
        <v>3653</v>
      </c>
      <c r="B474" s="3247">
        <v>3941.96</v>
      </c>
      <c r="C474" s="3248">
        <v>3209.75</v>
      </c>
      <c r="D474" s="3244"/>
      <c r="E474" s="3247">
        <v>732.21</v>
      </c>
      <c r="F474" s="3243"/>
      <c r="G474" s="3245">
        <v>0.22812099999999999</v>
      </c>
      <c r="H474" s="3246"/>
    </row>
    <row r="475" spans="1:8" ht="18" customHeight="1">
      <c r="A475" s="3242" t="s">
        <v>3654</v>
      </c>
      <c r="B475" s="3243"/>
      <c r="C475" s="3244"/>
      <c r="D475" s="3238"/>
      <c r="E475" s="3243"/>
      <c r="F475" s="3243"/>
      <c r="G475" s="3245"/>
      <c r="H475" s="3246"/>
    </row>
    <row r="476" spans="1:8" ht="18" customHeight="1">
      <c r="A476" s="3249" t="s">
        <v>3655</v>
      </c>
      <c r="B476" s="3247">
        <v>3941.96</v>
      </c>
      <c r="C476" s="3248">
        <v>3209.75</v>
      </c>
      <c r="D476" s="3244"/>
      <c r="E476" s="3247">
        <v>732.21</v>
      </c>
      <c r="F476" s="3243"/>
      <c r="G476" s="3245">
        <v>0.22812099999999999</v>
      </c>
      <c r="H476" s="3246"/>
    </row>
    <row r="477" spans="1:8" ht="18" customHeight="1">
      <c r="A477" s="3249" t="s">
        <v>3656</v>
      </c>
      <c r="B477" s="3243"/>
      <c r="C477" s="3244"/>
      <c r="D477" s="3244"/>
      <c r="E477" s="3243"/>
      <c r="F477" s="3243"/>
      <c r="G477" s="3245"/>
      <c r="H477" s="3246"/>
    </row>
    <row r="478" spans="1:8" ht="18" customHeight="1">
      <c r="A478" s="3249" t="s">
        <v>3657</v>
      </c>
      <c r="B478" s="3247">
        <v>3998.47</v>
      </c>
      <c r="C478" s="3248">
        <v>3211.05</v>
      </c>
      <c r="D478" s="3244"/>
      <c r="E478" s="3247">
        <v>787.42</v>
      </c>
      <c r="F478" s="3243"/>
      <c r="G478" s="3245">
        <v>0.245223</v>
      </c>
      <c r="H478" s="3246"/>
    </row>
    <row r="479" spans="1:8" ht="18" customHeight="1">
      <c r="A479" s="3249" t="s">
        <v>3658</v>
      </c>
      <c r="B479" s="3243"/>
      <c r="C479" s="3244"/>
      <c r="D479" s="3244"/>
      <c r="E479" s="3243"/>
      <c r="F479" s="3243"/>
      <c r="G479" s="3245"/>
      <c r="H479" s="3246"/>
    </row>
    <row r="480" spans="1:8" ht="18" customHeight="1">
      <c r="A480" s="3242" t="s">
        <v>3659</v>
      </c>
      <c r="B480" s="3247">
        <v>3976.21</v>
      </c>
      <c r="C480" s="3248">
        <v>3193.17</v>
      </c>
      <c r="D480" s="3244"/>
      <c r="E480" s="3247">
        <v>783.04</v>
      </c>
      <c r="F480" s="3243"/>
      <c r="G480" s="3245">
        <v>0.245223</v>
      </c>
      <c r="H480" s="3246"/>
    </row>
    <row r="481" spans="1:8" ht="18" customHeight="1">
      <c r="A481" s="3242" t="s">
        <v>3660</v>
      </c>
      <c r="B481" s="3243"/>
      <c r="C481" s="3244"/>
      <c r="D481" s="3244"/>
      <c r="E481" s="3243"/>
      <c r="F481" s="3243"/>
      <c r="G481" s="3245"/>
      <c r="H481" s="3246"/>
    </row>
    <row r="482" spans="1:8" ht="18" customHeight="1">
      <c r="A482" s="3242" t="s">
        <v>3661</v>
      </c>
      <c r="B482" s="3247">
        <v>4048.16</v>
      </c>
      <c r="C482" s="3248">
        <v>3250.95</v>
      </c>
      <c r="D482" s="3244"/>
      <c r="E482" s="3247">
        <v>797.21</v>
      </c>
      <c r="F482" s="3243"/>
      <c r="G482" s="3245">
        <v>0.245223</v>
      </c>
      <c r="H482" s="3246"/>
    </row>
    <row r="483" spans="1:8" ht="18" customHeight="1">
      <c r="A483" s="3242" t="s">
        <v>3662</v>
      </c>
      <c r="B483" s="3243"/>
      <c r="C483" s="3244"/>
      <c r="D483" s="3244"/>
      <c r="E483" s="3243"/>
      <c r="F483" s="3243"/>
      <c r="G483" s="3245"/>
      <c r="H483" s="3246"/>
    </row>
    <row r="484" spans="1:8" ht="18" customHeight="1">
      <c r="A484" s="3242" t="s">
        <v>3663</v>
      </c>
      <c r="B484" s="3247">
        <v>4048.16</v>
      </c>
      <c r="C484" s="3248">
        <v>3250.95</v>
      </c>
      <c r="D484" s="3244"/>
      <c r="E484" s="3247">
        <v>797.21</v>
      </c>
      <c r="F484" s="3243"/>
      <c r="G484" s="3245">
        <v>0.245223</v>
      </c>
      <c r="H484" s="3246"/>
    </row>
    <row r="485" spans="1:8" ht="18" customHeight="1">
      <c r="A485" s="3242" t="s">
        <v>3664</v>
      </c>
      <c r="B485" s="3243"/>
      <c r="C485" s="3244"/>
      <c r="D485" s="3244"/>
      <c r="E485" s="3243"/>
      <c r="F485" s="3243"/>
      <c r="G485" s="3245"/>
      <c r="H485" s="3246"/>
    </row>
    <row r="486" spans="1:8" ht="18" customHeight="1">
      <c r="A486" s="3242" t="s">
        <v>3665</v>
      </c>
      <c r="B486" s="3247">
        <v>4048.16</v>
      </c>
      <c r="C486" s="3248">
        <v>3250.95</v>
      </c>
      <c r="D486" s="3244"/>
      <c r="E486" s="3247">
        <v>797.21</v>
      </c>
      <c r="F486" s="3243"/>
      <c r="G486" s="3245">
        <v>0.245223</v>
      </c>
      <c r="H486" s="3246"/>
    </row>
    <row r="487" spans="1:8" ht="18" customHeight="1">
      <c r="A487" s="3242" t="s">
        <v>3666</v>
      </c>
      <c r="B487" s="3243"/>
      <c r="C487" s="3244"/>
      <c r="D487" s="3244"/>
      <c r="E487" s="3243"/>
      <c r="F487" s="3243"/>
      <c r="G487" s="3245"/>
      <c r="H487" s="3246"/>
    </row>
    <row r="488" spans="1:8" ht="18" customHeight="1">
      <c r="A488" s="3242" t="s">
        <v>3667</v>
      </c>
      <c r="B488" s="3247">
        <v>4048.16</v>
      </c>
      <c r="C488" s="3248">
        <v>3250.95</v>
      </c>
      <c r="D488" s="3244"/>
      <c r="E488" s="3247">
        <v>797.21</v>
      </c>
      <c r="F488" s="3243"/>
      <c r="G488" s="3245">
        <v>0.245223</v>
      </c>
      <c r="H488" s="3246"/>
    </row>
    <row r="489" spans="1:8" ht="18" customHeight="1">
      <c r="A489" s="3242" t="s">
        <v>3668</v>
      </c>
      <c r="B489" s="3243"/>
      <c r="C489" s="3244"/>
      <c r="D489" s="3244"/>
      <c r="E489" s="3243"/>
      <c r="F489" s="3243"/>
      <c r="G489" s="3245"/>
      <c r="H489" s="3246"/>
    </row>
    <row r="490" spans="1:8" ht="18" customHeight="1">
      <c r="A490" s="3242" t="s">
        <v>3669</v>
      </c>
      <c r="B490" s="3247">
        <v>4047.81</v>
      </c>
      <c r="C490" s="3248">
        <v>3250.67</v>
      </c>
      <c r="D490" s="3244"/>
      <c r="E490" s="3247">
        <v>797.14</v>
      </c>
      <c r="F490" s="3243"/>
      <c r="G490" s="3245">
        <v>0.245223</v>
      </c>
      <c r="H490" s="3246"/>
    </row>
    <row r="491" spans="1:8" ht="18" customHeight="1">
      <c r="A491" s="3242" t="s">
        <v>3670</v>
      </c>
      <c r="B491" s="3243"/>
      <c r="C491" s="3244"/>
      <c r="D491" s="3238"/>
      <c r="E491" s="3243"/>
      <c r="F491" s="3243"/>
      <c r="G491" s="3245"/>
      <c r="H491" s="3246"/>
    </row>
    <row r="492" spans="1:8" ht="18" customHeight="1">
      <c r="A492" s="3242" t="s">
        <v>3671</v>
      </c>
      <c r="B492" s="3247">
        <v>3822.25</v>
      </c>
      <c r="C492" s="3248">
        <v>3069.53</v>
      </c>
      <c r="D492" s="3244"/>
      <c r="E492" s="3247">
        <v>752.72</v>
      </c>
      <c r="F492" s="3243"/>
      <c r="G492" s="3245">
        <v>0.245223</v>
      </c>
      <c r="H492" s="3246"/>
    </row>
    <row r="493" spans="1:8" ht="18" customHeight="1">
      <c r="A493" s="3242" t="s">
        <v>3672</v>
      </c>
      <c r="B493" s="3243"/>
      <c r="C493" s="3244"/>
      <c r="D493" s="3244"/>
      <c r="E493" s="3243"/>
      <c r="F493" s="3243"/>
      <c r="G493" s="3245"/>
      <c r="H493" s="3246"/>
    </row>
    <row r="494" spans="1:8" ht="18" customHeight="1">
      <c r="A494" s="3242" t="s">
        <v>3673</v>
      </c>
      <c r="B494" s="3247">
        <v>3837.17</v>
      </c>
      <c r="C494" s="3248">
        <v>3081.51</v>
      </c>
      <c r="D494" s="3244"/>
      <c r="E494" s="3247">
        <v>755.66</v>
      </c>
      <c r="F494" s="3243"/>
      <c r="G494" s="3245">
        <v>0.245223</v>
      </c>
      <c r="H494" s="3246"/>
    </row>
    <row r="495" spans="1:8" ht="18" customHeight="1">
      <c r="A495" s="3242"/>
      <c r="B495" s="3243"/>
      <c r="C495" s="3244"/>
      <c r="D495" s="3238"/>
      <c r="E495" s="3243"/>
      <c r="F495" s="3243"/>
      <c r="G495" s="3245"/>
      <c r="H495" s="3246"/>
    </row>
    <row r="496" spans="1:8" ht="18" customHeight="1">
      <c r="A496" s="3242" t="s">
        <v>3674</v>
      </c>
      <c r="B496" s="3250">
        <f>SUM(B7:B494)</f>
        <v>98604.22000000003</v>
      </c>
      <c r="C496" s="3250">
        <f>SUM(C7:C494)</f>
        <v>67601.209999999977</v>
      </c>
      <c r="D496" s="3251"/>
      <c r="E496" s="3250">
        <f>SUM(E7:E494)</f>
        <v>30294.519999999899</v>
      </c>
      <c r="F496" s="3243"/>
      <c r="G496" s="3245"/>
      <c r="H496" s="3246"/>
    </row>
    <row r="497" spans="1:8" ht="18" customHeight="1">
      <c r="A497" s="3249"/>
      <c r="B497" s="3243"/>
      <c r="C497" s="3244"/>
      <c r="D497" s="3244"/>
      <c r="E497" s="3243"/>
      <c r="F497" s="3243"/>
      <c r="G497" s="3245"/>
      <c r="H497" s="3246"/>
    </row>
    <row r="498" spans="1:8">
      <c r="A498" s="3237" t="s">
        <v>3675</v>
      </c>
      <c r="B498" s="3237">
        <f>SUM(B456:B494)</f>
        <v>74096.13</v>
      </c>
    </row>
    <row r="499" spans="1:8">
      <c r="A499" s="3237" t="s">
        <v>3676</v>
      </c>
      <c r="B499" s="3237">
        <f>SUM(B7:B454)</f>
        <v>24508.090000000026</v>
      </c>
    </row>
  </sheetData>
  <mergeCells count="8">
    <mergeCell ref="A1:G1"/>
    <mergeCell ref="A2:G2"/>
    <mergeCell ref="A3:A5"/>
    <mergeCell ref="B3:B5"/>
    <mergeCell ref="C3:E3"/>
    <mergeCell ref="C4:C5"/>
    <mergeCell ref="D4:D5"/>
    <mergeCell ref="E4:E5"/>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G62"/>
  <sheetViews>
    <sheetView topLeftCell="A16" workbookViewId="0">
      <selection activeCell="F31" sqref="F31"/>
    </sheetView>
  </sheetViews>
  <sheetFormatPr defaultColWidth="9" defaultRowHeight="14.5"/>
  <cols>
    <col min="1" max="1" width="25.81640625" style="3252" bestFit="1" customWidth="1"/>
    <col min="2" max="2" width="22.36328125" style="3253" customWidth="1"/>
    <col min="3" max="3" width="30.6328125" style="3252" bestFit="1" customWidth="1"/>
    <col min="4" max="4" width="11.36328125" style="3252" bestFit="1" customWidth="1"/>
    <col min="5" max="5" width="9" style="3252"/>
    <col min="6" max="6" width="15.08984375" style="3252" bestFit="1" customWidth="1"/>
    <col min="7" max="16384" width="9" style="3252"/>
  </cols>
  <sheetData>
    <row r="1" spans="1:6">
      <c r="A1" s="3252" t="s">
        <v>3677</v>
      </c>
    </row>
    <row r="2" spans="1:6" ht="17" thickBot="1">
      <c r="A2" s="3413" t="s">
        <v>3678</v>
      </c>
      <c r="B2" s="3413"/>
      <c r="C2" s="3413"/>
    </row>
    <row r="3" spans="1:6">
      <c r="A3" s="3254" t="s">
        <v>3679</v>
      </c>
      <c r="B3" s="3255" t="s">
        <v>3680</v>
      </c>
      <c r="C3" s="3256" t="s">
        <v>3681</v>
      </c>
    </row>
    <row r="4" spans="1:6">
      <c r="A4" s="3257" t="s">
        <v>3682</v>
      </c>
      <c r="B4" s="3258">
        <f>[3]北塔!B494</f>
        <v>3837.17</v>
      </c>
      <c r="C4" s="3259" t="s">
        <v>3683</v>
      </c>
    </row>
    <row r="5" spans="1:6">
      <c r="A5" s="3257" t="s">
        <v>3684</v>
      </c>
      <c r="B5" s="3258">
        <f>[3]北塔!B492</f>
        <v>3822.25</v>
      </c>
      <c r="C5" s="3259" t="s">
        <v>3683</v>
      </c>
    </row>
    <row r="6" spans="1:6">
      <c r="A6" s="3257" t="s">
        <v>3685</v>
      </c>
      <c r="B6" s="3258">
        <f>[3]北塔!B490</f>
        <v>4047.81</v>
      </c>
      <c r="C6" s="3259" t="s">
        <v>3683</v>
      </c>
    </row>
    <row r="7" spans="1:6">
      <c r="A7" s="3257" t="s">
        <v>3686</v>
      </c>
      <c r="B7" s="3258">
        <f>[3]北塔!B488</f>
        <v>4048.16</v>
      </c>
      <c r="C7" s="3259" t="s">
        <v>3683</v>
      </c>
    </row>
    <row r="8" spans="1:6">
      <c r="A8" s="3257" t="s">
        <v>3687</v>
      </c>
      <c r="B8" s="3258">
        <f>[3]北塔!B486</f>
        <v>4048.16</v>
      </c>
      <c r="C8" s="3259" t="s">
        <v>3683</v>
      </c>
    </row>
    <row r="9" spans="1:6">
      <c r="A9" s="3257" t="s">
        <v>3688</v>
      </c>
      <c r="B9" s="3258">
        <f>[3]北塔!B484</f>
        <v>4048.16</v>
      </c>
      <c r="C9" s="3259" t="s">
        <v>3683</v>
      </c>
    </row>
    <row r="10" spans="1:6">
      <c r="A10" s="3257" t="s">
        <v>3689</v>
      </c>
      <c r="B10" s="3258">
        <f>[3]北塔!B482</f>
        <v>4048.16</v>
      </c>
      <c r="C10" s="3259" t="s">
        <v>3683</v>
      </c>
    </row>
    <row r="11" spans="1:6">
      <c r="A11" s="3257" t="s">
        <v>3690</v>
      </c>
      <c r="B11" s="3258">
        <f>[3]北塔!B480</f>
        <v>3976.21</v>
      </c>
      <c r="C11" s="3259" t="s">
        <v>3683</v>
      </c>
    </row>
    <row r="12" spans="1:6">
      <c r="A12" s="3257" t="s">
        <v>3691</v>
      </c>
      <c r="B12" s="3258">
        <f>[3]北塔!B478</f>
        <v>3998.47</v>
      </c>
      <c r="C12" s="3259" t="s">
        <v>3683</v>
      </c>
    </row>
    <row r="13" spans="1:6">
      <c r="A13" s="3257" t="s">
        <v>3692</v>
      </c>
      <c r="B13" s="3258">
        <f>[3]北塔!B476</f>
        <v>3941.96</v>
      </c>
      <c r="C13" s="3259" t="s">
        <v>3683</v>
      </c>
    </row>
    <row r="14" spans="1:6">
      <c r="A14" s="3257" t="s">
        <v>3693</v>
      </c>
      <c r="B14" s="3258">
        <f>[3]北塔!B474</f>
        <v>3941.96</v>
      </c>
      <c r="C14" s="3259" t="s">
        <v>3683</v>
      </c>
    </row>
    <row r="15" spans="1:6">
      <c r="A15" s="3257" t="s">
        <v>3694</v>
      </c>
      <c r="B15" s="3258">
        <f>[3]北塔!B472</f>
        <v>3941.96</v>
      </c>
      <c r="C15" s="3259" t="s">
        <v>3683</v>
      </c>
      <c r="F15" s="3252">
        <v>7</v>
      </c>
    </row>
    <row r="16" spans="1:6">
      <c r="A16" s="3257" t="s">
        <v>3695</v>
      </c>
      <c r="B16" s="3258">
        <f>[3]北塔!B470</f>
        <v>3941.96</v>
      </c>
      <c r="C16" s="3259" t="s">
        <v>3683</v>
      </c>
      <c r="F16" s="3252">
        <v>16</v>
      </c>
    </row>
    <row r="17" spans="1:7">
      <c r="A17" s="3257" t="s">
        <v>3696</v>
      </c>
      <c r="B17" s="3258">
        <f>[3]北塔!B468</f>
        <v>3941.96</v>
      </c>
      <c r="C17" s="3259" t="s">
        <v>3683</v>
      </c>
      <c r="F17" s="3252">
        <v>17</v>
      </c>
    </row>
    <row r="18" spans="1:7">
      <c r="A18" s="3257" t="s">
        <v>3697</v>
      </c>
      <c r="B18" s="3258">
        <f>[3]北塔!B466</f>
        <v>3915.72</v>
      </c>
      <c r="C18" s="3259" t="s">
        <v>3683</v>
      </c>
    </row>
    <row r="19" spans="1:7">
      <c r="A19" s="3257" t="s">
        <v>3698</v>
      </c>
      <c r="B19" s="3258">
        <f>[3]北塔!B464</f>
        <v>3906.68</v>
      </c>
      <c r="C19" s="3259" t="s">
        <v>3683</v>
      </c>
    </row>
    <row r="20" spans="1:7">
      <c r="A20" s="3257" t="s">
        <v>3699</v>
      </c>
      <c r="B20" s="3258">
        <f>[3]北塔!B462</f>
        <v>5246.66</v>
      </c>
      <c r="C20" s="3259" t="s">
        <v>3683</v>
      </c>
    </row>
    <row r="21" spans="1:7">
      <c r="A21" s="3257" t="s">
        <v>3700</v>
      </c>
      <c r="B21" s="3258">
        <f>[3]北塔!B460</f>
        <v>5035.82</v>
      </c>
      <c r="C21" s="3259" t="s">
        <v>3683</v>
      </c>
    </row>
    <row r="22" spans="1:7">
      <c r="A22" s="3257" t="s">
        <v>3701</v>
      </c>
      <c r="B22" s="3258">
        <f>[3]北塔!B456</f>
        <v>183.48</v>
      </c>
      <c r="C22" s="3260" t="s">
        <v>3702</v>
      </c>
      <c r="D22" s="3261"/>
      <c r="E22" s="3262"/>
      <c r="F22" s="3261"/>
    </row>
    <row r="23" spans="1:7">
      <c r="A23" s="3257" t="s">
        <v>3703</v>
      </c>
      <c r="B23" s="3258">
        <f>[3]北塔!B457</f>
        <v>223.42</v>
      </c>
      <c r="C23" s="3260" t="s">
        <v>3702</v>
      </c>
      <c r="D23" s="3261"/>
      <c r="E23" s="3262"/>
      <c r="F23" s="3261"/>
    </row>
    <row r="24" spans="1:7">
      <c r="A24" s="3263" t="s">
        <v>3704</v>
      </c>
      <c r="B24" s="3258">
        <v>3024.74</v>
      </c>
      <c r="C24" s="3260" t="s">
        <v>3702</v>
      </c>
      <c r="E24" s="3262"/>
    </row>
    <row r="25" spans="1:7">
      <c r="A25" s="3263" t="s">
        <v>3705</v>
      </c>
      <c r="B25" s="3258">
        <v>5283.68</v>
      </c>
      <c r="C25" s="3260" t="s">
        <v>3706</v>
      </c>
      <c r="D25" s="3252">
        <v>102</v>
      </c>
      <c r="E25" s="3275">
        <f>B25/D25</f>
        <v>51.800784313725494</v>
      </c>
      <c r="F25" s="3252">
        <v>2100</v>
      </c>
      <c r="G25" s="3252">
        <f>F25*D25</f>
        <v>214200</v>
      </c>
    </row>
    <row r="26" spans="1:7">
      <c r="A26" s="3263" t="s">
        <v>3707</v>
      </c>
      <c r="B26" s="3258">
        <v>8427.6200000000008</v>
      </c>
      <c r="C26" s="3260" t="s">
        <v>3708</v>
      </c>
      <c r="D26" s="3252">
        <v>167</v>
      </c>
      <c r="E26" s="3275">
        <f t="shared" ref="E26:E27" si="0">B26/D26</f>
        <v>50.46479041916168</v>
      </c>
      <c r="F26" s="3252">
        <v>1700</v>
      </c>
      <c r="G26" s="3252">
        <f t="shared" ref="G26:G27" si="1">F26*D26</f>
        <v>283900</v>
      </c>
    </row>
    <row r="27" spans="1:7">
      <c r="A27" s="3263" t="s">
        <v>3709</v>
      </c>
      <c r="B27" s="3258">
        <v>5131.2299999999996</v>
      </c>
      <c r="C27" s="3260" t="s">
        <v>3706</v>
      </c>
      <c r="D27" s="3252">
        <v>102</v>
      </c>
      <c r="E27" s="3275">
        <f t="shared" si="0"/>
        <v>50.306176470588234</v>
      </c>
      <c r="F27" s="3252">
        <v>1500</v>
      </c>
      <c r="G27" s="3252">
        <f t="shared" si="1"/>
        <v>153000</v>
      </c>
    </row>
    <row r="28" spans="1:7">
      <c r="A28" s="3263" t="s">
        <v>3704</v>
      </c>
      <c r="B28" s="3258">
        <v>426.86</v>
      </c>
      <c r="C28" s="3414" t="s">
        <v>3710</v>
      </c>
      <c r="D28" s="3252">
        <f>D25+D26+D27</f>
        <v>371</v>
      </c>
      <c r="E28" s="3261">
        <f>(B25+B26+B27)/D28</f>
        <v>50.78849056603773</v>
      </c>
      <c r="F28" s="3252">
        <f>ROUND(G28/D28,0)</f>
        <v>1755</v>
      </c>
      <c r="G28" s="3252">
        <f>SUM(G25:G27)</f>
        <v>651100</v>
      </c>
    </row>
    <row r="29" spans="1:7">
      <c r="A29" s="3263" t="s">
        <v>3705</v>
      </c>
      <c r="B29" s="3258">
        <v>358.12</v>
      </c>
      <c r="C29" s="3415"/>
    </row>
    <row r="30" spans="1:7">
      <c r="A30" s="3263" t="s">
        <v>3499</v>
      </c>
      <c r="B30" s="3258">
        <v>168.50000000000003</v>
      </c>
      <c r="C30" s="3415"/>
    </row>
    <row r="31" spans="1:7">
      <c r="A31" s="3263" t="s">
        <v>3707</v>
      </c>
      <c r="B31" s="3258">
        <v>554.78</v>
      </c>
      <c r="C31" s="3415"/>
    </row>
    <row r="32" spans="1:7">
      <c r="A32" s="3263" t="s">
        <v>3303</v>
      </c>
      <c r="B32" s="3258">
        <v>539.9899999999999</v>
      </c>
      <c r="C32" s="3415"/>
    </row>
    <row r="33" spans="1:4">
      <c r="A33" s="3263" t="s">
        <v>3709</v>
      </c>
      <c r="B33" s="3258">
        <v>592.57000000000005</v>
      </c>
      <c r="C33" s="3416"/>
    </row>
    <row r="34" spans="1:4">
      <c r="A34" s="3263"/>
      <c r="B34" s="3258"/>
      <c r="C34" s="3260"/>
    </row>
    <row r="35" spans="1:4">
      <c r="A35" s="3264" t="s">
        <v>3711</v>
      </c>
      <c r="B35" s="3265">
        <f>SUM(B4:B33)</f>
        <v>98604.219999999987</v>
      </c>
      <c r="C35" s="3260"/>
    </row>
    <row r="36" spans="1:4">
      <c r="A36" s="3264" t="s">
        <v>3712</v>
      </c>
      <c r="B36" s="3265">
        <f>SUM(B4:B23)</f>
        <v>74096.129999999976</v>
      </c>
      <c r="C36" s="3260"/>
      <c r="D36" s="3253"/>
    </row>
    <row r="37" spans="1:4">
      <c r="A37" s="3266" t="s">
        <v>3713</v>
      </c>
      <c r="B37" s="3267">
        <f>SUM(B24:B27)</f>
        <v>21867.27</v>
      </c>
      <c r="C37" s="3268"/>
      <c r="D37" s="3253"/>
    </row>
    <row r="38" spans="1:4" ht="15" thickBot="1">
      <c r="A38" s="3269" t="s">
        <v>3714</v>
      </c>
      <c r="B38" s="3270">
        <f>SUM(B28:B33)</f>
        <v>2640.82</v>
      </c>
      <c r="C38" s="3271"/>
      <c r="D38" s="3253"/>
    </row>
    <row r="40" spans="1:4">
      <c r="A40" s="3252">
        <v>-5</v>
      </c>
      <c r="B40" s="3253">
        <v>8210.26</v>
      </c>
      <c r="C40" s="3252" t="s">
        <v>3770</v>
      </c>
    </row>
    <row r="41" spans="1:4">
      <c r="A41" s="3252">
        <v>-3</v>
      </c>
      <c r="B41" s="3253">
        <v>6087.66</v>
      </c>
      <c r="C41" s="3252" t="s">
        <v>3770</v>
      </c>
    </row>
    <row r="42" spans="1:4">
      <c r="A42" s="3252">
        <v>1</v>
      </c>
      <c r="B42" s="3253">
        <v>1363.06</v>
      </c>
      <c r="C42" s="3252" t="s">
        <v>3771</v>
      </c>
    </row>
    <row r="43" spans="1:4">
      <c r="A43" s="3252">
        <v>2</v>
      </c>
      <c r="B43" s="3253">
        <v>3522.88</v>
      </c>
      <c r="C43" s="3252" t="s">
        <v>3772</v>
      </c>
    </row>
    <row r="44" spans="1:4">
      <c r="A44" s="3252">
        <v>3</v>
      </c>
      <c r="B44" s="3253">
        <v>2618.17</v>
      </c>
      <c r="C44" s="3252" t="s">
        <v>3772</v>
      </c>
    </row>
    <row r="45" spans="1:4">
      <c r="A45" s="3252">
        <v>4</v>
      </c>
      <c r="B45" s="3253">
        <v>3077.26</v>
      </c>
      <c r="C45" s="3252" t="s">
        <v>3772</v>
      </c>
    </row>
    <row r="46" spans="1:4">
      <c r="A46" s="3252">
        <v>5</v>
      </c>
      <c r="B46" s="3253">
        <v>2460.92</v>
      </c>
      <c r="C46" s="3252" t="s">
        <v>3772</v>
      </c>
    </row>
    <row r="47" spans="1:4">
      <c r="A47" s="3252">
        <v>6</v>
      </c>
      <c r="B47" s="3253">
        <v>2378.16</v>
      </c>
      <c r="C47" s="3252" t="s">
        <v>3772</v>
      </c>
    </row>
    <row r="48" spans="1:4">
      <c r="A48" s="3252">
        <v>7</v>
      </c>
      <c r="B48" s="3253">
        <v>2463.94</v>
      </c>
      <c r="C48" s="3252" t="s">
        <v>3772</v>
      </c>
    </row>
    <row r="49" spans="1:3">
      <c r="A49" s="3252">
        <v>8</v>
      </c>
      <c r="B49" s="3253">
        <v>2378.16</v>
      </c>
      <c r="C49" s="3252" t="s">
        <v>3772</v>
      </c>
    </row>
    <row r="50" spans="1:3">
      <c r="A50" s="3252">
        <v>9</v>
      </c>
      <c r="B50" s="3253">
        <v>2463.94</v>
      </c>
      <c r="C50" s="3252" t="s">
        <v>3772</v>
      </c>
    </row>
    <row r="51" spans="1:3">
      <c r="A51" s="3252">
        <v>10</v>
      </c>
      <c r="B51" s="3253">
        <v>2378.16</v>
      </c>
      <c r="C51" s="3252" t="s">
        <v>3772</v>
      </c>
    </row>
    <row r="52" spans="1:3">
      <c r="A52" s="3252">
        <v>11</v>
      </c>
      <c r="B52" s="3253">
        <v>2463.94</v>
      </c>
      <c r="C52" s="3252" t="s">
        <v>3772</v>
      </c>
    </row>
    <row r="53" spans="1:3">
      <c r="A53" s="3252">
        <v>12</v>
      </c>
      <c r="B53" s="3253">
        <v>2378.16</v>
      </c>
      <c r="C53" s="3252" t="s">
        <v>3772</v>
      </c>
    </row>
    <row r="54" spans="1:3">
      <c r="A54" s="3252">
        <v>13</v>
      </c>
      <c r="B54" s="3253">
        <v>2533.36</v>
      </c>
      <c r="C54" s="3252" t="s">
        <v>3772</v>
      </c>
    </row>
    <row r="55" spans="1:3">
      <c r="A55" s="3252">
        <v>14</v>
      </c>
      <c r="B55" s="3253">
        <v>2415.9899999999998</v>
      </c>
      <c r="C55" s="3252" t="s">
        <v>3772</v>
      </c>
    </row>
    <row r="56" spans="1:3">
      <c r="A56" s="3252">
        <v>15</v>
      </c>
      <c r="B56" s="3253">
        <v>2470.38</v>
      </c>
      <c r="C56" s="3252" t="s">
        <v>3772</v>
      </c>
    </row>
    <row r="57" spans="1:3">
      <c r="A57" s="3252">
        <v>16</v>
      </c>
      <c r="B57" s="3253">
        <v>2470.64</v>
      </c>
      <c r="C57" s="3252" t="s">
        <v>3772</v>
      </c>
    </row>
    <row r="58" spans="1:3">
      <c r="A58" s="3252">
        <v>17</v>
      </c>
      <c r="B58" s="3253">
        <v>2555.9</v>
      </c>
      <c r="C58" s="3252" t="s">
        <v>3772</v>
      </c>
    </row>
    <row r="59" spans="1:3">
      <c r="A59" s="3252">
        <v>18</v>
      </c>
      <c r="B59" s="3253">
        <v>2470.64</v>
      </c>
      <c r="C59" s="3252" t="s">
        <v>3772</v>
      </c>
    </row>
    <row r="60" spans="1:3">
      <c r="A60" s="3252">
        <v>19</v>
      </c>
      <c r="B60" s="3253">
        <v>2550.1</v>
      </c>
      <c r="C60" s="3252" t="s">
        <v>3772</v>
      </c>
    </row>
    <row r="61" spans="1:3">
      <c r="A61" s="3252">
        <v>20</v>
      </c>
      <c r="B61" s="3253">
        <v>2453.5500000000002</v>
      </c>
      <c r="C61" s="3252" t="s">
        <v>3772</v>
      </c>
    </row>
    <row r="62" spans="1:3">
      <c r="B62" s="3253">
        <f>SUM(B40:B61)</f>
        <v>64165.23000000001</v>
      </c>
    </row>
  </sheetData>
  <mergeCells count="2">
    <mergeCell ref="A2:C2"/>
    <mergeCell ref="C28:C33"/>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42"/>
  <sheetViews>
    <sheetView view="pageBreakPreview" zoomScale="70" zoomScaleNormal="100" zoomScaleSheetLayoutView="70" workbookViewId="0">
      <selection activeCell="E27" sqref="E27"/>
    </sheetView>
  </sheetViews>
  <sheetFormatPr defaultColWidth="9.08984375" defaultRowHeight="14"/>
  <cols>
    <col min="1" max="1" width="12.08984375" style="1773" customWidth="1"/>
    <col min="2" max="2" width="10.08984375" style="1773" customWidth="1"/>
    <col min="3" max="3" width="18.453125" style="1773" customWidth="1"/>
    <col min="4" max="4" width="11.6328125" style="1773" customWidth="1"/>
    <col min="5" max="5" width="13.36328125" style="1773" customWidth="1"/>
    <col min="6" max="8" width="11.453125" style="1773" customWidth="1"/>
    <col min="9" max="9" width="11.08984375" style="1773" customWidth="1"/>
    <col min="10" max="10" width="3.08984375" style="2822" customWidth="1"/>
    <col min="11" max="16" width="10" style="1773" customWidth="1"/>
    <col min="17" max="17" width="2.6328125" style="1773" customWidth="1"/>
    <col min="18" max="18" width="9.36328125" style="1773" bestFit="1" customWidth="1"/>
    <col min="19" max="19" width="10.453125" style="1773" bestFit="1" customWidth="1"/>
    <col min="20" max="16384" width="9.08984375" style="1773"/>
  </cols>
  <sheetData>
    <row r="1" spans="1:16" ht="18.5" thickBot="1">
      <c r="A1" s="1772" t="s">
        <v>1571</v>
      </c>
      <c r="B1" s="1253"/>
      <c r="C1" s="1253"/>
      <c r="D1" s="1253"/>
      <c r="E1" s="1253"/>
      <c r="F1" s="1253"/>
      <c r="G1" s="1253"/>
      <c r="H1" s="1253"/>
      <c r="I1" s="1253"/>
      <c r="J1" s="1253"/>
      <c r="K1" s="1253"/>
      <c r="L1" s="1253"/>
      <c r="M1" s="1253"/>
      <c r="N1" s="1253"/>
      <c r="O1" s="1253"/>
      <c r="P1" s="1253"/>
    </row>
    <row r="2" spans="1:16">
      <c r="A2" s="3426" t="s">
        <v>1572</v>
      </c>
      <c r="B2" s="3426"/>
      <c r="C2" s="3426"/>
      <c r="D2" s="884" t="s">
        <v>1548</v>
      </c>
      <c r="E2" s="1774" t="s">
        <v>1549</v>
      </c>
      <c r="F2" s="2832"/>
      <c r="G2" s="2823"/>
      <c r="H2" s="2824"/>
      <c r="I2" s="2497" t="s">
        <v>1573</v>
      </c>
      <c r="J2" s="2832"/>
      <c r="K2" s="2832"/>
      <c r="L2" s="2832"/>
      <c r="M2" s="2832"/>
      <c r="N2" s="2834"/>
      <c r="O2" s="2832"/>
      <c r="P2" s="2832"/>
    </row>
    <row r="3" spans="1:16" ht="14.5" thickBot="1">
      <c r="A3" s="3427" t="s">
        <v>1546</v>
      </c>
      <c r="B3" s="3427"/>
      <c r="C3" s="3427"/>
      <c r="D3" s="46">
        <f>'数据-基础表'!AY6</f>
        <v>5676.41</v>
      </c>
      <c r="E3" s="46">
        <f>'数据-基础表'!AZ5</f>
        <v>98604.219999999987</v>
      </c>
      <c r="F3" s="2832"/>
      <c r="G3" s="1259"/>
      <c r="H3" s="1137" t="s">
        <v>1547</v>
      </c>
      <c r="I3" s="944">
        <f>ROUND('数据-基础表'!B3/'数据-基础表'!A3,2)</f>
        <v>17.37</v>
      </c>
      <c r="J3" s="2832"/>
      <c r="K3" s="2832"/>
      <c r="L3" s="2832"/>
      <c r="M3" s="2832"/>
      <c r="N3" s="2834"/>
      <c r="O3" s="2832"/>
      <c r="P3" s="2832"/>
    </row>
    <row r="4" spans="1:16">
      <c r="A4" s="3428"/>
      <c r="B4" s="3429"/>
      <c r="C4" s="3430"/>
      <c r="D4" s="1776" t="s">
        <v>1548</v>
      </c>
      <c r="E4" s="1777" t="s">
        <v>1549</v>
      </c>
      <c r="F4" s="2832"/>
      <c r="G4" s="2825" t="s">
        <v>1574</v>
      </c>
      <c r="H4" s="1137" t="s">
        <v>1554</v>
      </c>
      <c r="I4" s="944">
        <f>ROUND(SUMIF('数据-基础表'!I9:AS9,"地上",'数据-基础表'!I5:AS5)/'数据-基础表'!A3,2)</f>
        <v>13.23</v>
      </c>
      <c r="J4" s="2832"/>
      <c r="K4" s="2832"/>
      <c r="L4" s="2832"/>
      <c r="M4" s="2832"/>
      <c r="N4" s="2834"/>
      <c r="O4" s="2832"/>
      <c r="P4" s="2832"/>
    </row>
    <row r="5" spans="1:16">
      <c r="A5" s="47" t="s">
        <v>1550</v>
      </c>
      <c r="B5" s="3431" t="s">
        <v>1551</v>
      </c>
      <c r="C5" s="3431"/>
      <c r="D5" s="48">
        <f>ROUND($D$3*E5/$E$3,2)</f>
        <v>0</v>
      </c>
      <c r="E5" s="49">
        <f>SUMIF('数据-基础表'!$11:$11,"住宅",'数据-基础表'!$5:$5)</f>
        <v>0</v>
      </c>
      <c r="F5" s="2832"/>
      <c r="G5" s="1259"/>
      <c r="H5" s="1137" t="s">
        <v>1547</v>
      </c>
      <c r="I5" s="944">
        <f>ROUND(E31/D31,2)</f>
        <v>17.37</v>
      </c>
      <c r="J5" s="2832"/>
      <c r="K5" s="2832"/>
      <c r="L5" s="2832"/>
      <c r="M5" s="2832"/>
      <c r="N5" s="2832"/>
      <c r="O5" s="2832"/>
      <c r="P5" s="2832"/>
    </row>
    <row r="6" spans="1:16" ht="14.5" thickBot="1">
      <c r="A6" s="1779"/>
      <c r="B6" s="3431" t="s">
        <v>1552</v>
      </c>
      <c r="C6" s="3431"/>
      <c r="D6" s="48">
        <f>ROUND($D$3*E6/$E$3,2)</f>
        <v>5676.41</v>
      </c>
      <c r="E6" s="49">
        <f>E3-E5</f>
        <v>98604.219999999987</v>
      </c>
      <c r="F6" s="2832"/>
      <c r="G6" s="2826" t="s">
        <v>1553</v>
      </c>
      <c r="H6" s="1260" t="s">
        <v>1554</v>
      </c>
      <c r="I6" s="2827">
        <f>ROUND(F31/D31,2)</f>
        <v>13.05</v>
      </c>
      <c r="J6" s="2832"/>
      <c r="K6" s="2832"/>
      <c r="L6" s="2832"/>
      <c r="M6" s="2832"/>
      <c r="N6" s="2832"/>
      <c r="O6" s="2832"/>
      <c r="P6" s="2832"/>
    </row>
    <row r="7" spans="1:16" ht="14.5" thickBot="1">
      <c r="A7" s="3423"/>
      <c r="B7" s="3424"/>
      <c r="C7" s="3425"/>
      <c r="D7" s="1776" t="s">
        <v>1548</v>
      </c>
      <c r="E7" s="1780" t="s">
        <v>1555</v>
      </c>
      <c r="F7" s="2832"/>
      <c r="G7" s="2828" t="s">
        <v>1556</v>
      </c>
      <c r="H7" s="2829"/>
      <c r="I7" s="2830"/>
      <c r="J7" s="2832"/>
      <c r="K7" s="2832"/>
      <c r="L7" s="2832"/>
      <c r="M7" s="2832"/>
      <c r="N7" s="2832"/>
      <c r="O7" s="2832"/>
      <c r="P7" s="2832"/>
    </row>
    <row r="8" spans="1:16">
      <c r="A8" s="47" t="s">
        <v>1557</v>
      </c>
      <c r="B8" s="50" t="s">
        <v>1558</v>
      </c>
      <c r="C8" s="48" t="s">
        <v>1559</v>
      </c>
      <c r="D8" s="48">
        <f t="shared" ref="D8:D15" si="0">ROUND($D$3*E8/$E$3,2)</f>
        <v>4265.54</v>
      </c>
      <c r="E8" s="51">
        <f>SUMIF('数据-基础表'!BB10:BK10,"地上",'数据-基础表'!BB5:BK5)</f>
        <v>74096.129999999976</v>
      </c>
      <c r="F8" s="2832"/>
      <c r="G8" s="2833"/>
      <c r="H8" s="2833"/>
      <c r="I8" s="2832"/>
      <c r="J8" s="2832"/>
      <c r="K8" s="2832"/>
      <c r="L8" s="2832"/>
      <c r="M8" s="2832"/>
      <c r="N8" s="2832"/>
      <c r="O8" s="2832"/>
      <c r="P8" s="2832"/>
    </row>
    <row r="9" spans="1:16">
      <c r="A9" s="1781"/>
      <c r="B9" s="1782"/>
      <c r="C9" s="48" t="s">
        <v>1560</v>
      </c>
      <c r="D9" s="48">
        <f t="shared" si="0"/>
        <v>0</v>
      </c>
      <c r="E9" s="52">
        <v>0</v>
      </c>
      <c r="F9" s="2832"/>
      <c r="G9" s="2833"/>
      <c r="H9" s="2833"/>
      <c r="I9" s="2832"/>
      <c r="J9" s="2832"/>
      <c r="K9" s="2832"/>
      <c r="L9" s="2832"/>
      <c r="M9" s="2832"/>
      <c r="N9" s="2832"/>
      <c r="O9" s="2832"/>
      <c r="P9" s="2832"/>
    </row>
    <row r="10" spans="1:16">
      <c r="A10" s="1781"/>
      <c r="B10" s="1782"/>
      <c r="C10" s="48" t="s">
        <v>1569</v>
      </c>
      <c r="D10" s="48">
        <f t="shared" si="0"/>
        <v>174.13</v>
      </c>
      <c r="E10" s="51">
        <f>SUMPRODUCT(('数据-基础表'!BB10:BK10="地下")*('数据-基础表'!BB11:BK11="商业")*('数据-基础表'!BB5:BK5))</f>
        <v>3024.74</v>
      </c>
      <c r="F10" s="2832"/>
      <c r="G10" s="2833"/>
      <c r="H10" s="2833"/>
      <c r="I10" s="2832"/>
      <c r="J10" s="2832"/>
      <c r="K10" s="2832"/>
      <c r="L10" s="2832"/>
      <c r="M10" s="2832"/>
      <c r="N10" s="2832"/>
      <c r="O10" s="2832"/>
      <c r="P10" s="2832"/>
    </row>
    <row r="11" spans="1:16">
      <c r="A11" s="1781"/>
      <c r="B11" s="1782"/>
      <c r="C11" s="48" t="s">
        <v>1561</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1562</v>
      </c>
      <c r="D12" s="48">
        <f t="shared" si="0"/>
        <v>152.03</v>
      </c>
      <c r="E12" s="51">
        <f>SUMPRODUCT(('数据-基础表'!BB10:BK10="地下")*('数据-基础表'!BB11:BK11="仓储")*('数据-基础表'!BB5:BK5))</f>
        <v>2640.82</v>
      </c>
      <c r="F12" s="2832"/>
      <c r="G12" s="2833"/>
      <c r="H12" s="2833"/>
      <c r="I12" s="2832"/>
      <c r="J12" s="2832"/>
      <c r="K12" s="2832"/>
      <c r="L12" s="2832"/>
      <c r="M12" s="2832"/>
      <c r="N12" s="2832"/>
      <c r="O12" s="2832"/>
      <c r="P12" s="2832"/>
    </row>
    <row r="13" spans="1:16">
      <c r="A13" s="1781"/>
      <c r="B13" s="1782"/>
      <c r="C13" s="48" t="s">
        <v>1563</v>
      </c>
      <c r="D13" s="48">
        <f t="shared" si="0"/>
        <v>1084.72</v>
      </c>
      <c r="E13" s="51">
        <f>SUMPRODUCT(('数据-基础表'!BB10:BK10="地下")*('数据-基础表'!BB11:BK11="车库")*('数据-基础表'!BB5:BK5))</f>
        <v>18842.53</v>
      </c>
      <c r="F13" s="2832"/>
      <c r="G13" s="2833"/>
      <c r="H13" s="2833"/>
      <c r="I13" s="2832"/>
      <c r="J13" s="2832"/>
      <c r="K13" s="2832"/>
      <c r="L13" s="2832"/>
      <c r="M13" s="2832"/>
      <c r="N13" s="2832"/>
      <c r="O13" s="2832"/>
      <c r="P13" s="2832"/>
    </row>
    <row r="14" spans="1:16">
      <c r="A14" s="1781"/>
      <c r="B14" s="1782"/>
      <c r="C14" s="48" t="s">
        <v>1575</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4.5" thickBot="1">
      <c r="A15" s="1781"/>
      <c r="B15" s="1782"/>
      <c r="C15" s="48" t="s">
        <v>1570</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4.5" thickBot="1">
      <c r="A16" s="1779"/>
      <c r="B16" s="1782"/>
      <c r="C16" s="50" t="s">
        <v>1564</v>
      </c>
      <c r="D16" s="50">
        <f>SUM(D8:D15)</f>
        <v>5676.42</v>
      </c>
      <c r="E16" s="53">
        <f>SUM(E8:E15)</f>
        <v>98604.219999999987</v>
      </c>
      <c r="F16" s="2832"/>
      <c r="G16" s="2833"/>
      <c r="H16" s="1783" t="s">
        <v>1576</v>
      </c>
      <c r="I16" s="1784"/>
      <c r="J16" s="1253"/>
      <c r="K16" s="3420" t="s">
        <v>1576</v>
      </c>
      <c r="L16" s="3421"/>
      <c r="M16" s="3421"/>
      <c r="N16" s="3421"/>
      <c r="O16" s="3421"/>
      <c r="P16" s="3422"/>
    </row>
    <row r="17" spans="1:19">
      <c r="A17" s="1785" t="s">
        <v>1577</v>
      </c>
      <c r="B17" s="1786" t="s">
        <v>1578</v>
      </c>
      <c r="C17" s="1787" t="s">
        <v>1579</v>
      </c>
      <c r="D17" s="1788" t="s">
        <v>1567</v>
      </c>
      <c r="E17" s="1789" t="s">
        <v>1568</v>
      </c>
      <c r="F17" s="1790"/>
      <c r="G17" s="1791"/>
      <c r="H17" s="1792" t="s">
        <v>1580</v>
      </c>
      <c r="I17" s="1793" t="s">
        <v>1565</v>
      </c>
      <c r="J17" s="1253"/>
      <c r="K17" s="3417" t="s">
        <v>1581</v>
      </c>
      <c r="L17" s="3418"/>
      <c r="M17" s="3419"/>
      <c r="N17" s="3417" t="s">
        <v>1582</v>
      </c>
      <c r="O17" s="3418"/>
      <c r="P17" s="3419"/>
      <c r="R17" s="1775" t="s">
        <v>1583</v>
      </c>
      <c r="S17" s="60"/>
    </row>
    <row r="18" spans="1:19">
      <c r="A18" s="1781"/>
      <c r="B18" s="1794"/>
      <c r="C18" s="1795"/>
      <c r="D18" s="1796"/>
      <c r="E18" s="1797" t="s">
        <v>1584</v>
      </c>
      <c r="F18" s="1798" t="s">
        <v>1585</v>
      </c>
      <c r="G18" s="1799" t="s">
        <v>1586</v>
      </c>
      <c r="H18" s="1152" t="s">
        <v>1587</v>
      </c>
      <c r="I18" s="1800" t="s">
        <v>1588</v>
      </c>
      <c r="J18" s="1253"/>
      <c r="K18" s="1152" t="s">
        <v>1589</v>
      </c>
      <c r="L18" s="1801" t="s">
        <v>1590</v>
      </c>
      <c r="M18" s="944" t="s">
        <v>1591</v>
      </c>
      <c r="N18" s="1152" t="s">
        <v>1589</v>
      </c>
      <c r="O18" s="1801" t="s">
        <v>1590</v>
      </c>
      <c r="P18" s="944" t="s">
        <v>1591</v>
      </c>
      <c r="R18" s="1137" t="s">
        <v>1592</v>
      </c>
      <c r="S18" s="1137" t="s">
        <v>1593</v>
      </c>
    </row>
    <row r="19" spans="1:19">
      <c r="A19" s="1802"/>
      <c r="B19" s="50" t="s">
        <v>1566</v>
      </c>
      <c r="C19" s="3272" t="s">
        <v>3720</v>
      </c>
      <c r="D19" s="48">
        <f>ROUND($D$3*E19/$E$3,2)</f>
        <v>4242.1099999999997</v>
      </c>
      <c r="E19" s="56">
        <f t="shared" ref="E19:E26" si="1">SUM(F19:G19)</f>
        <v>73689.229999999981</v>
      </c>
      <c r="F19" s="2971">
        <f>'数据-基础表'!I13</f>
        <v>73689.229999999981</v>
      </c>
      <c r="G19" s="2972"/>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4242.1099999999997</v>
      </c>
      <c r="S19" s="1138">
        <f t="shared" si="5"/>
        <v>73689.229999999981</v>
      </c>
    </row>
    <row r="20" spans="1:19">
      <c r="A20" s="1805"/>
      <c r="B20" s="50" t="s">
        <v>1594</v>
      </c>
      <c r="C20" s="3272" t="s">
        <v>3721</v>
      </c>
      <c r="D20" s="48">
        <f t="shared" ref="D20:D26" si="6">ROUND($D$3*E20/$E$3,2)</f>
        <v>197.55</v>
      </c>
      <c r="E20" s="56">
        <f t="shared" si="1"/>
        <v>3431.64</v>
      </c>
      <c r="F20" s="2971">
        <f>'数据-基础表'!K13</f>
        <v>406.9</v>
      </c>
      <c r="G20" s="2972">
        <f>'数据-基础表'!M13</f>
        <v>3024.74</v>
      </c>
      <c r="H20" s="679">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197.55</v>
      </c>
      <c r="S20" s="1138">
        <f t="shared" si="5"/>
        <v>3431.64</v>
      </c>
    </row>
    <row r="21" spans="1:19">
      <c r="A21" s="1805"/>
      <c r="B21" s="50" t="s">
        <v>1594</v>
      </c>
      <c r="C21" s="3272" t="s">
        <v>3722</v>
      </c>
      <c r="D21" s="48">
        <f t="shared" si="6"/>
        <v>1084.72</v>
      </c>
      <c r="E21" s="56">
        <f t="shared" si="1"/>
        <v>18842.53</v>
      </c>
      <c r="F21" s="2971"/>
      <c r="G21" s="2972">
        <f>'数据-基础表'!O13</f>
        <v>18842.53</v>
      </c>
      <c r="H21" s="679">
        <f t="shared" si="7"/>
        <v>0</v>
      </c>
      <c r="I21" s="51">
        <f t="shared" si="2"/>
        <v>0</v>
      </c>
      <c r="J21" s="1253"/>
      <c r="K21" s="1252">
        <f t="shared" si="3"/>
        <v>0</v>
      </c>
      <c r="L21" s="1137">
        <f t="shared" si="4"/>
        <v>0</v>
      </c>
      <c r="M21" s="1264">
        <f t="shared" si="8"/>
        <v>0</v>
      </c>
      <c r="N21" s="1803"/>
      <c r="O21" s="1804"/>
      <c r="P21" s="1264">
        <f t="shared" si="9"/>
        <v>0</v>
      </c>
      <c r="R21" s="1137">
        <f t="shared" si="5"/>
        <v>1084.72</v>
      </c>
      <c r="S21" s="1138">
        <f t="shared" si="5"/>
        <v>18842.53</v>
      </c>
    </row>
    <row r="22" spans="1:19">
      <c r="A22" s="1805"/>
      <c r="B22" s="50" t="s">
        <v>1594</v>
      </c>
      <c r="C22" s="3273" t="s">
        <v>3723</v>
      </c>
      <c r="D22" s="48">
        <f t="shared" si="6"/>
        <v>152.03</v>
      </c>
      <c r="E22" s="56">
        <f t="shared" si="1"/>
        <v>2640.82</v>
      </c>
      <c r="F22" s="2973"/>
      <c r="G22" s="2974">
        <f>'数据-基础表'!Q13</f>
        <v>2640.82</v>
      </c>
      <c r="H22" s="679">
        <f t="shared" si="7"/>
        <v>0</v>
      </c>
      <c r="I22" s="51">
        <f t="shared" si="2"/>
        <v>0</v>
      </c>
      <c r="J22" s="1253"/>
      <c r="K22" s="1252">
        <f t="shared" si="3"/>
        <v>0</v>
      </c>
      <c r="L22" s="1137">
        <f t="shared" si="4"/>
        <v>0</v>
      </c>
      <c r="M22" s="1264">
        <f t="shared" si="8"/>
        <v>0</v>
      </c>
      <c r="N22" s="1803"/>
      <c r="O22" s="1804"/>
      <c r="P22" s="1264">
        <f t="shared" si="9"/>
        <v>0</v>
      </c>
      <c r="R22" s="1137">
        <f t="shared" si="5"/>
        <v>152.03</v>
      </c>
      <c r="S22" s="1138">
        <f t="shared" si="5"/>
        <v>2640.82</v>
      </c>
    </row>
    <row r="23" spans="1:19">
      <c r="A23" s="1805"/>
      <c r="B23" s="50" t="s">
        <v>1594</v>
      </c>
      <c r="C23" s="58"/>
      <c r="D23" s="48">
        <f>ROUND($D$3*E23/$E$3,2)</f>
        <v>0</v>
      </c>
      <c r="E23" s="56">
        <f>SUM(F23:G23)</f>
        <v>0</v>
      </c>
      <c r="F23" s="2973"/>
      <c r="G23" s="2974"/>
      <c r="H23" s="679">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1594</v>
      </c>
      <c r="C24" s="58"/>
      <c r="D24" s="48">
        <f>ROUND($D$3*E24/$E$3,2)</f>
        <v>0</v>
      </c>
      <c r="E24" s="56">
        <f>SUM(F24:G24)</f>
        <v>0</v>
      </c>
      <c r="F24" s="2973"/>
      <c r="G24" s="2974"/>
      <c r="H24" s="679">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1594</v>
      </c>
      <c r="C25" s="58"/>
      <c r="D25" s="48">
        <f t="shared" si="6"/>
        <v>0</v>
      </c>
      <c r="E25" s="56">
        <f t="shared" si="1"/>
        <v>0</v>
      </c>
      <c r="F25" s="2973"/>
      <c r="G25" s="2974"/>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1594</v>
      </c>
      <c r="C26" s="59"/>
      <c r="D26" s="48">
        <f t="shared" si="6"/>
        <v>0</v>
      </c>
      <c r="E26" s="56">
        <f t="shared" si="1"/>
        <v>0</v>
      </c>
      <c r="F26" s="2973"/>
      <c r="G26" s="2974"/>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4.5" thickBot="1">
      <c r="A27" s="1805"/>
      <c r="B27" s="48"/>
      <c r="C27" s="1808" t="s">
        <v>1595</v>
      </c>
      <c r="D27" s="1254">
        <f>SUM(D19:D26)</f>
        <v>5676.41</v>
      </c>
      <c r="E27" s="1255">
        <f>IF(SUM(E19:E26)='数据-基础表'!BA5,SUM(E19:E26),IF(F27="地上面积有误","面积有误","地下面积有误"))</f>
        <v>98604.219999999987</v>
      </c>
      <c r="F27" s="1254">
        <f>IF(SUM(F19:F26)=E8,SUM(F19:F26),"地上面积有误")</f>
        <v>74096.129999999976</v>
      </c>
      <c r="G27" s="1256">
        <f>SUM(G19:G26)</f>
        <v>24508.089999999997</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5676.41</v>
      </c>
      <c r="S27" s="1137">
        <f>IF(SUM(S19:S26)=$E$3,SUM(S19:S26),SUM(S19:S26)&amp;"误差"&amp;ROUND(SUM(S19:S26)-E3,2))</f>
        <v>98604.219999999987</v>
      </c>
    </row>
    <row r="28" spans="1:19">
      <c r="A28" s="1805"/>
      <c r="B28" s="50" t="s">
        <v>1596</v>
      </c>
      <c r="C28" s="1149" t="s">
        <v>1597</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5"/>
      <c r="B29" s="50" t="s">
        <v>1596</v>
      </c>
      <c r="C29" s="1809" t="s">
        <v>1598</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c r="A30" s="1805"/>
      <c r="B30" s="50"/>
      <c r="C30" s="1810" t="s">
        <v>1595</v>
      </c>
      <c r="D30" s="1254">
        <f>SUM(D28:D29)</f>
        <v>0</v>
      </c>
      <c r="E30" s="1254">
        <f>SUM(E28:E29)</f>
        <v>0</v>
      </c>
      <c r="F30" s="1254">
        <f>SUM(F28:F29)</f>
        <v>0</v>
      </c>
      <c r="G30" s="1256">
        <f>SUM(G28:G29)</f>
        <v>0</v>
      </c>
      <c r="H30" s="2832"/>
      <c r="I30" s="2832"/>
      <c r="J30" s="2832"/>
      <c r="K30" s="2832"/>
      <c r="L30" s="2832"/>
      <c r="M30" s="2832"/>
      <c r="N30" s="2832"/>
      <c r="O30" s="2832"/>
      <c r="P30" s="2832"/>
    </row>
    <row r="31" spans="1:19" ht="14.5" thickBot="1">
      <c r="A31" s="1811"/>
      <c r="B31" s="1812"/>
      <c r="C31" s="924" t="s">
        <v>1599</v>
      </c>
      <c r="D31" s="685">
        <f>D27+D30</f>
        <v>5676.41</v>
      </c>
      <c r="E31" s="685">
        <f>E27+E30</f>
        <v>98604.219999999987</v>
      </c>
      <c r="F31" s="686">
        <f>F27+F30</f>
        <v>74096.129999999976</v>
      </c>
      <c r="G31" s="687">
        <f>G27+G30</f>
        <v>24508.089999999997</v>
      </c>
      <c r="H31" s="2832"/>
      <c r="I31" s="2832"/>
      <c r="J31" s="2832"/>
      <c r="K31" s="2832"/>
      <c r="L31" s="2832"/>
      <c r="M31" s="2832"/>
      <c r="N31" s="2832"/>
      <c r="O31" s="2832"/>
      <c r="P31" s="2832"/>
    </row>
    <row r="32" spans="1:19">
      <c r="A32" s="1778"/>
      <c r="B32" s="1778" t="s">
        <v>1600</v>
      </c>
      <c r="C32" s="1778"/>
      <c r="D32" s="1778"/>
      <c r="E32" s="1164">
        <f>SUMIF(C19:C26,"*住宅*",E19:E26)</f>
        <v>0</v>
      </c>
      <c r="F32" s="1778"/>
      <c r="G32" s="1778"/>
      <c r="H32" s="2832"/>
      <c r="I32" s="2832"/>
      <c r="J32" s="2832"/>
      <c r="K32" s="2832"/>
      <c r="L32" s="2832"/>
      <c r="M32" s="2832"/>
      <c r="N32" s="2832"/>
      <c r="O32" s="2832"/>
      <c r="P32" s="2832"/>
    </row>
    <row r="33" spans="4:8">
      <c r="D33" s="1813"/>
    </row>
    <row r="36" spans="4:8">
      <c r="F36" s="1773">
        <f ca="1">'结果表(办公)'!G20</f>
        <v>62925</v>
      </c>
      <c r="G36" s="1773">
        <f ca="1">G37*10000/G31</f>
        <v>15244.762035719636</v>
      </c>
    </row>
    <row r="37" spans="4:8">
      <c r="F37" s="1773">
        <f ca="1">'结果表(办公)'!G19</f>
        <v>463686</v>
      </c>
      <c r="G37" s="1773">
        <f ca="1">系统读取表!B5-'数据-汇总表'!F37</f>
        <v>37362</v>
      </c>
    </row>
    <row r="40" spans="4:8">
      <c r="F40" s="1773">
        <v>30000</v>
      </c>
      <c r="G40" s="1773">
        <v>25000</v>
      </c>
      <c r="H40" s="1773">
        <f ca="1">H41*10000/G21</f>
        <v>11508.92687977676</v>
      </c>
    </row>
    <row r="41" spans="4:8">
      <c r="F41" s="1773">
        <f>F40*G20/10000</f>
        <v>9074.2199999999993</v>
      </c>
      <c r="G41" s="1773">
        <f>G40*G22/10000</f>
        <v>6602.0500000000011</v>
      </c>
      <c r="H41" s="1773">
        <f ca="1">G37-F41-G41</f>
        <v>21685.729999999996</v>
      </c>
    </row>
    <row r="42" spans="4:8">
      <c r="H42" s="1773">
        <f ca="1">H41/'数据-取费表'!AH8</f>
        <v>58.452102425875999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90625" defaultRowHeight="12.5"/>
  <cols>
    <col min="1" max="1" width="20.90625" style="1880" customWidth="1"/>
    <col min="2" max="2" width="12" style="1817" customWidth="1"/>
    <col min="3" max="3" width="12.90625" style="1817" customWidth="1"/>
    <col min="4" max="4" width="9.08984375" style="1881" customWidth="1"/>
    <col min="5" max="5" width="15" style="1817" bestFit="1" customWidth="1"/>
    <col min="6" max="10" width="8.90625" style="1817" customWidth="1"/>
    <col min="11" max="12" width="12.36328125" style="1736" customWidth="1"/>
    <col min="13" max="13" width="8.6328125" style="1817" customWidth="1"/>
    <col min="14" max="14" width="11.90625" style="1817" customWidth="1"/>
    <col min="15" max="15" width="8.453125" style="1817" customWidth="1"/>
    <col min="16" max="17" width="10.90625" style="1817" customWidth="1"/>
    <col min="18" max="19" width="12.453125" style="1817" customWidth="1"/>
    <col min="20" max="20" width="12.08984375" style="1817" customWidth="1"/>
    <col min="21" max="21" width="7.453125" style="1817" customWidth="1"/>
    <col min="22" max="22" width="6.36328125" style="1817" customWidth="1"/>
    <col min="23" max="30" width="6.90625" style="1817" customWidth="1"/>
    <col min="31" max="31" width="8" style="1817" customWidth="1"/>
    <col min="32" max="34" width="7.08984375" style="1817" customWidth="1"/>
    <col min="35" max="39" width="8" style="1817" customWidth="1"/>
    <col min="40" max="40" width="13.90625" style="1816"/>
    <col min="41" max="41" width="11.6328125" style="1816" customWidth="1"/>
    <col min="42" max="42" width="9.90625" style="1816" customWidth="1"/>
    <col min="43" max="67" width="13.90625" style="1816"/>
    <col min="68" max="16384" width="13.90625" style="1817"/>
  </cols>
  <sheetData>
    <row r="1" spans="1:67" ht="18" thickBot="1">
      <c r="A1" s="1814" t="s">
        <v>1601</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5"/>
      <c r="AO1" s="2845"/>
      <c r="AP1" s="2845"/>
      <c r="AQ1" s="2845"/>
      <c r="AR1" s="2845"/>
    </row>
    <row r="2" spans="1:67" s="1694" customFormat="1" ht="15" thickBot="1">
      <c r="A2" s="1818" t="s">
        <v>1602</v>
      </c>
      <c r="B2" s="1156">
        <f>项目基本情况!D3</f>
        <v>44691</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7"/>
      <c r="AO2" s="2847"/>
      <c r="AP2" s="2847"/>
      <c r="AQ2" s="2847"/>
      <c r="AR2" s="2847"/>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4.5" thickBot="1">
      <c r="A3" s="1692"/>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7"/>
      <c r="AO3" s="2847"/>
      <c r="AP3" s="2847"/>
      <c r="AQ3" s="2847"/>
      <c r="AR3" s="2847"/>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4.5" thickBot="1">
      <c r="A4" s="64" t="s">
        <v>1603</v>
      </c>
      <c r="B4" s="1823"/>
      <c r="C4" s="1824"/>
      <c r="D4" s="1825"/>
      <c r="E4" s="1824" t="s">
        <v>1604</v>
      </c>
      <c r="F4" s="1824"/>
      <c r="G4" s="1824"/>
      <c r="H4" s="1824"/>
      <c r="I4" s="1824"/>
      <c r="J4" s="1826"/>
      <c r="K4" s="1827"/>
      <c r="L4" s="1828"/>
      <c r="M4" s="1824"/>
      <c r="N4" s="1824" t="s">
        <v>1605</v>
      </c>
      <c r="O4" s="1824"/>
      <c r="P4" s="1824"/>
      <c r="Q4" s="1824"/>
      <c r="R4" s="1824"/>
      <c r="S4" s="1826"/>
      <c r="T4" s="2831" t="str">
        <f>'数据-汇总表'!I17</f>
        <v>按面积比例</v>
      </c>
      <c r="U4" s="1823" t="s">
        <v>1606</v>
      </c>
      <c r="V4" s="1824"/>
      <c r="W4" s="1824"/>
      <c r="X4" s="1824"/>
      <c r="Y4" s="1826"/>
      <c r="Z4" s="1787" t="s">
        <v>1607</v>
      </c>
      <c r="AA4" s="1787"/>
      <c r="AB4" s="1787"/>
      <c r="AC4" s="1787"/>
      <c r="AD4" s="1787"/>
      <c r="AE4" s="1785" t="s">
        <v>1608</v>
      </c>
      <c r="AF4" s="1787"/>
      <c r="AG4" s="1829"/>
      <c r="AH4" s="1823"/>
      <c r="AI4" s="1824"/>
      <c r="AJ4" s="1824"/>
      <c r="AK4" s="1824"/>
      <c r="AL4" s="1824"/>
      <c r="AM4" s="1826"/>
      <c r="AN4" s="2847"/>
      <c r="AO4" s="2847"/>
      <c r="AP4" s="2847"/>
      <c r="AQ4" s="2847"/>
      <c r="AR4" s="2847"/>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56.5">
      <c r="A5" s="1830" t="s">
        <v>1609</v>
      </c>
      <c r="B5" s="1831" t="s">
        <v>1610</v>
      </c>
      <c r="C5" s="1832" t="s">
        <v>1611</v>
      </c>
      <c r="D5" s="1833" t="s">
        <v>1612</v>
      </c>
      <c r="E5" s="1158" t="s">
        <v>1613</v>
      </c>
      <c r="F5" s="1834" t="s">
        <v>1614</v>
      </c>
      <c r="G5" s="1158" t="s">
        <v>1615</v>
      </c>
      <c r="H5" s="1158" t="s">
        <v>1616</v>
      </c>
      <c r="I5" s="1158" t="s">
        <v>1617</v>
      </c>
      <c r="J5" s="1835" t="s">
        <v>1618</v>
      </c>
      <c r="K5" s="1836" t="s">
        <v>1619</v>
      </c>
      <c r="L5" s="1837" t="s">
        <v>1620</v>
      </c>
      <c r="M5" s="1838" t="s">
        <v>1621</v>
      </c>
      <c r="N5" s="1839" t="s">
        <v>3725</v>
      </c>
      <c r="O5" s="1837" t="s">
        <v>1622</v>
      </c>
      <c r="P5" s="1840" t="s">
        <v>1623</v>
      </c>
      <c r="Q5" s="65" t="s">
        <v>1624</v>
      </c>
      <c r="R5" s="1841" t="s">
        <v>1625</v>
      </c>
      <c r="S5" s="1842" t="s">
        <v>1626</v>
      </c>
      <c r="T5" s="1843" t="s">
        <v>1627</v>
      </c>
      <c r="U5" s="1157" t="s">
        <v>1628</v>
      </c>
      <c r="V5" s="1158" t="s">
        <v>1629</v>
      </c>
      <c r="W5" s="1158" t="s">
        <v>1630</v>
      </c>
      <c r="X5" s="67"/>
      <c r="Y5" s="66" t="s">
        <v>1631</v>
      </c>
      <c r="Z5" s="1844" t="s">
        <v>1628</v>
      </c>
      <c r="AA5" s="1158" t="s">
        <v>1629</v>
      </c>
      <c r="AB5" s="1158" t="s">
        <v>1630</v>
      </c>
      <c r="AC5" s="67"/>
      <c r="AD5" s="67" t="s">
        <v>1631</v>
      </c>
      <c r="AE5" s="1157" t="s">
        <v>1632</v>
      </c>
      <c r="AF5" s="1158" t="s">
        <v>1633</v>
      </c>
      <c r="AG5" s="66" t="s">
        <v>1634</v>
      </c>
      <c r="AH5" s="1157" t="s">
        <v>1635</v>
      </c>
      <c r="AI5" s="1844" t="s">
        <v>1636</v>
      </c>
      <c r="AJ5" s="1844" t="s">
        <v>1637</v>
      </c>
      <c r="AK5" s="1158" t="s">
        <v>1638</v>
      </c>
      <c r="AL5" s="1158" t="s">
        <v>1639</v>
      </c>
      <c r="AM5" s="66" t="s">
        <v>1640</v>
      </c>
      <c r="AN5" s="1845" t="s">
        <v>1641</v>
      </c>
      <c r="AO5" s="1697" t="s">
        <v>1642</v>
      </c>
      <c r="AP5" s="1139" t="s">
        <v>1643</v>
      </c>
      <c r="AQ5" s="1846" t="s">
        <v>1644</v>
      </c>
      <c r="AR5" s="1846" t="s">
        <v>1645</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c r="A6" s="1847" t="str">
        <f>'数据-汇总表'!C19</f>
        <v>办公</v>
      </c>
      <c r="B6" s="1848" t="str">
        <f>IF(A6=0,"","经营性")</f>
        <v>经营性</v>
      </c>
      <c r="C6" s="1849" t="s">
        <v>27</v>
      </c>
      <c r="D6" s="947">
        <f>SUMIF(项目基本情况!D$12:I$12,C6,项目基本情况!D$14:I$14)</f>
        <v>50</v>
      </c>
      <c r="E6" s="946">
        <f>IF(B6="","",SUMIF(项目基本情况!D$12:I$12,C6,项目基本情况!D$13:I$13))</f>
        <v>56491</v>
      </c>
      <c r="F6" s="68">
        <f>SUMIF(项目基本情况!D$12:I$12,C6,项目基本情况!D$15:I$15)</f>
        <v>32.32</v>
      </c>
      <c r="G6" s="69">
        <f>IF(ISERROR(ROUND(POWER(1+H6,D6-F6)*(POWER(1+H6,F6)-1)/(POWER(1+H6,D6)-1),3)),0,ROUND(POWER(1+H6,D6-F6)*(POWER(1+H6,F6)-1)/(POWER(1+H6,D6)-1),3))</f>
        <v>0.88400000000000001</v>
      </c>
      <c r="H6" s="3279">
        <f>[4]基准地价修正!$G$24</f>
        <v>5.5E-2</v>
      </c>
      <c r="I6" s="3279">
        <v>5.7000000000000002E-2</v>
      </c>
      <c r="J6" s="70">
        <v>7.0000000000000007E-2</v>
      </c>
      <c r="K6" s="1141">
        <f>SUMIF('数据-汇总表'!C$19:C$33,A6,'数据-汇总表'!E$19:E$33)</f>
        <v>73689.229999999981</v>
      </c>
      <c r="L6" s="742">
        <v>5500</v>
      </c>
      <c r="M6" s="71">
        <f t="shared" ref="M6:M14" si="0">ROUND(K6*L6/10000,0)</f>
        <v>40529</v>
      </c>
      <c r="N6" s="740">
        <f>ROUND(1-(2022-2021)/60,2)</f>
        <v>0.98</v>
      </c>
      <c r="O6" s="71" t="str">
        <f>IF($N$5="成新度","——",ROUND(M6*N6,0))</f>
        <v>——</v>
      </c>
      <c r="P6" s="72" t="str">
        <f>IF($N$5="成新度","——",M6-O6)</f>
        <v>——</v>
      </c>
      <c r="Q6" s="3278">
        <v>0.25</v>
      </c>
      <c r="R6" s="73">
        <f ca="1">SUMIF('数据-汇总表'!C$19:C$33,A6,'数据-汇总表'!R$19:R$27)</f>
        <v>4242.1099999999997</v>
      </c>
      <c r="S6" s="54">
        <f>IF('数据-汇总表'!$I$17="按面积比例",SUMIF('数据-汇总表'!C$19:C$33,A6,'数据-汇总表'!K$19:K$33),SUMIF('数据-汇总表'!C$19:C$33,A6,'数据-汇总表'!N$19:N$33))</f>
        <v>0</v>
      </c>
      <c r="T6" s="1286">
        <f>ROUND($L$14*S6/10000,0)</f>
        <v>0</v>
      </c>
      <c r="U6" s="74">
        <v>11</v>
      </c>
      <c r="V6" s="3276">
        <v>0.03</v>
      </c>
      <c r="W6" s="3276">
        <v>0.05</v>
      </c>
      <c r="X6" s="1151"/>
      <c r="Y6" s="76">
        <f>N6</f>
        <v>0.98</v>
      </c>
      <c r="Z6" s="77"/>
      <c r="AA6" s="70"/>
      <c r="AB6" s="70"/>
      <c r="AC6" s="1151"/>
      <c r="AD6" s="78"/>
      <c r="AE6" s="1152">
        <f ca="1">IF(AN6="",0,SUMIF(INDIRECT("'"&amp;AN6&amp;"'"&amp;"!E:E"),$AE$5,INDIRECT("'"&amp;AN6&amp;"'"&amp;"!F:F")))</f>
        <v>32.32</v>
      </c>
      <c r="AF6" s="1482"/>
      <c r="AG6" s="143">
        <f>IF(AF6="",0,AE6-AF6)</f>
        <v>0</v>
      </c>
      <c r="AH6" s="79"/>
      <c r="AI6" s="81">
        <v>365</v>
      </c>
      <c r="AJ6" s="82"/>
      <c r="AK6" s="83">
        <v>0.01</v>
      </c>
      <c r="AL6" s="84">
        <v>1E-3</v>
      </c>
      <c r="AM6" s="85">
        <v>2.5000000000000001E-2</v>
      </c>
      <c r="AN6" s="1850" t="s">
        <v>3726</v>
      </c>
      <c r="AO6" s="55">
        <f ca="1">SUMIF(INDIRECT("'"&amp;AN6&amp;"'"&amp;"!A:A"),"总价",INDIRECT("'"&amp;AN6&amp;"'"&amp;"!B:B"))</f>
        <v>464464</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
      <c r="A7" s="1847" t="str">
        <f>'数据-汇总表'!C20</f>
        <v>商业</v>
      </c>
      <c r="B7" s="1848" t="str">
        <f t="shared" ref="B7:B13" si="1">IF(A7=0,"","经营性")</f>
        <v>经营性</v>
      </c>
      <c r="C7" s="1849" t="s">
        <v>1098</v>
      </c>
      <c r="D7" s="947">
        <f>SUMIF(项目基本情况!D$12:I$12,C7,项目基本情况!D$14:I$14)</f>
        <v>40</v>
      </c>
      <c r="E7" s="946">
        <f>IF(B7="","",SUMIF(项目基本情况!D$12:I$12,C7,项目基本情况!D$13:I$13))</f>
        <v>52839</v>
      </c>
      <c r="F7" s="68">
        <f>SUMIF(项目基本情况!D$12:I$12,C7,项目基本情况!D$15:I$15)</f>
        <v>22.32</v>
      </c>
      <c r="G7" s="69">
        <f t="shared" ref="G7:G11" si="2">IF(ISERROR(ROUND(POWER(1+H7,D7-F7)*(POWER(1+H7,F7)-1)/(POWER(1+H7,D7)-1),3)),0,ROUND(POWER(1+H7,D7-F7)*(POWER(1+H7,F7)-1)/(POWER(1+H7,D7)-1),3))</f>
        <v>0.79</v>
      </c>
      <c r="H7" s="3279">
        <f>'[4]基准地价修正(商业)'!$G$24</f>
        <v>5.5E-2</v>
      </c>
      <c r="I7" s="3279">
        <v>5.7000000000000002E-2</v>
      </c>
      <c r="J7" s="70">
        <f>J6</f>
        <v>7.0000000000000007E-2</v>
      </c>
      <c r="K7" s="1141">
        <f>SUMIF('数据-汇总表'!C$19:C$33,A7,'数据-汇总表'!E$19:E$33)</f>
        <v>3431.64</v>
      </c>
      <c r="L7" s="742">
        <f>L6</f>
        <v>5500</v>
      </c>
      <c r="M7" s="71">
        <f t="shared" si="0"/>
        <v>1887</v>
      </c>
      <c r="N7" s="740">
        <f>N6</f>
        <v>0.98</v>
      </c>
      <c r="O7" s="71" t="str">
        <f t="shared" ref="O7:O14" si="3">IF($N$5="成新度","——",ROUND(M7*N7,0))</f>
        <v>——</v>
      </c>
      <c r="P7" s="72" t="str">
        <f t="shared" ref="P7:P14" si="4">IF($N$5="成新度","——",M7-O7)</f>
        <v>——</v>
      </c>
      <c r="Q7" s="743">
        <v>0.25</v>
      </c>
      <c r="R7" s="73">
        <f ca="1">SUMIF('数据-汇总表'!C$19:C$33,A7,'数据-汇总表'!R$19:R$27)</f>
        <v>197.55</v>
      </c>
      <c r="S7" s="54">
        <f>IF('数据-汇总表'!$I$17="按面积比例",SUMIF('数据-汇总表'!C$19:C$33,A7,'数据-汇总表'!K$19:K$33),SUMIF('数据-汇总表'!C$19:C$33,A7,'数据-汇总表'!N$19:N$33))</f>
        <v>0</v>
      </c>
      <c r="T7" s="1286">
        <f t="shared" ref="T7:T13" si="5">ROUND($L$14*S7/10000,0)</f>
        <v>0</v>
      </c>
      <c r="U7" s="74">
        <v>6.5</v>
      </c>
      <c r="V7" s="3276">
        <f>V6</f>
        <v>0.03</v>
      </c>
      <c r="W7" s="3276">
        <f>W6</f>
        <v>0.05</v>
      </c>
      <c r="X7" s="1151"/>
      <c r="Y7" s="76">
        <f>N7</f>
        <v>0.98</v>
      </c>
      <c r="Z7" s="77"/>
      <c r="AA7" s="70"/>
      <c r="AB7" s="70"/>
      <c r="AC7" s="1151"/>
      <c r="AD7" s="78"/>
      <c r="AE7" s="1152">
        <f t="shared" ref="AE7:AE13" ca="1" si="6">IF(AN7="",0,SUMIF(INDIRECT("'"&amp;AN7&amp;"'"&amp;"!E:E"),$AE$5,INDIRECT("'"&amp;AN7&amp;"'"&amp;"!F:F")))</f>
        <v>22.32</v>
      </c>
      <c r="AF7" s="1482"/>
      <c r="AG7" s="143">
        <f t="shared" ref="AG7:AG13" si="7">IF(AF7="",0,AE7-AF7)</f>
        <v>0</v>
      </c>
      <c r="AH7" s="79"/>
      <c r="AI7" s="81">
        <v>365</v>
      </c>
      <c r="AJ7" s="82"/>
      <c r="AK7" s="83">
        <v>0.01</v>
      </c>
      <c r="AL7" s="84">
        <v>1E-3</v>
      </c>
      <c r="AM7" s="85">
        <v>2.5000000000000001E-2</v>
      </c>
      <c r="AN7" s="1850" t="s">
        <v>3732</v>
      </c>
      <c r="AO7" s="55">
        <f t="shared" ref="AO7:AO13" ca="1" si="8">SUMIF(INDIRECT("'"&amp;AN7&amp;"'"&amp;"!A:A"),"总价",INDIRECT("'"&amp;AN7&amp;"'"&amp;"!B:B"))</f>
        <v>9956</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
      <c r="A8" s="1847" t="str">
        <f>'数据-汇总表'!C21</f>
        <v>地下车库</v>
      </c>
      <c r="B8" s="1848" t="str">
        <f t="shared" si="1"/>
        <v>经营性</v>
      </c>
      <c r="C8" s="1849" t="s">
        <v>3717</v>
      </c>
      <c r="D8" s="947">
        <f>SUMIF(项目基本情况!D$12:I$12,C8,项目基本情况!D$14:I$14)</f>
        <v>50</v>
      </c>
      <c r="E8" s="946">
        <f>IF(B8="","",SUMIF(项目基本情况!D$12:I$12,C8,项目基本情况!D$13:I$13))</f>
        <v>56491</v>
      </c>
      <c r="F8" s="68">
        <f>SUMIF(项目基本情况!D$12:I$12,C8,项目基本情况!D$15:I$15)</f>
        <v>32.32</v>
      </c>
      <c r="G8" s="69">
        <f t="shared" si="2"/>
        <v>0.86899999999999999</v>
      </c>
      <c r="H8" s="741">
        <v>0.05</v>
      </c>
      <c r="I8" s="741">
        <v>5.5E-2</v>
      </c>
      <c r="J8" s="70">
        <f>J6</f>
        <v>7.0000000000000007E-2</v>
      </c>
      <c r="K8" s="1141">
        <f>SUMIF('数据-汇总表'!C$19:C$33,A8,'数据-汇总表'!E$19:E$33)</f>
        <v>18842.53</v>
      </c>
      <c r="L8" s="742">
        <v>4500</v>
      </c>
      <c r="M8" s="71">
        <f>ROUND(K8*L8/10000,0)</f>
        <v>8479</v>
      </c>
      <c r="N8" s="740">
        <f>N6</f>
        <v>0.98</v>
      </c>
      <c r="O8" s="71" t="str">
        <f t="shared" si="3"/>
        <v>——</v>
      </c>
      <c r="P8" s="72" t="str">
        <f t="shared" si="4"/>
        <v>——</v>
      </c>
      <c r="Q8" s="743">
        <v>0.1</v>
      </c>
      <c r="R8" s="73">
        <f ca="1">SUMIF('数据-汇总表'!C$19:C$33,A8,'数据-汇总表'!R$19:R$27)</f>
        <v>1084.72</v>
      </c>
      <c r="S8" s="54">
        <f>IF('数据-汇总表'!$I$17="按面积比例",SUMIF('数据-汇总表'!C$19:C$33,A8,'数据-汇总表'!K$19:K$33),SUMIF('数据-汇总表'!C$19:C$33,A8,'数据-汇总表'!N$19:N$33))</f>
        <v>0</v>
      </c>
      <c r="T8" s="1286">
        <f t="shared" si="5"/>
        <v>0</v>
      </c>
      <c r="U8" s="744">
        <v>1700</v>
      </c>
      <c r="V8" s="3277">
        <v>0.03</v>
      </c>
      <c r="W8" s="3277">
        <v>0.05</v>
      </c>
      <c r="X8" s="1151"/>
      <c r="Y8" s="745">
        <f>N8</f>
        <v>0.98</v>
      </c>
      <c r="Z8" s="77"/>
      <c r="AA8" s="70"/>
      <c r="AB8" s="70"/>
      <c r="AC8" s="1151"/>
      <c r="AD8" s="78"/>
      <c r="AE8" s="1152">
        <f t="shared" ca="1" si="6"/>
        <v>32.32</v>
      </c>
      <c r="AF8" s="1482"/>
      <c r="AG8" s="143">
        <f t="shared" si="7"/>
        <v>0</v>
      </c>
      <c r="AH8" s="746">
        <f>分层面积!D25+分层面积!D26+分层面积!D27</f>
        <v>371</v>
      </c>
      <c r="AI8" s="81">
        <v>12</v>
      </c>
      <c r="AJ8" s="82"/>
      <c r="AK8" s="747">
        <v>5.0000000000000001E-3</v>
      </c>
      <c r="AL8" s="748">
        <v>1E-3</v>
      </c>
      <c r="AM8" s="749">
        <v>1.4999999999999999E-2</v>
      </c>
      <c r="AN8" s="1850" t="s">
        <v>3735</v>
      </c>
      <c r="AO8" s="55">
        <f t="shared" ca="1" si="8"/>
        <v>11556</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
      <c r="A9" s="1847" t="str">
        <f>'数据-汇总表'!C22</f>
        <v>仓储</v>
      </c>
      <c r="B9" s="1848" t="str">
        <f t="shared" si="1"/>
        <v>经营性</v>
      </c>
      <c r="C9" s="1849" t="s">
        <v>3718</v>
      </c>
      <c r="D9" s="947">
        <f>SUMIF(项目基本情况!D$12:I$12,C9,项目基本情况!D$14:I$14)</f>
        <v>50</v>
      </c>
      <c r="E9" s="946">
        <f>IF(B9="","",SUMIF(项目基本情况!D$12:I$12,C9,项目基本情况!D$13:I$13))</f>
        <v>56491</v>
      </c>
      <c r="F9" s="68">
        <f>SUMIF(项目基本情况!D$12:I$12,C9,项目基本情况!D$15:I$15)</f>
        <v>32.32</v>
      </c>
      <c r="G9" s="69">
        <f t="shared" si="2"/>
        <v>0.86899999999999999</v>
      </c>
      <c r="H9" s="70">
        <v>0.05</v>
      </c>
      <c r="I9" s="70">
        <v>5.5E-2</v>
      </c>
      <c r="J9" s="70">
        <f>J6</f>
        <v>7.0000000000000007E-2</v>
      </c>
      <c r="K9" s="1141">
        <f>SUMIF('数据-汇总表'!C$19:C$33,A9,'数据-汇总表'!E$19:E$33)</f>
        <v>2640.82</v>
      </c>
      <c r="L9" s="742">
        <v>4500</v>
      </c>
      <c r="M9" s="71">
        <f t="shared" si="0"/>
        <v>1188</v>
      </c>
      <c r="N9" s="740">
        <f>N6</f>
        <v>0.98</v>
      </c>
      <c r="O9" s="71" t="str">
        <f t="shared" si="3"/>
        <v>——</v>
      </c>
      <c r="P9" s="72" t="str">
        <f t="shared" si="4"/>
        <v>——</v>
      </c>
      <c r="Q9" s="86">
        <v>0.15</v>
      </c>
      <c r="R9" s="73">
        <f ca="1">SUMIF('数据-汇总表'!C$19:C$33,A9,'数据-汇总表'!R$19:R$27)</f>
        <v>152.03</v>
      </c>
      <c r="S9" s="54">
        <f>IF('数据-汇总表'!$I$17="按面积比例",SUMIF('数据-汇总表'!C$19:C$33,A9,'数据-汇总表'!K$19:K$33),SUMIF('数据-汇总表'!C$19:C$33,A9,'数据-汇总表'!N$19:N$33))</f>
        <v>0</v>
      </c>
      <c r="T9" s="1286">
        <f t="shared" si="5"/>
        <v>0</v>
      </c>
      <c r="U9" s="74">
        <v>5</v>
      </c>
      <c r="V9" s="75">
        <v>0.03</v>
      </c>
      <c r="W9" s="75">
        <v>0.05</v>
      </c>
      <c r="X9" s="1151"/>
      <c r="Y9" s="76">
        <f>N9</f>
        <v>0.98</v>
      </c>
      <c r="Z9" s="77"/>
      <c r="AA9" s="70"/>
      <c r="AB9" s="70"/>
      <c r="AC9" s="1151"/>
      <c r="AD9" s="78"/>
      <c r="AE9" s="1152">
        <f t="shared" ca="1" si="6"/>
        <v>32.32</v>
      </c>
      <c r="AF9" s="1482"/>
      <c r="AG9" s="143">
        <f t="shared" si="7"/>
        <v>0</v>
      </c>
      <c r="AH9" s="79"/>
      <c r="AI9" s="81">
        <v>365</v>
      </c>
      <c r="AJ9" s="82"/>
      <c r="AK9" s="83">
        <v>5.0000000000000001E-3</v>
      </c>
      <c r="AL9" s="84">
        <v>1E-3</v>
      </c>
      <c r="AM9" s="85">
        <f>AM8</f>
        <v>1.4999999999999999E-2</v>
      </c>
      <c r="AN9" s="1850" t="s">
        <v>3737</v>
      </c>
      <c r="AO9" s="55">
        <f t="shared" ca="1" si="8"/>
        <v>7946</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
      <c r="A14" s="1852" t="s">
        <v>1646</v>
      </c>
      <c r="B14" s="1848" t="s">
        <v>1647</v>
      </c>
      <c r="C14" s="1853" t="s">
        <v>1646</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5"/>
      <c r="AO14" s="2847"/>
      <c r="AP14" s="2847"/>
      <c r="AQ14" s="2847"/>
      <c r="AR14" s="2847"/>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8">
      <c r="A15" s="1852" t="s">
        <v>1648</v>
      </c>
      <c r="B15" s="1848" t="s">
        <v>1647</v>
      </c>
      <c r="C15" s="1853" t="s">
        <v>1649</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5"/>
      <c r="AO15" s="2847"/>
      <c r="AP15" s="2847"/>
      <c r="AQ15" s="2847"/>
      <c r="AR15" s="2847"/>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4.5" thickBot="1">
      <c r="A16" s="1854" t="s">
        <v>1650</v>
      </c>
      <c r="B16" s="93"/>
      <c r="C16" s="922"/>
      <c r="D16" s="1855"/>
      <c r="E16" s="93"/>
      <c r="F16" s="93"/>
      <c r="G16" s="94">
        <f>ROUND(SUMPRODUCT(G6:G13,K6:K13)/SUMPRODUCT((G6:G13&gt;0)*(K6:K13)),3)</f>
        <v>0.877</v>
      </c>
      <c r="H16" s="95">
        <f>ROUND(SUMPRODUCT(H6:H13,K6:K13)/SUMPRODUCT((H6:H13&gt;0)*(K6:K13)),3)</f>
        <v>5.3999999999999999E-2</v>
      </c>
      <c r="I16" s="96"/>
      <c r="J16" s="96"/>
      <c r="K16" s="97">
        <f>SUM(K6:K15)</f>
        <v>98604.219999999987</v>
      </c>
      <c r="L16" s="98">
        <f>ROUND(M16*10000/SUM(K6:K14),0)</f>
        <v>5282</v>
      </c>
      <c r="M16" s="98">
        <f>SUM(M6:M14)</f>
        <v>52083</v>
      </c>
      <c r="N16" s="99">
        <f>ROUND(SUMPRODUCT(M6:M14,N6:N14)/M16,3)</f>
        <v>0.98</v>
      </c>
      <c r="O16" s="98">
        <f>SUM(O6:O14)</f>
        <v>0</v>
      </c>
      <c r="P16" s="98">
        <f>SUM(P6:P14)</f>
        <v>0</v>
      </c>
      <c r="Q16" s="100">
        <f>ROUND(SUMPRODUCT(Q6:Q13,K6:K13)/SUMPRODUCT((Q6:Q13&gt;0)*(K6:K13)),2)</f>
        <v>0.22</v>
      </c>
      <c r="R16" s="1145">
        <f ca="1">SUM(R6:R13)</f>
        <v>5676.41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4.5" thickBot="1">
      <c r="A17" s="1856"/>
      <c r="B17" s="2856"/>
      <c r="C17" s="2845"/>
      <c r="D17" s="2849"/>
      <c r="E17" s="2849"/>
      <c r="F17" s="2845"/>
      <c r="G17" s="2845"/>
      <c r="H17" s="2845"/>
      <c r="I17" s="2845"/>
      <c r="J17" s="2845"/>
      <c r="K17" s="2846"/>
      <c r="L17" s="2846"/>
      <c r="M17" s="2845"/>
      <c r="N17" s="2845"/>
      <c r="O17" s="2845"/>
      <c r="P17" s="2845"/>
      <c r="Q17" s="3299">
        <f>ROUND(SUMPRODUCT(Q7:Q13,K7:K13)/SUMPRODUCT((Q7:Q13&gt;0)*(K7:K13)),2)</f>
        <v>0.13</v>
      </c>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4.5" thickBot="1">
      <c r="A18" s="64" t="s">
        <v>1651</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
      <c r="A19" s="1857" t="s">
        <v>1652</v>
      </c>
      <c r="B19" s="108">
        <v>0</v>
      </c>
      <c r="C19" s="2975" t="s">
        <v>2802</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
      <c r="A20" s="1858" t="s">
        <v>1653</v>
      </c>
      <c r="B20" s="109">
        <v>3</v>
      </c>
      <c r="C20" s="2976" t="s">
        <v>2800</v>
      </c>
      <c r="D20" s="2850"/>
      <c r="E20" s="2847"/>
      <c r="F20" s="2847"/>
      <c r="G20" s="2847"/>
      <c r="H20" s="2847"/>
      <c r="I20" s="2847"/>
      <c r="J20" s="2847"/>
      <c r="K20" s="2846"/>
      <c r="L20" s="2846"/>
      <c r="M20" s="2845"/>
      <c r="N20" s="2845"/>
      <c r="O20" s="2845"/>
      <c r="P20" s="2845"/>
      <c r="Q20" s="2845"/>
      <c r="R20" s="3274" t="s">
        <v>3731</v>
      </c>
      <c r="S20" s="2845"/>
      <c r="T20" s="3274"/>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
      <c r="A21" s="1859" t="s">
        <v>1654</v>
      </c>
      <c r="B21" s="109">
        <f>B20</f>
        <v>3</v>
      </c>
      <c r="C21" s="2847"/>
      <c r="D21" s="2850"/>
      <c r="E21" s="2847"/>
      <c r="F21" s="2847"/>
      <c r="G21" s="2847"/>
      <c r="H21" s="2847"/>
      <c r="I21" s="2847"/>
      <c r="J21" s="2847"/>
      <c r="K21" s="2846"/>
      <c r="L21" s="2846"/>
      <c r="M21" s="2845"/>
      <c r="N21" s="2845"/>
      <c r="O21" s="2845"/>
      <c r="P21" s="2845"/>
      <c r="Q21" s="2845"/>
      <c r="R21" s="2845">
        <v>-1</v>
      </c>
      <c r="S21" s="2845">
        <f>'数据-汇总表'!G20</f>
        <v>3024.74</v>
      </c>
      <c r="T21" s="2845">
        <v>5</v>
      </c>
      <c r="U21" s="2845">
        <f>T21*S21</f>
        <v>15123.699999999999</v>
      </c>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
      <c r="A22" s="1858" t="s">
        <v>1655</v>
      </c>
      <c r="B22" s="110">
        <f>B19+B20</f>
        <v>3</v>
      </c>
      <c r="C22" s="2847"/>
      <c r="D22" s="2850"/>
      <c r="E22" s="2847"/>
      <c r="F22" s="2847"/>
      <c r="G22" s="2847"/>
      <c r="H22" s="2847"/>
      <c r="I22" s="2847"/>
      <c r="J22" s="2847"/>
      <c r="K22" s="2846"/>
      <c r="L22" s="2846"/>
      <c r="M22" s="2845"/>
      <c r="N22" s="2845"/>
      <c r="O22" s="2845"/>
      <c r="P22" s="2845"/>
      <c r="Q22" s="2845"/>
      <c r="R22" s="2845">
        <v>1</v>
      </c>
      <c r="S22" s="2845">
        <f>'数据-汇总表'!F20</f>
        <v>406.9</v>
      </c>
      <c r="T22" s="2845">
        <v>15</v>
      </c>
      <c r="U22" s="2845">
        <f>T22*S22</f>
        <v>6103.5</v>
      </c>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
      <c r="A23" s="1859" t="s">
        <v>1656</v>
      </c>
      <c r="B23" s="110">
        <f>B19+B21</f>
        <v>3</v>
      </c>
      <c r="C23" s="2847"/>
      <c r="D23" s="2850"/>
      <c r="E23" s="2847"/>
      <c r="F23" s="2847"/>
      <c r="G23" s="2847"/>
      <c r="H23" s="2847"/>
      <c r="I23" s="2847"/>
      <c r="J23" s="2847"/>
      <c r="K23" s="2846"/>
      <c r="L23" s="2846"/>
      <c r="M23" s="2845"/>
      <c r="N23" s="2845"/>
      <c r="O23" s="2845"/>
      <c r="P23" s="2845"/>
      <c r="Q23" s="2845"/>
      <c r="R23" s="2845"/>
      <c r="S23" s="2845">
        <f>S21+S22</f>
        <v>3431.64</v>
      </c>
      <c r="T23" s="2845">
        <f>ROUND(U23/S23,1)</f>
        <v>6.2</v>
      </c>
      <c r="U23" s="2845">
        <f>U21+U22</f>
        <v>21227.199999999997</v>
      </c>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4.5" thickBot="1">
      <c r="A24" s="1860" t="s">
        <v>1657</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4.5" thickBot="1">
      <c r="A25" s="1692"/>
      <c r="B25" s="1822"/>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4.5" thickBot="1">
      <c r="A26" s="1818" t="s">
        <v>1658</v>
      </c>
      <c r="B26" s="1861" t="s">
        <v>1659</v>
      </c>
      <c r="C26" s="2851" t="s">
        <v>1660</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3" customFormat="1" ht="28.5">
      <c r="A27" s="1862" t="s">
        <v>1661</v>
      </c>
      <c r="B27" s="112">
        <v>160</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8.5">
      <c r="A28" s="1864" t="s">
        <v>1662</v>
      </c>
      <c r="B28" s="115">
        <v>200</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9" thickBot="1">
      <c r="A29" s="1865" t="s">
        <v>1663</v>
      </c>
      <c r="B29" s="117"/>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8">
      <c r="A30" s="1866" t="s">
        <v>1664</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8">
      <c r="A31" s="1864" t="s">
        <v>1665</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8.5" thickBot="1">
      <c r="A32" s="1867" t="s">
        <v>1666</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
      <c r="A33" s="1862" t="s">
        <v>1667</v>
      </c>
      <c r="B33" s="682">
        <v>0.05</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
      <c r="A34" s="1864" t="s">
        <v>1668</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
      <c r="A35" s="1864" t="s">
        <v>1669</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4.5" thickBot="1">
      <c r="A36" s="1865" t="s">
        <v>1670</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
      <c r="A37" s="1866" t="s">
        <v>1671</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
      <c r="A38" s="1864" t="s">
        <v>1672</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
      <c r="A39" s="1867" t="s">
        <v>1673</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8.5" thickBot="1">
      <c r="A40" s="2991" t="s">
        <v>3724</v>
      </c>
      <c r="B40" s="1190">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5">
      <c r="A41" s="1862" t="s">
        <v>1674</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
      <c r="A42" s="1868" t="s">
        <v>1675</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
      <c r="A43" s="1868" t="s">
        <v>1676</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
      <c r="A44" s="1869" t="s">
        <v>1677</v>
      </c>
      <c r="B44" s="124">
        <v>7.0000000000000007E-2</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
      <c r="A45" s="1869" t="s">
        <v>1678</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
      <c r="A46" s="1869" t="s">
        <v>1679</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4.5" thickBot="1">
      <c r="A47" s="1870" t="s">
        <v>1680</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
      <c r="A48" s="1871" t="s">
        <v>1681</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4.5" thickBot="1">
      <c r="A49" s="1867" t="s">
        <v>1682</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5">
      <c r="A50" s="1872" t="s">
        <v>1683</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5" t="s">
        <v>1684</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
      <c r="A52" s="1872" t="s">
        <v>1685</v>
      </c>
      <c r="B52" s="129">
        <f>SUMIF(A54:A63,B53,B54:B63)</f>
        <v>24</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8">
      <c r="A53" s="1864" t="s">
        <v>1686</v>
      </c>
      <c r="B53" s="1873" t="s">
        <v>268</v>
      </c>
      <c r="C53" s="2834" t="s">
        <v>1687</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
      <c r="A54" s="1874" t="s">
        <v>1688</v>
      </c>
      <c r="B54" s="80"/>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
      <c r="A55" s="1874" t="s">
        <v>1689</v>
      </c>
      <c r="B55" s="80">
        <f>C55</f>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
      <c r="A56" s="1874" t="s">
        <v>1690</v>
      </c>
      <c r="B56" s="80"/>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
      <c r="A57" s="1874" t="s">
        <v>1691</v>
      </c>
      <c r="B57" s="80"/>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
      <c r="A58" s="1874" t="s">
        <v>1692</v>
      </c>
      <c r="B58" s="80"/>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
      <c r="A59" s="1874" t="s">
        <v>1693</v>
      </c>
      <c r="B59" s="80"/>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
      <c r="A60" s="1874" t="s">
        <v>1694</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
      <c r="A61" s="1874" t="s">
        <v>1695</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
      <c r="A62" s="1874" t="s">
        <v>1696</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4.5" thickBot="1">
      <c r="A63" s="1875" t="s">
        <v>1697</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1"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1"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1"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1"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1"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1" customFormat="1">
      <c r="A69" s="1876"/>
      <c r="D69" s="1877"/>
      <c r="K69" s="737"/>
      <c r="L69" s="737"/>
    </row>
    <row r="70" spans="1:44" s="881" customFormat="1">
      <c r="A70" s="1876"/>
      <c r="D70" s="1877"/>
      <c r="K70" s="737"/>
      <c r="L70" s="737"/>
    </row>
    <row r="71" spans="1:44" s="881" customFormat="1">
      <c r="A71" s="1876"/>
      <c r="D71" s="1877"/>
      <c r="K71" s="737"/>
      <c r="L71" s="737"/>
    </row>
    <row r="72" spans="1:44" s="881" customFormat="1">
      <c r="A72" s="1876"/>
      <c r="D72" s="1877"/>
      <c r="K72" s="737"/>
      <c r="L72" s="737"/>
    </row>
    <row r="73" spans="1:44" s="881" customFormat="1">
      <c r="A73" s="1876"/>
      <c r="D73" s="1877"/>
      <c r="K73" s="737"/>
      <c r="L73" s="737"/>
    </row>
    <row r="74" spans="1:44" s="881" customFormat="1">
      <c r="A74" s="1876"/>
      <c r="D74" s="1877"/>
      <c r="K74" s="737"/>
      <c r="L74" s="737"/>
    </row>
    <row r="75" spans="1:44" s="881" customFormat="1">
      <c r="A75" s="1876"/>
      <c r="D75" s="1877"/>
      <c r="K75" s="737"/>
      <c r="L75" s="737"/>
    </row>
    <row r="76" spans="1:44" s="881" customFormat="1">
      <c r="A76" s="1876"/>
      <c r="D76" s="1877"/>
      <c r="K76" s="737"/>
      <c r="L76" s="737"/>
    </row>
    <row r="77" spans="1:44" s="881" customFormat="1">
      <c r="A77" s="1876"/>
      <c r="D77" s="1877"/>
      <c r="K77" s="737"/>
      <c r="L77" s="737"/>
    </row>
    <row r="78" spans="1:44" s="881" customFormat="1">
      <c r="A78" s="1876"/>
      <c r="D78" s="1877"/>
      <c r="K78" s="737"/>
      <c r="L78" s="737"/>
    </row>
    <row r="79" spans="1:44" s="881" customFormat="1">
      <c r="A79" s="1876"/>
      <c r="D79" s="1877"/>
      <c r="K79" s="737"/>
      <c r="L79" s="737"/>
    </row>
    <row r="80" spans="1:44" s="881" customFormat="1">
      <c r="A80" s="1876"/>
      <c r="D80" s="1877"/>
      <c r="K80" s="737"/>
      <c r="L80" s="737"/>
    </row>
    <row r="81" spans="1:12" s="881" customFormat="1">
      <c r="A81" s="1876"/>
      <c r="D81" s="1877"/>
      <c r="K81" s="737"/>
      <c r="L81" s="737"/>
    </row>
    <row r="82" spans="1:12" s="881" customFormat="1">
      <c r="A82" s="1876"/>
      <c r="D82" s="1877"/>
      <c r="K82" s="737"/>
      <c r="L82" s="737"/>
    </row>
    <row r="83" spans="1:12" s="881" customFormat="1">
      <c r="A83" s="1876"/>
      <c r="D83" s="1877"/>
      <c r="K83" s="737"/>
      <c r="L83" s="737"/>
    </row>
    <row r="84" spans="1:12" s="881" customFormat="1">
      <c r="A84" s="1876"/>
      <c r="D84" s="1877"/>
      <c r="K84" s="737"/>
      <c r="L84" s="737"/>
    </row>
    <row r="85" spans="1:12" s="881" customFormat="1">
      <c r="A85" s="1876"/>
      <c r="D85" s="1877"/>
      <c r="K85" s="737"/>
      <c r="L85" s="737"/>
    </row>
    <row r="86" spans="1:12" s="881" customFormat="1">
      <c r="A86" s="1876"/>
      <c r="D86" s="1877"/>
      <c r="K86" s="737"/>
      <c r="L86" s="737"/>
    </row>
    <row r="87" spans="1:12" s="881" customFormat="1">
      <c r="A87" s="1876"/>
      <c r="D87" s="1877"/>
      <c r="K87" s="737"/>
      <c r="L87" s="737"/>
    </row>
    <row r="88" spans="1:12" s="881" customFormat="1">
      <c r="A88" s="1876"/>
      <c r="D88" s="1877"/>
      <c r="K88" s="737"/>
      <c r="L88" s="737"/>
    </row>
    <row r="89" spans="1:12" s="881" customFormat="1">
      <c r="A89" s="1876"/>
      <c r="D89" s="1877"/>
      <c r="K89" s="737"/>
      <c r="L89" s="737"/>
    </row>
    <row r="90" spans="1:12" s="881" customFormat="1">
      <c r="A90" s="1876"/>
      <c r="D90" s="1877"/>
      <c r="K90" s="737"/>
      <c r="L90" s="737"/>
    </row>
    <row r="91" spans="1:12" s="881" customFormat="1">
      <c r="A91" s="1876"/>
      <c r="D91" s="1877"/>
      <c r="K91" s="737"/>
      <c r="L91" s="737"/>
    </row>
    <row r="92" spans="1:12" s="881" customFormat="1">
      <c r="A92" s="1876"/>
      <c r="D92" s="1877"/>
      <c r="K92" s="737"/>
      <c r="L92" s="737"/>
    </row>
    <row r="93" spans="1:12" s="881" customFormat="1">
      <c r="A93" s="1876"/>
      <c r="D93" s="1877"/>
      <c r="K93" s="737"/>
      <c r="L93" s="737"/>
    </row>
    <row r="94" spans="1:12" s="881" customFormat="1">
      <c r="A94" s="1876"/>
      <c r="D94" s="1877"/>
      <c r="K94" s="737"/>
      <c r="L94" s="737"/>
    </row>
    <row r="95" spans="1:12" s="881" customFormat="1">
      <c r="A95" s="1876"/>
      <c r="D95" s="1877"/>
      <c r="K95" s="737"/>
      <c r="L95" s="737"/>
    </row>
    <row r="96" spans="1:12" s="881" customFormat="1">
      <c r="A96" s="1876"/>
      <c r="D96" s="1877"/>
      <c r="K96" s="737"/>
      <c r="L96" s="737"/>
    </row>
    <row r="97" spans="1:12" s="881" customFormat="1">
      <c r="A97" s="1876"/>
      <c r="D97" s="1877"/>
      <c r="K97" s="737"/>
      <c r="L97" s="737"/>
    </row>
    <row r="98" spans="1:12" s="881" customFormat="1">
      <c r="A98" s="1876"/>
      <c r="D98" s="1877"/>
      <c r="K98" s="737"/>
      <c r="L98" s="737"/>
    </row>
    <row r="99" spans="1:12" s="881" customFormat="1">
      <c r="A99" s="1876"/>
      <c r="D99" s="1877"/>
      <c r="K99" s="737"/>
      <c r="L99" s="737"/>
    </row>
    <row r="100" spans="1:12" s="881" customFormat="1">
      <c r="A100" s="1876"/>
      <c r="D100" s="1877"/>
      <c r="K100" s="737"/>
      <c r="L100" s="737"/>
    </row>
    <row r="101" spans="1:12" s="881" customFormat="1">
      <c r="A101" s="1876"/>
      <c r="D101" s="1877"/>
      <c r="K101" s="737"/>
      <c r="L101" s="737"/>
    </row>
    <row r="102" spans="1:12" s="881" customFormat="1">
      <c r="A102" s="1876"/>
      <c r="D102" s="1877"/>
      <c r="K102" s="737"/>
      <c r="L102" s="737"/>
    </row>
    <row r="103" spans="1:12" s="881" customFormat="1">
      <c r="A103" s="1876"/>
      <c r="D103" s="1877"/>
      <c r="K103" s="737"/>
      <c r="L103" s="737"/>
    </row>
    <row r="104" spans="1:12" s="881" customFormat="1">
      <c r="A104" s="1876"/>
      <c r="D104" s="1877"/>
      <c r="K104" s="737"/>
      <c r="L104" s="737"/>
    </row>
    <row r="105" spans="1:12" s="881" customFormat="1">
      <c r="A105" s="1876"/>
      <c r="D105" s="1877"/>
      <c r="K105" s="737"/>
      <c r="L105" s="737"/>
    </row>
    <row r="106" spans="1:12" s="881" customFormat="1">
      <c r="A106" s="1876"/>
      <c r="D106" s="1877"/>
      <c r="K106" s="737"/>
      <c r="L106" s="737"/>
    </row>
    <row r="107" spans="1:12" s="881" customFormat="1">
      <c r="A107" s="1876"/>
      <c r="D107" s="1877"/>
      <c r="K107" s="737"/>
      <c r="L107" s="737"/>
    </row>
    <row r="108" spans="1:12" s="881" customFormat="1">
      <c r="A108" s="1876"/>
      <c r="D108" s="1877"/>
      <c r="K108" s="737"/>
      <c r="L108" s="737"/>
    </row>
    <row r="109" spans="1:12" s="881" customFormat="1">
      <c r="A109" s="1876"/>
      <c r="D109" s="1877"/>
      <c r="K109" s="737"/>
      <c r="L109" s="737"/>
    </row>
    <row r="110" spans="1:12" s="881" customFormat="1">
      <c r="A110" s="1876"/>
      <c r="D110" s="1877"/>
      <c r="K110" s="737"/>
      <c r="L110" s="737"/>
    </row>
    <row r="111" spans="1:12" s="881" customFormat="1">
      <c r="A111" s="1876"/>
      <c r="D111" s="1877"/>
      <c r="K111" s="737"/>
      <c r="L111" s="737"/>
    </row>
    <row r="112" spans="1:12" s="881" customFormat="1">
      <c r="A112" s="1876"/>
      <c r="D112" s="1877"/>
      <c r="K112" s="737"/>
      <c r="L112" s="737"/>
    </row>
    <row r="113" spans="1:12" s="881" customFormat="1">
      <c r="A113" s="1876"/>
      <c r="D113" s="1877"/>
      <c r="K113" s="737"/>
      <c r="L113" s="737"/>
    </row>
    <row r="114" spans="1:12" s="881" customFormat="1">
      <c r="A114" s="1876"/>
      <c r="D114" s="1877"/>
      <c r="K114" s="737"/>
      <c r="L114" s="737"/>
    </row>
    <row r="115" spans="1:12" s="881" customFormat="1">
      <c r="A115" s="1876"/>
      <c r="D115" s="1877"/>
      <c r="K115" s="737"/>
      <c r="L115" s="737"/>
    </row>
    <row r="116" spans="1:12" s="881" customFormat="1">
      <c r="A116" s="1876"/>
      <c r="D116" s="1877"/>
      <c r="K116" s="737"/>
      <c r="L116" s="737"/>
    </row>
    <row r="117" spans="1:12" s="881" customFormat="1">
      <c r="A117" s="1876"/>
      <c r="D117" s="1877"/>
      <c r="K117" s="737"/>
      <c r="L117" s="737"/>
    </row>
    <row r="118" spans="1:12" s="881" customFormat="1">
      <c r="A118" s="1876"/>
      <c r="D118" s="1877"/>
      <c r="K118" s="737"/>
      <c r="L118" s="737"/>
    </row>
    <row r="119" spans="1:12" s="881" customFormat="1">
      <c r="A119" s="1876"/>
      <c r="D119" s="1877"/>
      <c r="K119" s="737"/>
      <c r="L119" s="737"/>
    </row>
    <row r="120" spans="1:12" s="881" customFormat="1">
      <c r="A120" s="1876"/>
      <c r="D120" s="1877"/>
      <c r="K120" s="737"/>
      <c r="L120" s="737"/>
    </row>
    <row r="121" spans="1:12" s="881" customFormat="1">
      <c r="A121" s="1876"/>
      <c r="D121" s="1877"/>
      <c r="K121" s="737"/>
      <c r="L121" s="737"/>
    </row>
    <row r="122" spans="1:12" s="881" customFormat="1">
      <c r="A122" s="1876"/>
      <c r="D122" s="1877"/>
      <c r="K122" s="737"/>
      <c r="L122" s="737"/>
    </row>
    <row r="123" spans="1:12" s="881" customFormat="1">
      <c r="A123" s="1876"/>
      <c r="D123" s="1877"/>
      <c r="K123" s="737"/>
      <c r="L123" s="737"/>
    </row>
    <row r="124" spans="1:12" s="881" customFormat="1">
      <c r="A124" s="1876"/>
      <c r="D124" s="1877"/>
      <c r="K124" s="737"/>
      <c r="L124" s="737"/>
    </row>
    <row r="125" spans="1:12" s="881" customFormat="1">
      <c r="A125" s="1876"/>
      <c r="D125" s="1877"/>
      <c r="K125" s="737"/>
      <c r="L125" s="737"/>
    </row>
    <row r="126" spans="1:12" s="881" customFormat="1">
      <c r="A126" s="1876"/>
      <c r="D126" s="1877"/>
      <c r="K126" s="737"/>
      <c r="L126" s="737"/>
    </row>
    <row r="127" spans="1:12" s="881" customFormat="1">
      <c r="A127" s="1876"/>
      <c r="D127" s="1877"/>
      <c r="K127" s="737"/>
      <c r="L127" s="737"/>
    </row>
    <row r="128" spans="1:12" s="881" customFormat="1">
      <c r="A128" s="1876"/>
      <c r="D128" s="1877"/>
      <c r="K128" s="737"/>
      <c r="L128" s="737"/>
    </row>
    <row r="129" spans="1:12" s="881" customFormat="1">
      <c r="A129" s="1876"/>
      <c r="D129" s="1877"/>
      <c r="K129" s="737"/>
      <c r="L129" s="737"/>
    </row>
    <row r="130" spans="1:12" s="881" customFormat="1">
      <c r="A130" s="1876"/>
      <c r="D130" s="1877"/>
      <c r="K130" s="737"/>
      <c r="L130" s="737"/>
    </row>
    <row r="131" spans="1:12" s="881" customFormat="1">
      <c r="A131" s="1876"/>
      <c r="D131" s="1877"/>
      <c r="K131" s="737"/>
      <c r="L131" s="737"/>
    </row>
    <row r="132" spans="1:12" s="881" customFormat="1">
      <c r="A132" s="1876"/>
      <c r="D132" s="1877"/>
      <c r="K132" s="737"/>
      <c r="L132" s="737"/>
    </row>
    <row r="133" spans="1:12" s="881"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algorithmName="SHA-512" hashValue="kA1Ojss5o9wssrOISVU1gLPo5jzCgBzxsQdXFJ61z532yHs6rnNLCCxXAidgMrhuiKg38zFzalgwWEsjqKHQrw==" saltValue="ScUWpomj7E1TmtB6+gAaaA==" spinCount="100000" sheet="1" objects="1" scenarios="1" formatCells="0" formatColumns="0" formatRows="0"/>
  <phoneticPr fontId="3"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2" customWidth="1"/>
    <col min="2" max="9" width="10" style="932" customWidth="1"/>
    <col min="10" max="16384" width="9" style="932"/>
  </cols>
  <sheetData>
    <row r="36" spans="1:9">
      <c r="A36" s="931" t="s">
        <v>637</v>
      </c>
      <c r="B36" s="931" t="s">
        <v>638</v>
      </c>
    </row>
    <row r="37" spans="1:9" ht="27.75" customHeight="1">
      <c r="A37" s="931"/>
      <c r="B37" s="3329" t="str">
        <f>项目基本情况!B1</f>
        <v>北京市朝阳区朝阳门南大街10号房地产抵押价值预评估</v>
      </c>
      <c r="C37" s="3329"/>
      <c r="D37" s="3329"/>
      <c r="E37" s="3329"/>
      <c r="F37" s="3329"/>
      <c r="G37" s="3329"/>
      <c r="H37" s="3329"/>
      <c r="I37" s="3329"/>
    </row>
    <row r="38" spans="1:9">
      <c r="A38" s="933"/>
      <c r="B38" s="933"/>
    </row>
    <row r="39" spans="1:9">
      <c r="A39" s="931" t="s">
        <v>637</v>
      </c>
      <c r="B39" s="931" t="s">
        <v>639</v>
      </c>
    </row>
    <row r="40" spans="1:9">
      <c r="A40" s="931"/>
      <c r="B40" s="1609" t="str">
        <f>项目基本情况!B5</f>
        <v>北京兆泰集团股份有限公司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3.5">
      <c r="B46" s="1609" t="str">
        <f ca="1">项目基本情况!K4</f>
        <v>吴薇（注册号：1419970001)、（注册号：0)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1" customWidth="1"/>
    <col min="2" max="2" width="24.453125" style="1707" customWidth="1"/>
    <col min="3" max="3" width="24.453125" style="2682" customWidth="1"/>
    <col min="4" max="4" width="2.6328125" style="2682" customWidth="1"/>
    <col min="5" max="5" width="5.90625" style="2682" customWidth="1"/>
    <col min="6" max="6" width="27" style="1707" customWidth="1"/>
    <col min="7" max="7" width="27" style="2683" customWidth="1"/>
    <col min="8" max="8" width="11.90625" style="2663" customWidth="1"/>
    <col min="9" max="9" width="16.90625" style="2664" customWidth="1"/>
    <col min="10" max="10" width="2.6328125" style="2663" customWidth="1"/>
    <col min="11" max="11" width="11.90625" style="2663" customWidth="1"/>
    <col min="12" max="12" width="16.90625" style="2664" customWidth="1"/>
    <col min="13" max="13" width="2.6328125" style="2663" customWidth="1"/>
    <col min="14" max="14" width="11.90625" style="2663" customWidth="1"/>
    <col min="15" max="15" width="16.90625" style="2664" customWidth="1"/>
    <col min="16" max="16" width="2.6328125" style="2663" customWidth="1"/>
    <col min="17" max="17" width="11.90625" style="2663" customWidth="1"/>
    <col min="18" max="18" width="16.90625" style="2665" customWidth="1"/>
    <col min="19" max="29" width="9" style="887"/>
    <col min="30" max="16384" width="9" style="1821"/>
  </cols>
  <sheetData>
    <row r="1" spans="1:29" s="2629" customFormat="1" ht="18.5" thickBot="1">
      <c r="A1" s="3432" t="s">
        <v>2783</v>
      </c>
      <c r="B1" s="3433"/>
      <c r="C1" s="3433"/>
      <c r="D1" s="3433"/>
      <c r="E1" s="3433"/>
      <c r="F1" s="3433"/>
      <c r="G1" s="3433"/>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4.5" thickBot="1">
      <c r="A2" s="2630"/>
      <c r="B2" s="2631"/>
      <c r="C2" s="2632" t="s">
        <v>2778</v>
      </c>
      <c r="D2" s="2633"/>
      <c r="E2" s="2630"/>
      <c r="F2" s="2634"/>
      <c r="G2" s="2632" t="s">
        <v>2779</v>
      </c>
      <c r="H2" s="887"/>
      <c r="I2" s="887"/>
      <c r="J2" s="887"/>
      <c r="K2" s="887"/>
      <c r="L2" s="887"/>
      <c r="M2" s="887"/>
      <c r="N2" s="887"/>
      <c r="O2" s="887"/>
      <c r="P2" s="887"/>
      <c r="Q2" s="887"/>
      <c r="R2" s="887"/>
    </row>
    <row r="3" spans="1:29" ht="52">
      <c r="A3" s="2613" t="s">
        <v>2780</v>
      </c>
      <c r="B3" s="2635" t="s">
        <v>2749</v>
      </c>
      <c r="C3" s="2636" t="s">
        <v>2781</v>
      </c>
      <c r="D3" s="2637"/>
      <c r="E3" s="2614" t="s">
        <v>2780</v>
      </c>
      <c r="F3" s="2638" t="s">
        <v>2750</v>
      </c>
      <c r="G3" s="2639" t="s">
        <v>2782</v>
      </c>
      <c r="H3" s="887"/>
      <c r="I3" s="887"/>
      <c r="J3" s="887"/>
      <c r="K3" s="887"/>
      <c r="L3" s="887"/>
      <c r="M3" s="887"/>
      <c r="N3" s="887"/>
      <c r="O3" s="887"/>
      <c r="P3" s="887"/>
      <c r="Q3" s="887"/>
      <c r="R3" s="887"/>
    </row>
    <row r="4" spans="1:29" ht="39">
      <c r="A4" s="2614"/>
      <c r="B4" s="329" t="s">
        <v>2751</v>
      </c>
      <c r="C4" s="2640" t="s">
        <v>2752</v>
      </c>
      <c r="D4" s="2637"/>
      <c r="E4" s="2641"/>
      <c r="F4" s="1507" t="s">
        <v>2753</v>
      </c>
      <c r="G4" s="2642" t="s">
        <v>2754</v>
      </c>
      <c r="H4" s="887"/>
      <c r="I4" s="887"/>
      <c r="J4" s="887"/>
      <c r="K4" s="887"/>
      <c r="L4" s="887"/>
      <c r="M4" s="887"/>
      <c r="N4" s="887"/>
      <c r="O4" s="887"/>
      <c r="P4" s="887"/>
      <c r="Q4" s="887"/>
      <c r="R4" s="887"/>
    </row>
    <row r="5" spans="1:29" ht="39">
      <c r="A5" s="2614"/>
      <c r="B5" s="329" t="s">
        <v>2755</v>
      </c>
      <c r="C5" s="2640" t="s">
        <v>2756</v>
      </c>
      <c r="D5" s="2637"/>
      <c r="E5" s="2641"/>
      <c r="F5" s="329" t="s">
        <v>2757</v>
      </c>
      <c r="G5" s="2642" t="s">
        <v>2758</v>
      </c>
      <c r="H5" s="887"/>
      <c r="I5" s="887"/>
      <c r="J5" s="887"/>
      <c r="K5" s="887"/>
      <c r="L5" s="887"/>
      <c r="M5" s="887"/>
      <c r="N5" s="887"/>
      <c r="O5" s="887"/>
      <c r="P5" s="887"/>
      <c r="Q5" s="887"/>
      <c r="R5" s="887"/>
    </row>
    <row r="6" spans="1:29" ht="39">
      <c r="A6" s="2614"/>
      <c r="B6" s="329" t="s">
        <v>2759</v>
      </c>
      <c r="C6" s="2642" t="s">
        <v>2754</v>
      </c>
      <c r="D6" s="2637"/>
      <c r="E6" s="2641"/>
      <c r="F6" s="329" t="s">
        <v>2760</v>
      </c>
      <c r="G6" s="2642" t="s">
        <v>2761</v>
      </c>
      <c r="H6" s="887"/>
      <c r="I6" s="887"/>
      <c r="J6" s="887"/>
      <c r="K6" s="887"/>
      <c r="L6" s="887"/>
      <c r="M6" s="887"/>
      <c r="N6" s="887"/>
      <c r="O6" s="887"/>
      <c r="P6" s="887"/>
      <c r="Q6" s="887"/>
      <c r="R6" s="887"/>
    </row>
    <row r="7" spans="1:29" ht="39.5" thickBot="1">
      <c r="A7" s="2614"/>
      <c r="B7" s="329" t="s">
        <v>2757</v>
      </c>
      <c r="C7" s="2642" t="s">
        <v>2758</v>
      </c>
      <c r="D7" s="2643"/>
      <c r="E7" s="2644"/>
      <c r="F7" s="2645" t="s">
        <v>2762</v>
      </c>
      <c r="G7" s="2646" t="s">
        <v>2763</v>
      </c>
      <c r="H7" s="887"/>
      <c r="I7" s="887"/>
      <c r="J7" s="887"/>
      <c r="K7" s="887"/>
      <c r="L7" s="887"/>
      <c r="M7" s="887"/>
      <c r="N7" s="887"/>
      <c r="O7" s="887"/>
      <c r="P7" s="887"/>
      <c r="Q7" s="887"/>
      <c r="R7" s="887"/>
    </row>
    <row r="8" spans="1:29" ht="26">
      <c r="A8" s="2614"/>
      <c r="B8" s="329" t="s">
        <v>2760</v>
      </c>
      <c r="C8" s="2642" t="s">
        <v>2761</v>
      </c>
      <c r="D8" s="2643"/>
      <c r="E8" s="2643"/>
      <c r="F8" s="2647"/>
      <c r="G8" s="2647"/>
      <c r="H8" s="887"/>
      <c r="I8" s="887"/>
      <c r="J8" s="887"/>
      <c r="K8" s="887"/>
      <c r="L8" s="887"/>
      <c r="M8" s="887"/>
      <c r="N8" s="887"/>
      <c r="O8" s="887"/>
      <c r="P8" s="887"/>
      <c r="Q8" s="887"/>
      <c r="R8" s="887"/>
    </row>
    <row r="9" spans="1:29" ht="26">
      <c r="A9" s="2614"/>
      <c r="B9" s="329" t="s">
        <v>2764</v>
      </c>
      <c r="C9" s="2640" t="s">
        <v>2765</v>
      </c>
      <c r="D9" s="2637"/>
      <c r="E9" s="2643"/>
      <c r="F9" s="2647"/>
      <c r="G9" s="2647"/>
      <c r="H9" s="887"/>
      <c r="I9" s="887"/>
      <c r="J9" s="887"/>
      <c r="K9" s="887"/>
      <c r="L9" s="887"/>
      <c r="M9" s="887"/>
      <c r="N9" s="887"/>
      <c r="O9" s="887"/>
      <c r="P9" s="887"/>
      <c r="Q9" s="887"/>
      <c r="R9" s="887"/>
    </row>
    <row r="10" spans="1:29" s="2653" customFormat="1" ht="14.5" thickBot="1">
      <c r="A10" s="2615"/>
      <c r="B10" s="2648" t="s">
        <v>2766</v>
      </c>
      <c r="C10" s="2649"/>
      <c r="D10" s="2637"/>
      <c r="E10" s="2637"/>
      <c r="F10" s="2647"/>
      <c r="G10" s="2647"/>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4.5" thickBot="1">
      <c r="A13" s="2662" t="s">
        <v>2784</v>
      </c>
      <c r="B13" s="2656"/>
      <c r="C13" s="2656"/>
      <c r="D13" s="2654"/>
      <c r="E13" s="2656"/>
      <c r="F13" s="2656"/>
      <c r="G13" s="2656"/>
    </row>
    <row r="14" spans="1:29" ht="14.5" thickBot="1">
      <c r="A14" s="2666"/>
      <c r="B14" s="2666"/>
      <c r="C14" s="2667" t="s">
        <v>2767</v>
      </c>
      <c r="D14" s="2637"/>
      <c r="E14" s="2668"/>
      <c r="F14" s="2668"/>
      <c r="G14" s="2632" t="s">
        <v>2768</v>
      </c>
    </row>
    <row r="15" spans="1:29" ht="50">
      <c r="A15" s="2616" t="s">
        <v>2769</v>
      </c>
      <c r="B15" s="2669" t="s">
        <v>2749</v>
      </c>
      <c r="C15" s="2670" t="str">
        <f>C3</f>
        <v>估价对象周边居住用地比例、居住小区规模和社区发展完善程度，综合评价居住社区成熟度一般</v>
      </c>
      <c r="D15" s="2637"/>
      <c r="E15" s="2617" t="s">
        <v>2770</v>
      </c>
      <c r="F15" s="2669" t="s">
        <v>2771</v>
      </c>
      <c r="G15" s="2671" t="str">
        <f>G3</f>
        <v>估价对象位于XX开发区，园区建设成熟度XX，产业集聚程度XX</v>
      </c>
    </row>
    <row r="16" spans="1:29" ht="37.5">
      <c r="A16" s="2618"/>
      <c r="B16" s="2672" t="s">
        <v>2751</v>
      </c>
      <c r="C16" s="2673" t="str">
        <f>C4</f>
        <v>估价对象位于XX商圈，周边商业氛围成熟，人流量大，商业繁华度好</v>
      </c>
      <c r="D16" s="2637"/>
      <c r="E16" s="2619"/>
      <c r="F16" s="2674" t="s">
        <v>2753</v>
      </c>
      <c r="G16" s="2675" t="str">
        <f>G4</f>
        <v>估价对象周边道路状况、公共交通通达情况、停车便捷程度，综合评价交通便捷度较好</v>
      </c>
    </row>
    <row r="17" spans="1:18" ht="37.5">
      <c r="A17" s="2618"/>
      <c r="B17" s="2672" t="s">
        <v>2755</v>
      </c>
      <c r="C17" s="2673" t="str">
        <f>C5</f>
        <v>估价对象位于XX商圈，周边办公楼项目较多，入驻率高，办公集聚程度较好</v>
      </c>
      <c r="D17" s="2643"/>
      <c r="E17" s="2619"/>
      <c r="F17" s="2674" t="s">
        <v>2772</v>
      </c>
      <c r="G17" s="2676"/>
    </row>
    <row r="18" spans="1:18" ht="37.5">
      <c r="A18" s="2618"/>
      <c r="B18" s="2674" t="s">
        <v>2759</v>
      </c>
      <c r="C18" s="2675" t="str">
        <f>C6</f>
        <v>估价对象周边道路状况、公共交通通达情况、停车便捷程度，综合评价交通便捷度较好</v>
      </c>
      <c r="D18" s="2643"/>
      <c r="E18" s="2619"/>
      <c r="F18" s="2674" t="s">
        <v>2762</v>
      </c>
      <c r="G18" s="2675" t="str">
        <f>G7</f>
        <v>该园区内是否有污染型企业，绿化情况，卫生条件，整体环境状况判断</v>
      </c>
    </row>
    <row r="19" spans="1:18" ht="25">
      <c r="A19" s="2618"/>
      <c r="B19" s="2674" t="s">
        <v>2773</v>
      </c>
      <c r="C19" s="2676"/>
      <c r="D19" s="2637"/>
      <c r="E19" s="2619"/>
      <c r="F19" s="329" t="s">
        <v>2757</v>
      </c>
      <c r="G19" s="2675" t="str">
        <f>G5</f>
        <v>估价对象所在区域公共配套设施齐备情况</v>
      </c>
    </row>
    <row r="20" spans="1:18" ht="25">
      <c r="A20" s="2618"/>
      <c r="B20" s="2674" t="s">
        <v>2774</v>
      </c>
      <c r="C20" s="2673" t="str">
        <f>C9</f>
        <v>区域自然环境：；人文环境；综合评价环境状况一般</v>
      </c>
      <c r="D20" s="2643"/>
      <c r="E20" s="2619"/>
      <c r="F20" s="329" t="s">
        <v>2760</v>
      </c>
      <c r="G20" s="2675" t="str">
        <f>G6</f>
        <v>估价对象所在区域基础设施水平</v>
      </c>
    </row>
    <row r="21" spans="1:18" ht="25">
      <c r="A21" s="2618"/>
      <c r="B21" s="329" t="s">
        <v>2757</v>
      </c>
      <c r="C21" s="2675" t="str">
        <f>C7</f>
        <v>估价对象所在区域公共配套设施齐备情况</v>
      </c>
      <c r="D21" s="2637"/>
      <c r="E21" s="2619"/>
      <c r="F21" s="2674" t="s">
        <v>2775</v>
      </c>
      <c r="G21" s="2677"/>
    </row>
    <row r="22" spans="1:18" ht="13.5" customHeight="1">
      <c r="A22" s="2618"/>
      <c r="B22" s="329" t="s">
        <v>2760</v>
      </c>
      <c r="C22" s="2675" t="str">
        <f>C8</f>
        <v>估价对象所在区域基础设施水平</v>
      </c>
      <c r="D22" s="2637"/>
      <c r="E22" s="2619"/>
      <c r="F22" s="2674" t="s">
        <v>2766</v>
      </c>
      <c r="G22" s="2676"/>
    </row>
    <row r="23" spans="1:18" s="887" customFormat="1" ht="14.5" thickBot="1">
      <c r="A23" s="2618"/>
      <c r="B23" s="2674" t="s">
        <v>2775</v>
      </c>
      <c r="C23" s="2677"/>
      <c r="D23" s="1876"/>
      <c r="E23" s="2620"/>
      <c r="F23" s="2678" t="s">
        <v>2776</v>
      </c>
      <c r="G23" s="2679"/>
      <c r="H23" s="2663"/>
      <c r="I23" s="2664"/>
      <c r="J23" s="2663"/>
      <c r="K23" s="2663"/>
      <c r="L23" s="2664"/>
      <c r="M23" s="2663"/>
      <c r="N23" s="2663"/>
      <c r="O23" s="2664"/>
      <c r="P23" s="2663"/>
      <c r="Q23" s="2663"/>
      <c r="R23" s="2665"/>
    </row>
    <row r="24" spans="1:18" s="887" customFormat="1" ht="14.5" thickBot="1">
      <c r="A24" s="2621"/>
      <c r="B24" s="2678" t="s">
        <v>2777</v>
      </c>
      <c r="C24" s="2680">
        <f>C10</f>
        <v>0</v>
      </c>
      <c r="D24" s="1876"/>
      <c r="E24" s="2611"/>
      <c r="F24" s="2611"/>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32"/>
  <sheetViews>
    <sheetView tabSelected="1" view="pageBreakPreview" topLeftCell="A10" zoomScale="80" zoomScaleNormal="80" zoomScaleSheetLayoutView="80" workbookViewId="0">
      <selection activeCell="H32" sqref="H32:I32"/>
    </sheetView>
  </sheetViews>
  <sheetFormatPr defaultColWidth="9" defaultRowHeight="14"/>
  <cols>
    <col min="1" max="1" width="25" style="2685" customWidth="1"/>
    <col min="2" max="9" width="15.90625" style="2685" customWidth="1"/>
    <col min="10" max="16384" width="9" style="2685"/>
  </cols>
  <sheetData>
    <row r="1" spans="1:11" ht="16.5">
      <c r="A1" s="2684" t="s">
        <v>1086</v>
      </c>
      <c r="B1" s="2684">
        <f>SUM(B14:B23)</f>
        <v>98604.219999999987</v>
      </c>
      <c r="C1" s="2860"/>
      <c r="D1" s="2860"/>
      <c r="E1" s="2860"/>
      <c r="F1" s="2860"/>
      <c r="G1" s="2861"/>
      <c r="H1" s="2862"/>
      <c r="I1" s="2862"/>
      <c r="J1" s="2862"/>
      <c r="K1" s="2862"/>
    </row>
    <row r="2" spans="1:11" ht="16.5">
      <c r="A2" s="2684" t="s">
        <v>1074</v>
      </c>
      <c r="B2" s="2684">
        <f>SUM(C14:C23)</f>
        <v>5676.41</v>
      </c>
      <c r="C2" s="2860"/>
      <c r="D2" s="2860"/>
      <c r="E2" s="2860"/>
      <c r="F2" s="2860"/>
      <c r="G2" s="2861"/>
      <c r="H2" s="2862"/>
      <c r="I2" s="2862"/>
      <c r="J2" s="2862"/>
      <c r="K2" s="2862"/>
    </row>
    <row r="3" spans="1:11" ht="16.5">
      <c r="A3" s="2684" t="s">
        <v>1083</v>
      </c>
      <c r="B3" s="2686">
        <f>项目基本情况!D3</f>
        <v>44691</v>
      </c>
      <c r="C3" s="2860"/>
      <c r="D3" s="2860"/>
      <c r="E3" s="2860"/>
      <c r="F3" s="2860"/>
      <c r="G3" s="2861"/>
      <c r="H3" s="2862"/>
      <c r="I3" s="2862"/>
      <c r="J3" s="2862"/>
      <c r="K3" s="2862"/>
    </row>
    <row r="4" spans="1:11" ht="33">
      <c r="A4" s="2684" t="s">
        <v>1082</v>
      </c>
      <c r="B4" s="2684" t="s">
        <v>1081</v>
      </c>
      <c r="C4" s="2684" t="s">
        <v>1080</v>
      </c>
      <c r="D4" s="2684" t="s">
        <v>1079</v>
      </c>
      <c r="E4" s="2860"/>
      <c r="F4" s="2861"/>
      <c r="G4" s="2861"/>
      <c r="H4" s="2862"/>
      <c r="I4" s="2862"/>
      <c r="J4" s="2862"/>
      <c r="K4" s="2862"/>
    </row>
    <row r="5" spans="1:11" ht="16.5">
      <c r="A5" s="2684" t="s">
        <v>1078</v>
      </c>
      <c r="B5" s="2684">
        <f ca="1">SUM(D14:D23)</f>
        <v>501048</v>
      </c>
      <c r="C5" s="2684">
        <f ca="1">ROUND(B5*10000/$B$1,0)</f>
        <v>50814</v>
      </c>
      <c r="D5" s="2684">
        <f ca="1">ROUND(B5*10000/$B$2,0)</f>
        <v>882685</v>
      </c>
      <c r="E5" s="2860"/>
      <c r="F5" s="2861"/>
      <c r="G5" s="2861"/>
      <c r="H5" s="2862"/>
      <c r="I5" s="2862"/>
      <c r="J5" s="2862"/>
      <c r="K5" s="2862"/>
    </row>
    <row r="6" spans="1:11" ht="16.5">
      <c r="A6" s="2684" t="s">
        <v>1077</v>
      </c>
      <c r="B6" s="2684">
        <f ca="1">SUM(G14:G23)</f>
        <v>501048</v>
      </c>
      <c r="C6" s="2684">
        <f ca="1">ROUND(B6*10000/$B$1,0)</f>
        <v>50814</v>
      </c>
      <c r="D6" s="2684">
        <f ca="1">ROUND(B6*10000/$B$2,0)</f>
        <v>882685</v>
      </c>
      <c r="E6" s="2860"/>
      <c r="F6" s="2861"/>
      <c r="G6" s="2861"/>
      <c r="H6" s="2862"/>
      <c r="I6" s="2862"/>
      <c r="J6" s="2862"/>
      <c r="K6" s="2862"/>
    </row>
    <row r="7" spans="1:11" ht="16.5">
      <c r="A7" s="2684" t="s">
        <v>1085</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1076</v>
      </c>
      <c r="B9" s="2692"/>
      <c r="C9" s="2860"/>
      <c r="D9" s="2860"/>
      <c r="E9" s="2860"/>
      <c r="F9" s="2861"/>
      <c r="G9" s="2861"/>
      <c r="H9" s="2862"/>
      <c r="I9" s="2862"/>
      <c r="J9" s="2862"/>
      <c r="K9" s="2862"/>
    </row>
    <row r="10" spans="1:11" ht="16.5">
      <c r="A10" s="2684" t="s">
        <v>1075</v>
      </c>
      <c r="B10" s="2692"/>
      <c r="C10" s="2860"/>
      <c r="D10" s="2860"/>
      <c r="E10" s="2860"/>
      <c r="F10" s="2861"/>
      <c r="G10" s="2861"/>
      <c r="H10" s="2862"/>
      <c r="I10" s="2862"/>
      <c r="J10" s="2862"/>
      <c r="K10" s="2862"/>
    </row>
    <row r="11" spans="1:11" ht="16.5">
      <c r="A11" s="2684" t="s">
        <v>1091</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1090</v>
      </c>
      <c r="B13" s="2688" t="s">
        <v>1087</v>
      </c>
      <c r="C13" s="2688" t="s">
        <v>1089</v>
      </c>
      <c r="D13" s="2688" t="s">
        <v>1088</v>
      </c>
      <c r="E13" s="2684" t="s">
        <v>1080</v>
      </c>
      <c r="F13" s="2684" t="s">
        <v>1079</v>
      </c>
      <c r="G13" s="2688" t="s">
        <v>1073</v>
      </c>
      <c r="H13" s="2688" t="s">
        <v>1084</v>
      </c>
      <c r="I13" s="2688" t="s">
        <v>1072</v>
      </c>
      <c r="J13" s="2861"/>
      <c r="K13" s="2862"/>
    </row>
    <row r="14" spans="1:11" ht="16.5">
      <c r="A14" s="2689" t="s">
        <v>3757</v>
      </c>
      <c r="B14" s="2690">
        <f>'结果表(办公)'!B118</f>
        <v>73689.229999999981</v>
      </c>
      <c r="C14" s="2690">
        <f>'结果表(办公)'!C118</f>
        <v>4242.1099999999997</v>
      </c>
      <c r="D14" s="2690">
        <f ca="1">'结果表(办公)'!H118</f>
        <v>463686</v>
      </c>
      <c r="E14" s="2690">
        <f ca="1">ROUND(D14*10000/B14,0)</f>
        <v>62925</v>
      </c>
      <c r="F14" s="2690">
        <f ca="1">ROUND(D14*10000/C14,0)</f>
        <v>1093055</v>
      </c>
      <c r="G14" s="2690">
        <f ca="1">'结果表(办公)'!D122</f>
        <v>463686</v>
      </c>
      <c r="H14" s="2690" t="str">
        <f>结果表!D124</f>
        <v>——</v>
      </c>
      <c r="I14" s="2690" t="str">
        <f>结果表!D126</f>
        <v>——</v>
      </c>
      <c r="J14" s="2861"/>
      <c r="K14" s="2862"/>
    </row>
    <row r="15" spans="1:11" ht="16.5">
      <c r="A15" s="2689" t="s">
        <v>3758</v>
      </c>
      <c r="B15" s="2691">
        <f>'结果表(商业)'!B118</f>
        <v>3431.64</v>
      </c>
      <c r="C15" s="2691">
        <f>'结果表(商业)'!C118</f>
        <v>197.55</v>
      </c>
      <c r="D15" s="2691">
        <f ca="1">'结果表(商业)'!H118</f>
        <v>11965</v>
      </c>
      <c r="E15" s="2690">
        <f t="shared" ref="E15:E23" ca="1" si="0">ROUND(D15*10000/B15,0)</f>
        <v>34867</v>
      </c>
      <c r="F15" s="2690">
        <f t="shared" ref="F15:F23" ca="1" si="1">ROUND(D15*10000/C15,0)</f>
        <v>605669</v>
      </c>
      <c r="G15" s="2690">
        <f ca="1">'结果表(商业)'!D122</f>
        <v>11965</v>
      </c>
      <c r="H15" s="1451"/>
      <c r="I15" s="2691"/>
      <c r="J15" s="2861"/>
      <c r="K15" s="2862"/>
    </row>
    <row r="16" spans="1:11" ht="16.5">
      <c r="A16" s="2689" t="s">
        <v>3759</v>
      </c>
      <c r="B16" s="2691">
        <f>'结果表(车库)'!B118</f>
        <v>18842.53</v>
      </c>
      <c r="C16" s="2691">
        <f>'结果表(车库)'!C118</f>
        <v>1084.72</v>
      </c>
      <c r="D16" s="2691">
        <f ca="1">'结果表(车库)'!H118</f>
        <v>18463</v>
      </c>
      <c r="E16" s="2690">
        <f t="shared" ca="1" si="0"/>
        <v>9799</v>
      </c>
      <c r="F16" s="2690">
        <f t="shared" ca="1" si="1"/>
        <v>170210</v>
      </c>
      <c r="G16" s="2690">
        <f ca="1">'结果表(车库)'!D122</f>
        <v>18463</v>
      </c>
      <c r="H16" s="1451"/>
      <c r="I16" s="2691"/>
      <c r="J16" s="2862">
        <f ca="1">D16/'数据-取费表'!AH8</f>
        <v>49.765498652291107</v>
      </c>
      <c r="K16" s="2862"/>
    </row>
    <row r="17" spans="1:11" ht="16.5">
      <c r="A17" s="2689" t="s">
        <v>3760</v>
      </c>
      <c r="B17" s="2691">
        <f>'结果表(仓储)'!B118</f>
        <v>2640.82</v>
      </c>
      <c r="C17" s="2691">
        <f>'结果表(仓储)'!C118</f>
        <v>152.03</v>
      </c>
      <c r="D17" s="2691">
        <f ca="1">'结果表(仓储)'!H118</f>
        <v>6934</v>
      </c>
      <c r="E17" s="2690">
        <f t="shared" ca="1" si="0"/>
        <v>26257</v>
      </c>
      <c r="F17" s="2690">
        <f t="shared" ca="1" si="1"/>
        <v>456094</v>
      </c>
      <c r="G17" s="2690">
        <f ca="1">'结果表(仓储)'!D122</f>
        <v>6934</v>
      </c>
      <c r="H17" s="1451"/>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28" spans="1:11">
      <c r="A28" s="3437" t="s">
        <v>1883</v>
      </c>
      <c r="B28" s="3438"/>
      <c r="C28" s="3438"/>
      <c r="D28" s="3438"/>
      <c r="E28" s="3438"/>
      <c r="F28" s="3438"/>
      <c r="G28" s="3438"/>
      <c r="H28" s="3438"/>
      <c r="I28" s="3439"/>
    </row>
    <row r="29" spans="1:11">
      <c r="A29" s="3434" t="s">
        <v>1884</v>
      </c>
      <c r="B29" s="3440" t="s">
        <v>1885</v>
      </c>
      <c r="C29" s="3440" t="s">
        <v>1886</v>
      </c>
      <c r="D29" s="3442" t="s">
        <v>1887</v>
      </c>
      <c r="E29" s="3443"/>
      <c r="F29" s="3444" t="s">
        <v>1888</v>
      </c>
      <c r="G29" s="3444"/>
      <c r="H29" s="3434" t="s">
        <v>1889</v>
      </c>
      <c r="I29" s="3434"/>
    </row>
    <row r="30" spans="1:11" ht="14.5">
      <c r="A30" s="3434"/>
      <c r="B30" s="3441"/>
      <c r="C30" s="3441"/>
      <c r="D30" s="2772" t="s">
        <v>1890</v>
      </c>
      <c r="E30" s="2772" t="s">
        <v>1891</v>
      </c>
      <c r="F30" s="2772" t="s">
        <v>1890</v>
      </c>
      <c r="G30" s="2772" t="s">
        <v>1892</v>
      </c>
      <c r="H30" s="2772" t="s">
        <v>1890</v>
      </c>
      <c r="I30" s="2772" t="s">
        <v>1892</v>
      </c>
    </row>
    <row r="31" spans="1:11">
      <c r="A31" s="3328" t="str">
        <f>项目基本情况!F10</f>
        <v>朝阳区朝阳门南大街10号</v>
      </c>
      <c r="B31" s="2772">
        <f>B1</f>
        <v>98604.219999999987</v>
      </c>
      <c r="C31" s="2772">
        <f>B2</f>
        <v>5676.41</v>
      </c>
      <c r="D31" s="2772">
        <f ca="1">ROUND(H31-F31,0)</f>
        <v>394744</v>
      </c>
      <c r="E31" s="2772">
        <f ca="1">ROUND(I31-G31,0)</f>
        <v>40033</v>
      </c>
      <c r="F31" s="2772">
        <f ca="1">'结果表(办公)'!F118+'结果表(商业)'!F118+'结果表(车库)'!F118+'结果表(仓储)'!F118</f>
        <v>106304</v>
      </c>
      <c r="G31" s="2772">
        <f ca="1">ROUND(F31*10000/B31,0)</f>
        <v>10781</v>
      </c>
      <c r="H31" s="2772">
        <f ca="1">'结果表(办公)'!H118+'结果表(商业)'!H118+'结果表(车库)'!H118+'结果表(仓储)'!H118</f>
        <v>501048</v>
      </c>
      <c r="I31" s="2772">
        <f ca="1">ROUND(H31*10000/B31,0)</f>
        <v>50814</v>
      </c>
    </row>
    <row r="32" spans="1:11">
      <c r="A32" s="3434" t="s">
        <v>1893</v>
      </c>
      <c r="B32" s="3434"/>
      <c r="C32" s="3434"/>
      <c r="D32" s="3435" t="str">
        <f ca="1">NUMBERSTRING(INT(D31*10000),2)&amp;"元整"</f>
        <v>叁拾玖亿肆仟柒佰肆拾肆万元整</v>
      </c>
      <c r="E32" s="3436"/>
      <c r="F32" s="3435" t="str">
        <f ca="1">NUMBERSTRING(INT(F31*10000),2)&amp;"元整"</f>
        <v>壹拾亿陆仟叁佰零肆万元整</v>
      </c>
      <c r="G32" s="3436"/>
      <c r="H32" s="3435" t="str">
        <f ca="1">NUMBERSTRING(INT(H31*10000),2)&amp;"元整"</f>
        <v>伍拾亿壹仟零肆拾捌万元整</v>
      </c>
      <c r="I32" s="3436"/>
    </row>
  </sheetData>
  <sheetProtection password="CEE9" sheet="1" objects="1" scenarios="1" formatCells="0" formatColumns="0" formatRows="0"/>
  <mergeCells count="11">
    <mergeCell ref="A32:C32"/>
    <mergeCell ref="D32:E32"/>
    <mergeCell ref="F32:G32"/>
    <mergeCell ref="H32:I32"/>
    <mergeCell ref="A28:I28"/>
    <mergeCell ref="A29:A30"/>
    <mergeCell ref="B29:B30"/>
    <mergeCell ref="C29:C30"/>
    <mergeCell ref="D29:E29"/>
    <mergeCell ref="F29:G29"/>
    <mergeCell ref="H29:I29"/>
  </mergeCells>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Normal="100" zoomScaleSheetLayoutView="100" zoomScalePageLayoutView="80" workbookViewId="0">
      <selection activeCell="G23" sqref="G23"/>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c r="D1" s="1882"/>
      <c r="E1" s="1882"/>
      <c r="F1" s="1884" t="s">
        <v>1704</v>
      </c>
      <c r="G1" s="1696"/>
      <c r="H1" s="1885" t="str">
        <f>IF(G1="现房","——","估价对象范围")</f>
        <v>估价对象范围</v>
      </c>
      <c r="I1" s="1886"/>
    </row>
    <row r="2" spans="1:12" ht="21.75" customHeight="1" thickBot="1">
      <c r="A2" s="3479" t="str">
        <f>项目基本情况!S2</f>
        <v>北京市朝阳区朝阳门南大街10号房地产</v>
      </c>
      <c r="B2" s="3480"/>
      <c r="C2" s="3480"/>
      <c r="D2" s="3480"/>
      <c r="E2" s="3480"/>
      <c r="F2" s="3480"/>
      <c r="G2" s="3480"/>
      <c r="H2" s="3480"/>
      <c r="I2" s="3481"/>
    </row>
    <row r="3" spans="1:12" ht="13">
      <c r="A3" s="3483" t="s">
        <v>1705</v>
      </c>
      <c r="B3" s="3484"/>
      <c r="C3" s="3484"/>
      <c r="D3" s="3484"/>
      <c r="E3" s="3484"/>
      <c r="F3" s="3484"/>
      <c r="G3" s="3484"/>
      <c r="H3" s="3484"/>
      <c r="I3" s="3484"/>
    </row>
    <row r="4" spans="1:12" ht="14">
      <c r="A4" s="1889" t="s">
        <v>1706</v>
      </c>
      <c r="B4" s="1890" t="s">
        <v>1707</v>
      </c>
      <c r="C4" s="1891" t="s">
        <v>3749</v>
      </c>
      <c r="D4" s="1891" t="s">
        <v>3743</v>
      </c>
      <c r="E4" s="3485" t="s">
        <v>1708</v>
      </c>
      <c r="F4" s="3486"/>
      <c r="G4" s="3486"/>
      <c r="H4" s="3486"/>
      <c r="I4" s="34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459" t="s">
        <v>1709</v>
      </c>
      <c r="B5" s="3446">
        <v>25</v>
      </c>
      <c r="C5" s="3462"/>
      <c r="D5" s="3482"/>
      <c r="E5" s="136" t="s">
        <v>1710</v>
      </c>
      <c r="F5" s="1892"/>
      <c r="G5" s="1892"/>
      <c r="H5" s="1892"/>
      <c r="I5" s="1507"/>
    </row>
    <row r="6" spans="1:12" ht="13">
      <c r="A6" s="3459"/>
      <c r="B6" s="3446"/>
      <c r="C6" s="3463"/>
      <c r="D6" s="3482"/>
      <c r="E6" s="136" t="s">
        <v>1711</v>
      </c>
      <c r="F6" s="1892"/>
      <c r="G6" s="1892"/>
      <c r="H6" s="1892"/>
      <c r="I6" s="1507"/>
    </row>
    <row r="7" spans="1:12" ht="13">
      <c r="A7" s="3459"/>
      <c r="B7" s="3446"/>
      <c r="C7" s="3464"/>
      <c r="D7" s="3482"/>
      <c r="E7" s="136" t="s">
        <v>1712</v>
      </c>
      <c r="F7" s="1892"/>
      <c r="G7" s="1892"/>
      <c r="H7" s="1892"/>
      <c r="I7" s="1507"/>
    </row>
    <row r="8" spans="1:12" ht="13">
      <c r="A8" s="3459" t="s">
        <v>1713</v>
      </c>
      <c r="B8" s="3446">
        <v>15</v>
      </c>
      <c r="C8" s="3462"/>
      <c r="D8" s="3482"/>
      <c r="E8" s="136" t="s">
        <v>1714</v>
      </c>
      <c r="F8" s="1892"/>
      <c r="G8" s="1892"/>
      <c r="H8" s="1892"/>
      <c r="I8" s="1507"/>
    </row>
    <row r="9" spans="1:12" ht="13">
      <c r="A9" s="3459"/>
      <c r="B9" s="3446"/>
      <c r="C9" s="3464"/>
      <c r="D9" s="3482"/>
      <c r="E9" s="136" t="s">
        <v>1715</v>
      </c>
      <c r="F9" s="1892"/>
      <c r="G9" s="1892"/>
      <c r="H9" s="1892"/>
      <c r="I9" s="1507"/>
    </row>
    <row r="10" spans="1:12" ht="13">
      <c r="A10" s="3459" t="s">
        <v>1716</v>
      </c>
      <c r="B10" s="3446">
        <v>15</v>
      </c>
      <c r="C10" s="3462"/>
      <c r="D10" s="3482"/>
      <c r="E10" s="136" t="s">
        <v>1717</v>
      </c>
      <c r="F10" s="1892"/>
      <c r="G10" s="1892"/>
      <c r="H10" s="1892"/>
      <c r="I10" s="1507"/>
    </row>
    <row r="11" spans="1:12" ht="13">
      <c r="A11" s="3459"/>
      <c r="B11" s="3446"/>
      <c r="C11" s="3464"/>
      <c r="D11" s="3482"/>
      <c r="E11" s="136" t="s">
        <v>1718</v>
      </c>
      <c r="F11" s="1892"/>
      <c r="G11" s="1892"/>
      <c r="H11" s="1892"/>
      <c r="I11" s="1507"/>
    </row>
    <row r="12" spans="1:12" ht="13">
      <c r="A12" s="3459" t="s">
        <v>1719</v>
      </c>
      <c r="B12" s="3446">
        <v>15</v>
      </c>
      <c r="C12" s="3462"/>
      <c r="D12" s="3482"/>
      <c r="E12" s="136" t="s">
        <v>1720</v>
      </c>
      <c r="F12" s="1892"/>
      <c r="G12" s="1892"/>
      <c r="H12" s="1892"/>
      <c r="I12" s="1507"/>
    </row>
    <row r="13" spans="1:12" ht="13">
      <c r="A13" s="3459"/>
      <c r="B13" s="3446"/>
      <c r="C13" s="3464"/>
      <c r="D13" s="3482"/>
      <c r="E13" s="136" t="s">
        <v>1721</v>
      </c>
      <c r="F13" s="1892"/>
      <c r="G13" s="1892"/>
      <c r="H13" s="1892"/>
      <c r="I13" s="1507"/>
    </row>
    <row r="14" spans="1:12" ht="13">
      <c r="A14" s="3459" t="s">
        <v>1722</v>
      </c>
      <c r="B14" s="3446">
        <v>30</v>
      </c>
      <c r="C14" s="3462">
        <v>4</v>
      </c>
      <c r="D14" s="3482">
        <v>6</v>
      </c>
      <c r="E14" s="136" t="s">
        <v>1723</v>
      </c>
      <c r="F14" s="1892"/>
      <c r="G14" s="1892"/>
      <c r="H14" s="1892"/>
      <c r="I14" s="1507"/>
    </row>
    <row r="15" spans="1:12" ht="13">
      <c r="A15" s="3459"/>
      <c r="B15" s="3446"/>
      <c r="C15" s="3463"/>
      <c r="D15" s="3482"/>
      <c r="E15" s="136" t="s">
        <v>1724</v>
      </c>
      <c r="F15" s="1892"/>
      <c r="G15" s="1892"/>
      <c r="H15" s="1892"/>
      <c r="I15" s="1507"/>
    </row>
    <row r="16" spans="1:12" ht="13">
      <c r="A16" s="3459"/>
      <c r="B16" s="3446"/>
      <c r="C16" s="3464"/>
      <c r="D16" s="3482"/>
      <c r="E16" s="136" t="s">
        <v>1725</v>
      </c>
      <c r="F16" s="1892"/>
      <c r="G16" s="1892"/>
      <c r="H16" s="1892"/>
      <c r="I16" s="1507"/>
    </row>
    <row r="17" spans="1:36" ht="14">
      <c r="A17" s="1893" t="s">
        <v>1726</v>
      </c>
      <c r="B17" s="60"/>
      <c r="C17" s="137">
        <f>SUM(C5:C16)</f>
        <v>4</v>
      </c>
      <c r="D17" s="137">
        <f>SUM(D5:D16)</f>
        <v>6</v>
      </c>
      <c r="E17" s="134"/>
      <c r="F17" s="134"/>
      <c r="G17" s="134"/>
      <c r="H17" s="134"/>
      <c r="I17" s="134"/>
      <c r="K17" s="308"/>
      <c r="L17" s="308" t="s">
        <v>1727</v>
      </c>
      <c r="M17" s="308" t="s">
        <v>1728</v>
      </c>
    </row>
    <row r="18" spans="1:36" ht="32.15" customHeight="1" thickBot="1">
      <c r="A18" s="1894" t="s">
        <v>1729</v>
      </c>
      <c r="B18" s="1895"/>
      <c r="C18" s="138">
        <f>ROUND(C17/SUM(C17:D17),2)</f>
        <v>0.4</v>
      </c>
      <c r="D18" s="138">
        <f>1-C18</f>
        <v>0.6</v>
      </c>
      <c r="E18" s="3469" t="s">
        <v>2628</v>
      </c>
      <c r="F18" s="3470"/>
      <c r="G18" s="3470"/>
      <c r="H18" s="3470"/>
      <c r="I18" s="3470"/>
      <c r="K18" s="308" t="s">
        <v>1730</v>
      </c>
      <c r="L18" s="308">
        <f>IF(C1="",'数据-汇总表'!E3,SUMIF(项目类型,C1,'数据-汇总表'!E17:E26)+SUMIF(项目类型,C1,'数据-汇总表'!I17:I26))</f>
        <v>98604.219999999987</v>
      </c>
      <c r="M18" s="308">
        <f>IF(C1="",'数据-汇总表'!E3,SUMIF(项目类型,C1,'数据-汇总表'!E17:E26))</f>
        <v>98604.219999999987</v>
      </c>
    </row>
    <row r="19" spans="1:36" ht="14">
      <c r="A19" s="1896" t="s">
        <v>1731</v>
      </c>
      <c r="B19" s="1897" t="s">
        <v>1732</v>
      </c>
      <c r="C19" s="139" t="e">
        <f ca="1">SUMIF(INDIRECT("'"&amp;C4&amp;"'"&amp;"!A:A"),结果表!B19,INDIRECT("'"&amp;C4&amp;"'"&amp;"!B:B"))</f>
        <v>#REF!</v>
      </c>
      <c r="D19" s="140">
        <f ca="1">SUMIF(INDIRECT("'"&amp;D4&amp;"'"&amp;"!A:A"),结果表!B19,INDIRECT("'"&amp;D4&amp;"'"&amp;"!B:B"))</f>
        <v>29458</v>
      </c>
      <c r="E19" s="1896" t="s">
        <v>1733</v>
      </c>
      <c r="F19" s="1897" t="s">
        <v>1732</v>
      </c>
      <c r="G19" s="141" t="e">
        <f ca="1">ROUND(C19*$C$18+D19*$D$18,0)</f>
        <v>#REF!</v>
      </c>
      <c r="H19" s="1898" t="s">
        <v>1734</v>
      </c>
      <c r="I19" s="134"/>
      <c r="K19" s="308" t="s">
        <v>1735</v>
      </c>
      <c r="L19" s="308">
        <f>IF(C1="",'数据-汇总表'!D3,SUMIF(项目类型,C1,'数据-汇总表'!D17:D26)+SUMIF(项目类型,C1,'数据-汇总表'!H17:H27))</f>
        <v>5676.41</v>
      </c>
      <c r="M19" s="308">
        <f>IF(C1="",'数据-汇总表'!D3,SUMIF(项目类型,C1,'数据-汇总表'!D17:D26))</f>
        <v>5676.41</v>
      </c>
    </row>
    <row r="20" spans="1:36" ht="14">
      <c r="A20" s="1899"/>
      <c r="B20" s="1137" t="s">
        <v>1736</v>
      </c>
      <c r="C20" s="142" t="e">
        <f ca="1">SUMIF(INDIRECT("'"&amp;C4&amp;"'"&amp;"!A:A"),结果表!B20,INDIRECT("'"&amp;C4&amp;"'"&amp;"!B:B"))</f>
        <v>#REF!</v>
      </c>
      <c r="D20" s="143">
        <f ca="1">SUMIF(INDIRECT("'"&amp;D4&amp;"'"&amp;"!A:A"),结果表!B20,INDIRECT("'"&amp;D4&amp;"'"&amp;"!B:B"))</f>
        <v>11823</v>
      </c>
      <c r="E20" s="1899"/>
      <c r="F20" s="1137" t="s">
        <v>1736</v>
      </c>
      <c r="G20" s="144" t="e">
        <f ca="1">ROUND(C20*$C$18+D20*$D$18,0)</f>
        <v>#REF!</v>
      </c>
      <c r="H20" s="897" t="s">
        <v>1737</v>
      </c>
      <c r="I20" s="134"/>
    </row>
    <row r="21" spans="1:36" ht="15" customHeight="1" thickBot="1">
      <c r="A21" s="917"/>
      <c r="B21" s="1900" t="s">
        <v>1738</v>
      </c>
      <c r="C21" s="728" t="e">
        <f ca="1">ROUND(C19*10000/L19,0)</f>
        <v>#REF!</v>
      </c>
      <c r="D21" s="729">
        <f ca="1">ROUND(D19*10000/L19,0)</f>
        <v>51895</v>
      </c>
      <c r="E21" s="917"/>
      <c r="F21" s="1900" t="s">
        <v>1738</v>
      </c>
      <c r="G21" s="145" t="e">
        <f ca="1">ROUND(G19*10000/L19,0)</f>
        <v>#REF!</v>
      </c>
      <c r="H21" s="1901" t="s">
        <v>1737</v>
      </c>
      <c r="I21" s="134"/>
    </row>
    <row r="22" spans="1:36" ht="14.5" thickBot="1">
      <c r="A22" s="1823" t="s">
        <v>1739</v>
      </c>
      <c r="B22" s="1902"/>
      <c r="C22" s="1903"/>
      <c r="D22" s="730" t="e">
        <f ca="1">IF(C19&lt;D19,D19/C19-1,C19/D19-1)</f>
        <v>#REF!</v>
      </c>
      <c r="E22" s="134"/>
      <c r="F22" s="134"/>
      <c r="G22" s="134"/>
      <c r="H22" s="134"/>
      <c r="I22" s="134"/>
    </row>
    <row r="23" spans="1:36" ht="13" thickBot="1">
      <c r="A23" s="1882"/>
      <c r="B23" s="1882"/>
      <c r="C23" s="1882"/>
      <c r="D23" s="1882"/>
      <c r="E23" s="134"/>
      <c r="F23" s="134"/>
      <c r="G23" s="134"/>
      <c r="H23" s="134"/>
      <c r="I23" s="134"/>
    </row>
    <row r="24" spans="1:36" ht="14">
      <c r="A24" s="3453" t="s">
        <v>1740</v>
      </c>
      <c r="B24" s="1897" t="s">
        <v>1732</v>
      </c>
      <c r="C24" s="141">
        <f>IF(B30=0,0,D30)</f>
        <v>0</v>
      </c>
      <c r="D24" s="1904"/>
      <c r="E24" s="134"/>
      <c r="F24" s="134"/>
      <c r="G24" s="134"/>
      <c r="H24" s="134"/>
      <c r="I24" s="134"/>
    </row>
    <row r="25" spans="1:36" ht="14">
      <c r="A25" s="3454"/>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t="e">
        <f ca="1">IF(D32="总价",G19-C24,G20-C25)</f>
        <v>#REF!</v>
      </c>
      <c r="D32" s="1910" t="s">
        <v>3744</v>
      </c>
      <c r="E32" s="134"/>
      <c r="F32" s="134"/>
      <c r="G32" s="134"/>
      <c r="H32" s="134"/>
      <c r="I32" s="134"/>
    </row>
    <row r="33" spans="1:15" ht="14">
      <c r="A33" s="874" t="s">
        <v>1747</v>
      </c>
      <c r="B33" s="1911"/>
      <c r="C33" s="1912" t="s">
        <v>3745</v>
      </c>
      <c r="D33" s="1913" t="s">
        <v>3742</v>
      </c>
      <c r="E33" s="1914" t="s">
        <v>1748</v>
      </c>
      <c r="F33" s="1915" t="str">
        <f>IF(D32="楼面单价","取值（单价）","取值（总价）")</f>
        <v>取值（总价）</v>
      </c>
      <c r="G33" s="134"/>
      <c r="H33" s="134"/>
      <c r="I33" s="134"/>
    </row>
    <row r="34" spans="1:15" ht="14">
      <c r="A34" s="1916"/>
      <c r="B34" s="1917" t="s">
        <v>1749</v>
      </c>
      <c r="C34" s="153" t="e">
        <f ca="1">IF(C33="自定义",F34,C32-C35)</f>
        <v>#REF!</v>
      </c>
      <c r="D34" s="950">
        <f ca="1">IF(C33="自定义",ROUND(C34/C32,3),IF(C33="收益比率",SUMIF(INDIRECT("'"&amp;D33&amp;"'"&amp;"!b:b"),"土地收益比率",INDIRECT("'"&amp;D33&amp;"'"&amp;"!c:c")),SUMIF(INDIRECT("'"&amp;D33&amp;"'"&amp;"!b:b"),"土地成本比率",INDIRECT("'"&amp;D33&amp;"'"&amp;"!c:c"))))</f>
        <v>0.80600000000000005</v>
      </c>
      <c r="E34" s="1918" t="s">
        <v>1750</v>
      </c>
      <c r="F34" s="1450"/>
      <c r="G34" s="134"/>
      <c r="H34" s="134"/>
      <c r="I34" s="134"/>
    </row>
    <row r="35" spans="1:15" ht="14.5" thickBot="1">
      <c r="A35" s="1919"/>
      <c r="B35" s="1920" t="s">
        <v>1751</v>
      </c>
      <c r="C35" s="1284" t="e">
        <f ca="1">IF(C33="自定义",F35,ROUND(C32*D35,0))</f>
        <v>#REF!</v>
      </c>
      <c r="D35" s="1285">
        <f ca="1">IF(C33="自定义",ROUND(C35/C32,3),IF(C33="收益比率",SUMIF(INDIRECT("'"&amp;D33&amp;"'"&amp;"!b:b"),"建筑物收益比率",INDIRECT("'"&amp;D33&amp;"'"&amp;"!c:c")),SUMIF(INDIRECT("'"&amp;D33&amp;"'"&amp;"!b:b"),"建筑物成本比率",INDIRECT("'"&amp;D33&amp;"'"&amp;"!c:c"))))</f>
        <v>0.19400000000000001</v>
      </c>
      <c r="E35" s="1921" t="s">
        <v>1752</v>
      </c>
      <c r="F35" s="159"/>
      <c r="G35" s="134"/>
      <c r="H35" s="134"/>
      <c r="I35" s="134"/>
    </row>
    <row r="36" spans="1:15" ht="14.5" thickBot="1">
      <c r="A36" s="3473" t="s">
        <v>1753</v>
      </c>
      <c r="B36" s="1922" t="s">
        <v>1754</v>
      </c>
      <c r="C36" s="150"/>
      <c r="D36" s="1923"/>
      <c r="E36" s="1924"/>
      <c r="F36" s="1925"/>
      <c r="G36" s="134"/>
      <c r="H36" s="134"/>
      <c r="I36" s="134"/>
    </row>
    <row r="37" spans="1:15" ht="14.5" thickBot="1">
      <c r="A37" s="3474"/>
      <c r="B37" s="1809" t="s">
        <v>1755</v>
      </c>
      <c r="C37" s="152"/>
      <c r="D37" s="1253"/>
      <c r="E37" s="1253"/>
      <c r="F37" s="1925"/>
      <c r="G37" s="134"/>
      <c r="H37" s="134"/>
      <c r="I37" s="134"/>
    </row>
    <row r="38" spans="1:15" ht="14.5" thickBot="1">
      <c r="A38" s="3475"/>
      <c r="B38" s="1926" t="s">
        <v>1756</v>
      </c>
      <c r="C38" s="683"/>
      <c r="D38" s="1927" t="s">
        <v>1757</v>
      </c>
      <c r="E38" s="1253"/>
      <c r="F38" s="1925"/>
      <c r="G38" s="134"/>
      <c r="H38" s="134"/>
      <c r="I38" s="134"/>
    </row>
    <row r="39" spans="1:15" ht="14">
      <c r="A39" s="1899" t="s">
        <v>1758</v>
      </c>
      <c r="B39" s="1928" t="s">
        <v>1759</v>
      </c>
      <c r="C39" s="1929" t="s">
        <v>1760</v>
      </c>
      <c r="D39" s="1929" t="s">
        <v>1761</v>
      </c>
      <c r="E39" s="1930" t="s">
        <v>1762</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0" t="s">
        <v>1767</v>
      </c>
      <c r="B45" s="3451"/>
      <c r="C45" s="3452"/>
      <c r="D45" s="160" t="e">
        <f ca="1">ROUND(H101*F45,0)</f>
        <v>#REF!</v>
      </c>
      <c r="E45" s="161" t="s">
        <v>1768</v>
      </c>
      <c r="F45" s="162">
        <v>1</v>
      </c>
      <c r="G45" s="163" t="s">
        <v>1769</v>
      </c>
      <c r="H45" s="134"/>
      <c r="I45" s="134"/>
      <c r="J45" s="3526" t="s">
        <v>1770</v>
      </c>
      <c r="K45" s="3526"/>
      <c r="L45" s="3526"/>
      <c r="M45" s="3526"/>
      <c r="N45" s="3526"/>
      <c r="O45" s="3526"/>
    </row>
    <row r="46" spans="1:15" ht="14.25" customHeight="1">
      <c r="A46" s="3447" t="s">
        <v>1771</v>
      </c>
      <c r="B46" s="3448"/>
      <c r="C46" s="3448"/>
      <c r="D46" s="3448"/>
      <c r="E46" s="3448"/>
      <c r="F46" s="3448"/>
      <c r="G46" s="3449"/>
      <c r="H46" s="1941"/>
      <c r="I46" s="164"/>
      <c r="J46" s="2695">
        <v>1</v>
      </c>
      <c r="K46" s="3507" t="s">
        <v>1772</v>
      </c>
      <c r="L46" s="3507"/>
      <c r="M46" s="3527"/>
      <c r="N46" s="3527"/>
      <c r="O46" s="3527"/>
    </row>
    <row r="47" spans="1:15" ht="12" customHeight="1">
      <c r="A47" s="165" t="s">
        <v>1773</v>
      </c>
      <c r="B47" s="166"/>
      <c r="C47" s="167"/>
      <c r="D47" s="1199" t="s">
        <v>1774</v>
      </c>
      <c r="E47" s="308" t="s">
        <v>1775</v>
      </c>
      <c r="F47" s="168" t="s">
        <v>1776</v>
      </c>
      <c r="G47" s="2718" t="s">
        <v>1777</v>
      </c>
      <c r="H47" s="2719"/>
      <c r="I47" s="164"/>
      <c r="J47" s="2695">
        <v>2</v>
      </c>
      <c r="K47" s="3507" t="s">
        <v>1778</v>
      </c>
      <c r="L47" s="3507"/>
      <c r="M47" s="3528">
        <f>'数据-取费表'!B2</f>
        <v>44691</v>
      </c>
      <c r="N47" s="3528"/>
      <c r="O47" s="3528"/>
    </row>
    <row r="48" spans="1:15" ht="26">
      <c r="A48" s="3478" t="s">
        <v>1779</v>
      </c>
      <c r="B48" s="3461"/>
      <c r="C48" s="3461"/>
      <c r="D48" s="2496" t="b">
        <f>IF(H48="情况1",0,IF(H48="情况2",D52,IF(H48="情况3",D53,IF(H48="情况4",D54))))</f>
        <v>0</v>
      </c>
      <c r="E48" s="2506" t="str">
        <f>IF(H48="情况4","(销售额-原购置价)×税（费）率","销售额×税（费）率")</f>
        <v>销售额×税（费）率</v>
      </c>
      <c r="F48" s="2720">
        <f>IF(H48="情况1","免征",'数据-取费表'!B41)</f>
        <v>5.6000000000000001E-2</v>
      </c>
      <c r="G48" s="2721" t="s">
        <v>1780</v>
      </c>
      <c r="H48" s="2722"/>
      <c r="I48" s="1941"/>
      <c r="J48" s="2695">
        <v>3</v>
      </c>
      <c r="K48" s="3507" t="s">
        <v>1781</v>
      </c>
      <c r="L48" s="3507"/>
      <c r="M48" s="3529" t="e">
        <f ca="1">H101</f>
        <v>#REF!</v>
      </c>
      <c r="N48" s="3529"/>
      <c r="O48" s="3529"/>
    </row>
    <row r="49" spans="1:35" ht="25.5" customHeight="1">
      <c r="A49" s="2505" t="s">
        <v>1782</v>
      </c>
      <c r="B49" s="3445" t="s">
        <v>1783</v>
      </c>
      <c r="C49" s="3445"/>
      <c r="D49" s="1725">
        <v>0</v>
      </c>
      <c r="E49" s="330" t="s">
        <v>1784</v>
      </c>
      <c r="F49" s="2596" t="s">
        <v>34</v>
      </c>
      <c r="G49" s="3513"/>
      <c r="H49" s="2477" t="s">
        <v>2631</v>
      </c>
      <c r="I49" s="2478"/>
      <c r="J49" s="2695">
        <v>4</v>
      </c>
      <c r="K49" s="3507" t="str">
        <f>IF(项目基本情况!E8="房地产抵押价值","房地产抵押价值","抵押担保权已注销时的房地产抵押价值")</f>
        <v>房地产抵押价值</v>
      </c>
      <c r="L49" s="3507"/>
      <c r="M49" s="3529" t="e">
        <f ca="1">IF(项目基本情况!E8="房地产抵押价值",H107,H109)</f>
        <v>#REF!</v>
      </c>
      <c r="N49" s="3529"/>
      <c r="O49" s="3529"/>
    </row>
    <row r="50" spans="1:35" ht="25.5" customHeight="1">
      <c r="A50" s="2723"/>
      <c r="B50" s="3445" t="s">
        <v>1785</v>
      </c>
      <c r="C50" s="3445"/>
      <c r="D50" s="2724"/>
      <c r="E50" s="338"/>
      <c r="F50" s="2596"/>
      <c r="G50" s="3514"/>
      <c r="H50" s="2479" t="s">
        <v>2632</v>
      </c>
      <c r="I50" s="2478"/>
      <c r="J50" s="3526" t="s">
        <v>1786</v>
      </c>
      <c r="K50" s="3526"/>
      <c r="L50" s="3526"/>
      <c r="M50" s="3526"/>
      <c r="N50" s="3526"/>
      <c r="O50" s="3526"/>
    </row>
    <row r="51" spans="1:35" ht="20.5" customHeight="1">
      <c r="A51" s="2725"/>
      <c r="B51" s="3445" t="s">
        <v>1787</v>
      </c>
      <c r="C51" s="3445"/>
      <c r="D51" s="1199"/>
      <c r="E51" s="333"/>
      <c r="F51" s="2596"/>
      <c r="G51" s="3515"/>
      <c r="H51" s="2479" t="s">
        <v>2633</v>
      </c>
      <c r="I51" s="2478"/>
      <c r="J51" s="2696" t="s">
        <v>1788</v>
      </c>
      <c r="K51" s="3507" t="s">
        <v>1789</v>
      </c>
      <c r="L51" s="3507"/>
      <c r="M51" s="2696" t="s">
        <v>1790</v>
      </c>
      <c r="N51" s="2696" t="s">
        <v>1791</v>
      </c>
      <c r="O51" s="2696" t="s">
        <v>1792</v>
      </c>
    </row>
    <row r="52" spans="1:35" ht="24" customHeight="1">
      <c r="A52" s="2507" t="s">
        <v>1793</v>
      </c>
      <c r="B52" s="3445" t="s">
        <v>1794</v>
      </c>
      <c r="C52" s="3445"/>
      <c r="D52" s="1199" t="e">
        <f ca="1">ROUND(D45*'数据-取费表'!B41/(1+'数据-取费表'!C42),0)</f>
        <v>#REF!</v>
      </c>
      <c r="E52" s="2506" t="s">
        <v>1795</v>
      </c>
      <c r="F52" s="2726">
        <f>'数据-取费表'!B41</f>
        <v>5.6000000000000001E-2</v>
      </c>
      <c r="G52" s="2727"/>
      <c r="H52" s="2716"/>
      <c r="I52" s="1942"/>
      <c r="J52" s="2695">
        <v>1</v>
      </c>
      <c r="K52" s="3508" t="s">
        <v>1796</v>
      </c>
      <c r="L52" s="3508"/>
      <c r="M52" s="2697" t="b">
        <f>D48</f>
        <v>0</v>
      </c>
      <c r="N52" s="2695" t="str">
        <f>E48</f>
        <v>销售额×税（费）率</v>
      </c>
      <c r="O52" s="2698">
        <f>F48</f>
        <v>5.6000000000000001E-2</v>
      </c>
    </row>
    <row r="53" spans="1:35" ht="12" customHeight="1">
      <c r="A53" s="2507" t="s">
        <v>1797</v>
      </c>
      <c r="B53" s="3471" t="s">
        <v>2788</v>
      </c>
      <c r="C53" s="3472"/>
      <c r="D53" s="1199" t="e">
        <f ca="1">ROUND(D45*'数据-取费表'!B41/(1+'数据-取费表'!C42),0)</f>
        <v>#REF!</v>
      </c>
      <c r="E53" s="2506" t="s">
        <v>1795</v>
      </c>
      <c r="F53" s="2726">
        <f>'数据-取费表'!B41</f>
        <v>5.6000000000000001E-2</v>
      </c>
      <c r="G53" s="2727"/>
      <c r="H53" s="2716"/>
      <c r="I53" s="1942"/>
      <c r="J53" s="2695">
        <v>2</v>
      </c>
      <c r="K53" s="3508" t="s">
        <v>1798</v>
      </c>
      <c r="L53" s="3508"/>
      <c r="M53" s="2697" t="e">
        <f t="shared" ref="M53:O54" ca="1" si="0">D55</f>
        <v>#REF!</v>
      </c>
      <c r="N53" s="2695" t="str">
        <f t="shared" si="0"/>
        <v>销售额×税（费）率</v>
      </c>
      <c r="O53" s="2698" t="str">
        <f t="shared" si="0"/>
        <v>免征</v>
      </c>
    </row>
    <row r="54" spans="1:35" ht="12" customHeight="1">
      <c r="A54" s="2507" t="s">
        <v>1799</v>
      </c>
      <c r="B54" s="3471" t="s">
        <v>2789</v>
      </c>
      <c r="C54" s="3472"/>
      <c r="D54" s="1199" t="e">
        <f ca="1">C68</f>
        <v>#REF!</v>
      </c>
      <c r="E54" s="333" t="s">
        <v>1800</v>
      </c>
      <c r="F54" s="2726">
        <f>'数据-取费表'!B41</f>
        <v>5.6000000000000001E-2</v>
      </c>
      <c r="G54" s="2727"/>
      <c r="H54" s="2728"/>
      <c r="I54" s="1942"/>
      <c r="J54" s="2695">
        <v>3</v>
      </c>
      <c r="K54" s="3508" t="s">
        <v>1801</v>
      </c>
      <c r="L54" s="3508"/>
      <c r="M54" s="2697" t="e">
        <f t="shared" ca="1" si="0"/>
        <v>#REF!</v>
      </c>
      <c r="N54" s="2695" t="str">
        <f t="shared" si="0"/>
        <v>增值额×税（费）率</v>
      </c>
      <c r="O54" s="2699" t="str">
        <f t="shared" si="0"/>
        <v>免征</v>
      </c>
    </row>
    <row r="55" spans="1:35" ht="24" customHeight="1">
      <c r="A55" s="3460" t="s">
        <v>1802</v>
      </c>
      <c r="B55" s="3461"/>
      <c r="C55" s="3461"/>
      <c r="D55" s="2496" t="e">
        <f ca="1">IF(H55="个人住宅",0,ROUND(D45*I55,0))</f>
        <v>#REF!</v>
      </c>
      <c r="E55" s="2506" t="s">
        <v>1803</v>
      </c>
      <c r="F55" s="2726" t="str">
        <f>IF(H55="正常",I55,"免征")</f>
        <v>免征</v>
      </c>
      <c r="G55" s="2727"/>
      <c r="H55" s="2722"/>
      <c r="I55" s="170">
        <f>'数据-取费表'!B49</f>
        <v>5.0000000000000001E-4</v>
      </c>
      <c r="J55" s="2695">
        <f>IF(H59="非个人房产","",4)</f>
        <v>4</v>
      </c>
      <c r="K55" s="3508" t="str">
        <f>IF(H59="非个人房产","——","个人所得税")</f>
        <v>个人所得税</v>
      </c>
      <c r="L55" s="3508"/>
      <c r="M55" s="2700" t="e">
        <f ca="1">D59</f>
        <v>#REF!</v>
      </c>
      <c r="N55" s="2177" t="str">
        <f>E59</f>
        <v>差额计税</v>
      </c>
      <c r="O55" s="2701">
        <f>F59</f>
        <v>0.01</v>
      </c>
    </row>
    <row r="56" spans="1:35" ht="26">
      <c r="A56" s="3460" t="s">
        <v>1804</v>
      </c>
      <c r="B56" s="3461"/>
      <c r="C56" s="3461"/>
      <c r="D56" s="2496" t="e">
        <f ca="1">IF(H56="个人住宅",D57,D58)</f>
        <v>#REF!</v>
      </c>
      <c r="E56" s="2506" t="s">
        <v>1805</v>
      </c>
      <c r="F56" s="2726" t="str">
        <f>IF(H56="正常",F58,"免征")</f>
        <v>免征</v>
      </c>
      <c r="G56" s="2729" t="s">
        <v>1806</v>
      </c>
      <c r="H56" s="2730"/>
      <c r="I56" s="1943"/>
      <c r="J56" s="2695" t="str">
        <f>IF(项目基本情况!K6="上海银行",IF(J55="",4,J55+1),"")</f>
        <v/>
      </c>
      <c r="K56" s="3531" t="str">
        <f>IF(项目基本情况!K6="上海银行","其他处置费用","")</f>
        <v/>
      </c>
      <c r="L56" s="3532"/>
      <c r="M56" s="2697" t="str">
        <f>IF(项目基本情况!K6="上海银行",M69,"")</f>
        <v/>
      </c>
      <c r="N56" s="3531" t="str">
        <f>IF(项目基本情况!K6="上海银行","包含处置中涉及的律师、诉讼、拍卖、评估等费用","")</f>
        <v/>
      </c>
      <c r="O56" s="3534"/>
    </row>
    <row r="57" spans="1:35" ht="13">
      <c r="A57" s="2507" t="s">
        <v>1782</v>
      </c>
      <c r="B57" s="3471" t="s">
        <v>1807</v>
      </c>
      <c r="C57" s="3472"/>
      <c r="D57" s="1725">
        <v>0</v>
      </c>
      <c r="E57" s="330" t="s">
        <v>1784</v>
      </c>
      <c r="F57" s="308"/>
      <c r="G57" s="2727"/>
      <c r="H57" s="2731"/>
      <c r="I57" s="1943"/>
      <c r="J57" s="3508">
        <f>IF(AND(J55="",J56=""),4,IF(项目基本情况!K6="上海银行",结果表!J56+1,结果表!J55+1))</f>
        <v>5</v>
      </c>
      <c r="K57" s="3508" t="s">
        <v>1808</v>
      </c>
      <c r="L57" s="2702" t="s">
        <v>1809</v>
      </c>
      <c r="M57" s="2703"/>
      <c r="N57" s="2704">
        <f ca="1">SUMIF(M52:M56,"&lt;9e307")</f>
        <v>0</v>
      </c>
      <c r="O57" s="2705"/>
      <c r="P57" s="2864" t="e">
        <f ca="1">N57/M49</f>
        <v>#REF!</v>
      </c>
    </row>
    <row r="58" spans="1:35" ht="26">
      <c r="A58" s="2507" t="s">
        <v>1793</v>
      </c>
      <c r="B58" s="3471" t="s">
        <v>1810</v>
      </c>
      <c r="C58" s="3445"/>
      <c r="D58" s="2496" t="e">
        <f ca="1">IF(H58="转让取得",C81,C97)</f>
        <v>#REF!</v>
      </c>
      <c r="E58" s="2506" t="s">
        <v>1805</v>
      </c>
      <c r="F58" s="308" t="s">
        <v>34</v>
      </c>
      <c r="G58" s="2727"/>
      <c r="H58" s="2730"/>
      <c r="I58" s="1943"/>
      <c r="J58" s="3508"/>
      <c r="K58" s="3508"/>
      <c r="L58" s="2702" t="s">
        <v>1811</v>
      </c>
      <c r="M58" s="2706"/>
      <c r="N58" s="2707" t="str">
        <f ca="1">NUMBERSTRING(INT(N57*10000),2)&amp;"元整"</f>
        <v>零元整</v>
      </c>
      <c r="O58" s="2708"/>
    </row>
    <row r="59" spans="1:35" ht="26.5" thickBot="1">
      <c r="A59" s="3511" t="s">
        <v>1812</v>
      </c>
      <c r="B59" s="3512"/>
      <c r="C59" s="3512"/>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509">
        <f>J57+1</f>
        <v>6</v>
      </c>
      <c r="K59" s="3508" t="s">
        <v>1813</v>
      </c>
      <c r="L59" s="2695" t="s">
        <v>1809</v>
      </c>
      <c r="M59" s="2709"/>
      <c r="N59" s="2710" t="e">
        <f ca="1">M49-N57</f>
        <v>#REF!</v>
      </c>
      <c r="O59" s="2711"/>
    </row>
    <row r="60" spans="1:35" ht="12" customHeight="1">
      <c r="A60" s="1944"/>
      <c r="B60" s="1882"/>
      <c r="C60" s="1882"/>
      <c r="D60" s="1882"/>
      <c r="E60" s="1713"/>
      <c r="F60" s="1943"/>
      <c r="G60" s="1943"/>
      <c r="H60" s="1945"/>
      <c r="I60" s="134"/>
      <c r="J60" s="3510"/>
      <c r="K60" s="3508"/>
      <c r="L60" s="2702" t="s">
        <v>1811</v>
      </c>
      <c r="M60" s="2706"/>
      <c r="N60" s="2707" t="e">
        <f ca="1">NUMBERSTRING(INT(N59*10000),2)&amp;"元整"</f>
        <v>#REF!</v>
      </c>
      <c r="O60" s="2708"/>
    </row>
    <row r="61" spans="1:35" ht="13.5" thickBot="1">
      <c r="A61" s="3458" t="s">
        <v>1814</v>
      </c>
      <c r="B61" s="3458"/>
      <c r="C61" s="3458"/>
      <c r="D61" s="3458"/>
      <c r="E61" s="3458"/>
      <c r="F61" s="1943"/>
      <c r="G61" s="1943"/>
      <c r="H61" s="1945"/>
      <c r="I61" s="134"/>
      <c r="J61" s="2695">
        <f>J59+1</f>
        <v>7</v>
      </c>
      <c r="K61" s="3508" t="s">
        <v>1815</v>
      </c>
      <c r="L61" s="3508"/>
      <c r="M61" s="2712"/>
      <c r="N61" s="2713" t="e">
        <f ca="1">ROUND(N59*10000/'数据-汇总表'!E3,0)</f>
        <v>#REF!</v>
      </c>
      <c r="O61" s="2714"/>
    </row>
    <row r="62" spans="1:35" ht="13">
      <c r="A62" s="3476" t="s">
        <v>1816</v>
      </c>
      <c r="B62" s="3477"/>
      <c r="C62" s="2158"/>
      <c r="D62" s="2158" t="s">
        <v>1817</v>
      </c>
      <c r="E62" s="171" t="s">
        <v>1818</v>
      </c>
      <c r="F62" s="1943"/>
      <c r="G62" s="1943"/>
      <c r="H62" s="1945"/>
      <c r="I62" s="134"/>
    </row>
    <row r="63" spans="1:35" ht="13">
      <c r="A63" s="178" t="s">
        <v>594</v>
      </c>
      <c r="B63" s="172" t="s">
        <v>1819</v>
      </c>
      <c r="C63" s="2736" t="e">
        <f ca="1">ROUND((C64+C65)/(1+'数据-取费表'!C42),0)</f>
        <v>#REF!</v>
      </c>
      <c r="D63" s="172"/>
      <c r="E63" s="173"/>
      <c r="F63" s="1943"/>
      <c r="G63" s="1943"/>
      <c r="H63" s="1945"/>
      <c r="I63" s="134"/>
      <c r="J63" s="3533" t="s">
        <v>1820</v>
      </c>
      <c r="K63" s="1452" t="s">
        <v>1821</v>
      </c>
      <c r="L63" s="1452" t="e">
        <f ca="1">IF(M49&gt;10000,M49*0.5%,IF(AND(M49&gt;1000,M49&lt;=10000),M49*1%,IF(AND(M49&gt;100,M49&lt;=1000),M49*3%,IF(AND(M49&gt;10,M49&lt;=100),M49*5%,M49*8%))))</f>
        <v>#REF!</v>
      </c>
      <c r="M63" s="308" t="e">
        <f ca="1">ROUND(L63,1)</f>
        <v>#REF!</v>
      </c>
      <c r="N63" s="2715"/>
      <c r="Z63" s="1887"/>
      <c r="AI63" s="1888"/>
    </row>
    <row r="64" spans="1:35" ht="14.25" customHeight="1">
      <c r="A64" s="174" t="s">
        <v>589</v>
      </c>
      <c r="B64" s="175" t="s">
        <v>1822</v>
      </c>
      <c r="C64" s="2737" t="e">
        <f ca="1">D45</f>
        <v>#REF!</v>
      </c>
      <c r="D64" s="175" t="s">
        <v>32</v>
      </c>
      <c r="E64" s="177"/>
      <c r="F64" s="1943"/>
      <c r="G64" s="1943"/>
      <c r="H64" s="1945"/>
      <c r="I64" s="134"/>
      <c r="J64" s="3533"/>
      <c r="K64" s="1452" t="s">
        <v>1823</v>
      </c>
      <c r="L64" s="1452" t="e">
        <f ca="1">IF(M49&gt;2000,M49*0.5%,IF(AND(M49&gt;1000,M49&lt;=2000),M49*0.6%,IF(AND(M49&gt;500,M49&lt;=1000),M49*0.7%,IF(AND(M49&gt;200,M49&lt;=500),M49*0.8%,IF(AND(M49&gt;100,M49&lt;=200),M49*0.9%,IF(AND(M49&gt;50,M49&lt;=100),M49*1%,IF(AND(M49&gt;20,M49&lt;=50),M49*1.5%,IF(AND(M49&gt;10,M49&lt;=20),M49*2%,IF(AND(M49&gt;1,M49&lt;=10),M49*2.5%)))))))))</f>
        <v>#REF!</v>
      </c>
      <c r="M64" s="308" t="e">
        <f t="shared" ref="M64:M65" ca="1" si="1">ROUND(L64,1)</f>
        <v>#REF!</v>
      </c>
      <c r="N64" s="2716" t="s">
        <v>1824</v>
      </c>
      <c r="Z64" s="1887"/>
      <c r="AI64" s="1888"/>
    </row>
    <row r="65" spans="1:35" ht="14.25" customHeight="1">
      <c r="A65" s="174" t="s">
        <v>590</v>
      </c>
      <c r="B65" s="175" t="s">
        <v>1825</v>
      </c>
      <c r="C65" s="2738"/>
      <c r="D65" s="175"/>
      <c r="E65" s="177"/>
      <c r="F65" s="1943"/>
      <c r="G65" s="1943"/>
      <c r="H65" s="1945"/>
      <c r="I65" s="134"/>
      <c r="J65" s="3533"/>
      <c r="K65" s="1452" t="s">
        <v>1826</v>
      </c>
      <c r="L65" s="1452" t="e">
        <f ca="1">IF(M49&gt;1000,M49*0.1%,IF(AND(M49&gt;500,M49&lt;=1000),M49*0.5%,IF(AND(M49&gt;50,M49&lt;=500),M49*1%,IF(AND(M49&gt;1,M49&lt;=50),M49*1.5%))))</f>
        <v>#REF!</v>
      </c>
      <c r="M65" s="308" t="e">
        <f t="shared" ca="1" si="1"/>
        <v>#REF!</v>
      </c>
      <c r="N65" s="2716" t="s">
        <v>1824</v>
      </c>
      <c r="Z65" s="1887"/>
      <c r="AI65" s="1888"/>
    </row>
    <row r="66" spans="1:35" ht="14.25" customHeight="1">
      <c r="A66" s="178" t="s">
        <v>591</v>
      </c>
      <c r="B66" s="179" t="s">
        <v>1827</v>
      </c>
      <c r="C66" s="2739"/>
      <c r="D66" s="179" t="s">
        <v>32</v>
      </c>
      <c r="E66" s="1459" t="s">
        <v>1092</v>
      </c>
      <c r="F66" s="1943"/>
      <c r="G66" s="1943"/>
      <c r="H66" s="1945"/>
      <c r="I66" s="134"/>
      <c r="J66" s="3533"/>
      <c r="K66" s="1452" t="s">
        <v>1828</v>
      </c>
      <c r="L66" s="1452" t="e">
        <f ca="1">M49*0.5%</f>
        <v>#REF!</v>
      </c>
      <c r="M66" s="308" t="e">
        <f ca="1">IF(L66&gt;0.5,0.5,ROUND(L66,0))</f>
        <v>#REF!</v>
      </c>
      <c r="N66" s="2716" t="s">
        <v>1829</v>
      </c>
      <c r="Z66" s="1887"/>
      <c r="AI66" s="1888"/>
    </row>
    <row r="67" spans="1:35" ht="14.25" customHeight="1">
      <c r="A67" s="178" t="s">
        <v>592</v>
      </c>
      <c r="B67" s="179" t="s">
        <v>1830</v>
      </c>
      <c r="C67" s="2740" t="e">
        <f ca="1">C63-C66</f>
        <v>#REF!</v>
      </c>
      <c r="D67" s="175" t="s">
        <v>32</v>
      </c>
      <c r="E67" s="177"/>
      <c r="F67" s="1943"/>
      <c r="G67" s="1943"/>
      <c r="H67" s="1945"/>
      <c r="I67" s="134"/>
      <c r="J67" s="3533"/>
      <c r="K67" s="1452" t="s">
        <v>1831</v>
      </c>
      <c r="L67" s="1452" t="e">
        <f ca="1">IF(M49&gt;=10000,(8.25+(M49-10000)*0.01%),IF(AND(M49&gt;=8000,M49&lt;10000),(7.85+(M49-8000)*0.02%),IF(AND(M49&gt;=5000,M49&lt;8000),(6.65+(M49-5000)*0.04%),IF(AND(M49&gt;=2000,M49&lt;5000),(4.25+(PM49-2000)*0.08%),IF(AND(M49&gt;=1000,M49&lt;2000),(2.75+(M49-1000)*0.15%),IF(AND(M49&gt;=100,M49&lt;1000),(0.5+(M49-100)*0.25%),IF(AND(M49&gt;0,M49&lt;100),M49*0.5%)))))))</f>
        <v>#REF!</v>
      </c>
      <c r="M67" s="308" t="e">
        <f ca="1">ROUND(L67*0.9,1)</f>
        <v>#REF!</v>
      </c>
      <c r="N67" s="2715"/>
      <c r="Z67" s="1887"/>
      <c r="AI67" s="1888"/>
    </row>
    <row r="68" spans="1:35" ht="14.25" customHeight="1" thickBot="1">
      <c r="A68" s="181" t="s">
        <v>593</v>
      </c>
      <c r="B68" s="182" t="s">
        <v>1832</v>
      </c>
      <c r="C68" s="2741" t="e">
        <f ca="1">IF(C67&lt;=0,0,ROUND(C67*D68,0))</f>
        <v>#REF!</v>
      </c>
      <c r="D68" s="2742">
        <f>'数据-取费表'!B41</f>
        <v>5.6000000000000001E-2</v>
      </c>
      <c r="E68" s="184"/>
      <c r="F68" s="1943"/>
      <c r="G68" s="1943"/>
      <c r="H68" s="1945"/>
      <c r="I68" s="134"/>
      <c r="J68" s="3533"/>
      <c r="K68" s="1452" t="s">
        <v>1833</v>
      </c>
      <c r="L68" s="1452" t="e">
        <f ca="1">IF(M49&gt;10000,M49*0.5%,IF(AND(M49&gt;5000,M49&lt;=10000),M49*1%,IF(AND(M49&gt;1000,M49&lt;=5000),M49*2%,IF(AND(M49&gt;200,M49&lt;=1000),M49*3%,M49*5%))))</f>
        <v>#REF!</v>
      </c>
      <c r="M68" s="308" t="e">
        <f ca="1">ROUND(L68,1)</f>
        <v>#REF!</v>
      </c>
      <c r="N68" s="2715"/>
      <c r="Z68" s="1887"/>
      <c r="AI68" s="1888"/>
    </row>
    <row r="69" spans="1:35" s="1907" customFormat="1" ht="16.5" customHeight="1">
      <c r="A69" s="1946"/>
      <c r="B69" s="1947"/>
      <c r="C69" s="1948"/>
      <c r="D69" s="1949"/>
      <c r="E69" s="1950"/>
      <c r="F69" s="1713"/>
      <c r="G69" s="1713"/>
      <c r="H69" s="1712"/>
      <c r="I69" s="1882"/>
      <c r="J69" s="3533"/>
      <c r="K69" s="1452" t="s">
        <v>1834</v>
      </c>
      <c r="L69" s="1452"/>
      <c r="M69" s="308" t="e">
        <f ca="1">ROUND(SUM(M63:M68),0)</f>
        <v>#REF!</v>
      </c>
      <c r="N69" s="2717" t="e">
        <f ca="1">M69/M49</f>
        <v>#REF!</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5" t="s">
        <v>1835</v>
      </c>
      <c r="B70" s="3496"/>
      <c r="C70" s="3496"/>
      <c r="D70" s="3496"/>
      <c r="E70" s="3496"/>
      <c r="F70" s="3496"/>
      <c r="G70" s="3496"/>
      <c r="H70" s="3496"/>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76" t="s">
        <v>1816</v>
      </c>
      <c r="B71" s="3477"/>
      <c r="C71" s="2158"/>
      <c r="D71" s="2158"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t="e">
        <f ca="1">ROUND(D45/(1+'数据-取费表'!C42),0)</f>
        <v>#REF!</v>
      </c>
      <c r="D72" s="175" t="s">
        <v>32</v>
      </c>
      <c r="E72" s="2503"/>
      <c r="F72" s="2502"/>
      <c r="G72" s="2502"/>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t="e">
        <f ca="1">C74+C78</f>
        <v>#REF!</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71" t="s">
        <v>1843</v>
      </c>
      <c r="F76" s="3445"/>
      <c r="G76" s="3445"/>
      <c r="H76" s="349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2496" t="s">
        <v>1845</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t="e">
        <f ca="1">ROUND(D45*D78/(1+'数据-取费表'!C42),0)</f>
        <v>#REF!</v>
      </c>
      <c r="D78" s="2749">
        <f>'数据-取费表'!B43</f>
        <v>6.000000000000001E-3</v>
      </c>
      <c r="E78" s="3455" t="s">
        <v>1847</v>
      </c>
      <c r="F78" s="3456"/>
      <c r="G78" s="3456"/>
      <c r="H78" s="3465"/>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598</v>
      </c>
      <c r="B79" s="179" t="s">
        <v>1848</v>
      </c>
      <c r="C79" s="2740" t="e">
        <f ca="1">C72-C73</f>
        <v>#REF!</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t="e">
        <f ca="1">IF(C79&lt;=0,0,C79/C73)</f>
        <v>#REF!</v>
      </c>
      <c r="D80" s="175" t="s">
        <v>32</v>
      </c>
      <c r="E80" s="2496" t="e">
        <f ca="1">IF(C80&gt;=200%,"增值额超过扣除项目金额200%",IF(C80&gt;=100%,"增值额超过扣除项目金额100%，未超过200%",IF(C80&gt;=50%,"增值额超过扣除项目金额50%，未超过100%",IF(C80&lt;50%,"增值额未超过扣除项目金额50%"))))</f>
        <v>#REF!</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5" t="s">
        <v>1851</v>
      </c>
      <c r="B83" s="3496"/>
      <c r="C83" s="3496"/>
      <c r="D83" s="3496"/>
      <c r="E83" s="3496"/>
      <c r="F83" s="3496"/>
      <c r="G83" s="3496"/>
      <c r="H83" s="349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76" t="s">
        <v>1816</v>
      </c>
      <c r="B84" s="3477"/>
      <c r="C84" s="2158"/>
      <c r="D84" s="2158"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t="e">
        <f ca="1">ROUND(D45/(1+'数据-取费表'!C42),0)</f>
        <v>#REF!</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t="e">
        <f ca="1">IF(H88="仅含出让金",C87+C90+C91+C92+C93+C94,C87+C91+C92+C93+C94)</f>
        <v>#REF!</v>
      </c>
      <c r="D86" s="2753"/>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2499"/>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2499"/>
      <c r="G90" s="3535" t="s">
        <v>2626</v>
      </c>
      <c r="H90" s="3536"/>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55" t="s">
        <v>1860</v>
      </c>
      <c r="F91" s="3456"/>
      <c r="G91" s="3456"/>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55" t="s">
        <v>1863</v>
      </c>
      <c r="F92" s="3456"/>
      <c r="G92" s="3456"/>
      <c r="H92" s="3465"/>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t="e">
        <f ca="1">ROUND(D45*D93/(1+'数据-取费表'!C42),0)</f>
        <v>#REF!</v>
      </c>
      <c r="D93" s="2749">
        <f>'数据-取费表'!B43</f>
        <v>6.000000000000001E-3</v>
      </c>
      <c r="E93" s="3455" t="s">
        <v>1847</v>
      </c>
      <c r="F93" s="3456"/>
      <c r="G93" s="3456"/>
      <c r="H93" s="3465"/>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466" t="s">
        <v>1867</v>
      </c>
      <c r="F94" s="3467"/>
      <c r="G94" s="3467"/>
      <c r="H94" s="3468"/>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598</v>
      </c>
      <c r="B95" s="179" t="s">
        <v>1848</v>
      </c>
      <c r="C95" s="2740" t="e">
        <f ca="1">ROUND(C85-C86,0)</f>
        <v>#REF!</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t="e">
        <f ca="1">IF(C95&lt;=0,0,C95/C86)</f>
        <v>#REF!</v>
      </c>
      <c r="D96" s="175" t="s">
        <v>32</v>
      </c>
      <c r="E96" s="2496" t="e">
        <f ca="1">IF(C96&gt;=200%,"增值额超过扣除项目金额200%",IF(C96&gt;=100%,"增值额超过扣除项目金额100%，未超过200%",IF(C96&gt;=50%,"增值额超过扣除项目金额50%，未超过100%",IF(C96&lt;50%,"增值额未超过扣除项目金额50%"))))</f>
        <v>#REF!</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28" t="s">
        <v>1869</v>
      </c>
      <c r="B100" s="3429"/>
      <c r="C100" s="3429"/>
      <c r="D100" s="3457"/>
      <c r="E100" s="3429" t="s">
        <v>1870</v>
      </c>
      <c r="F100" s="3429"/>
      <c r="G100" s="3429"/>
      <c r="H100" s="3457"/>
      <c r="I100" s="134"/>
    </row>
    <row r="101" spans="1:35" ht="18.75" customHeight="1">
      <c r="A101" s="3516" t="s">
        <v>1871</v>
      </c>
      <c r="B101" s="3517"/>
      <c r="C101" s="2757" t="str">
        <f>C4</f>
        <v>成本法(除办公)</v>
      </c>
      <c r="D101" s="2758" t="str">
        <f>D4</f>
        <v>收益法（汇总）</v>
      </c>
      <c r="E101" s="3530" t="s">
        <v>1872</v>
      </c>
      <c r="F101" s="3489"/>
      <c r="G101" s="1962" t="s">
        <v>1873</v>
      </c>
      <c r="H101" s="2767" t="e">
        <f ca="1">H118</f>
        <v>#REF!</v>
      </c>
      <c r="I101" s="134"/>
    </row>
    <row r="102" spans="1:35" ht="18.75" customHeight="1">
      <c r="A102" s="3491" t="s">
        <v>1874</v>
      </c>
      <c r="B102" s="2756" t="s">
        <v>1873</v>
      </c>
      <c r="C102" s="2757" t="e">
        <f ca="1">C19</f>
        <v>#REF!</v>
      </c>
      <c r="D102" s="2758">
        <f ca="1">D19</f>
        <v>29458</v>
      </c>
      <c r="E102" s="3530"/>
      <c r="F102" s="3489"/>
      <c r="G102" s="1962" t="s">
        <v>1875</v>
      </c>
      <c r="H102" s="2727" t="e">
        <f ca="1">I118</f>
        <v>#REF!</v>
      </c>
      <c r="I102" s="134"/>
    </row>
    <row r="103" spans="1:35" ht="42.75" customHeight="1">
      <c r="A103" s="3491"/>
      <c r="B103" s="2756" t="s">
        <v>1875</v>
      </c>
      <c r="C103" s="2759" t="e">
        <f ca="1">C20</f>
        <v>#REF!</v>
      </c>
      <c r="D103" s="2760">
        <f ca="1">D20</f>
        <v>11823</v>
      </c>
      <c r="E103" s="3524" t="s">
        <v>1876</v>
      </c>
      <c r="F103" s="3525"/>
      <c r="G103" s="1963" t="s">
        <v>1877</v>
      </c>
      <c r="H103" s="2767">
        <f>IF(D36="正常操作",H104+H105+H106,H105+H106)</f>
        <v>0</v>
      </c>
      <c r="I103" s="134"/>
    </row>
    <row r="104" spans="1:35" ht="18.75" customHeight="1">
      <c r="A104" s="3491" t="s">
        <v>1878</v>
      </c>
      <c r="B104" s="2761" t="s">
        <v>1873</v>
      </c>
      <c r="C104" s="2762" t="e">
        <f ca="1">H118</f>
        <v>#REF!</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t="e">
        <f ca="1">I118</f>
        <v>#REF!</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8" t="str">
        <f>IF(项目基本情况!E8="已注销","——","3.房地产抵押价值")</f>
        <v>3.房地产抵押价值</v>
      </c>
      <c r="F107" s="3489"/>
      <c r="G107" s="1962" t="s">
        <v>1873</v>
      </c>
      <c r="H107" s="2767" t="e">
        <f ca="1">IF(E107="——","——",H101-H103)</f>
        <v>#REF!</v>
      </c>
      <c r="I107" s="134"/>
    </row>
    <row r="108" spans="1:35" ht="18.75" customHeight="1">
      <c r="A108" s="134"/>
      <c r="B108" s="134"/>
      <c r="C108" s="134"/>
      <c r="D108" s="134"/>
      <c r="E108" s="3488"/>
      <c r="F108" s="3489"/>
      <c r="G108" s="1962" t="s">
        <v>1875</v>
      </c>
      <c r="H108" s="2727" t="e">
        <f ca="1">ROUND(H107*10000/'数据-汇总表'!E3,0)</f>
        <v>#REF!</v>
      </c>
      <c r="I108" s="134"/>
    </row>
    <row r="109" spans="1:35" ht="18.75" customHeight="1">
      <c r="A109" s="134"/>
      <c r="B109" s="134"/>
      <c r="C109" s="134"/>
      <c r="D109" s="134"/>
      <c r="E109" s="3488" t="str">
        <f>IF(项目基本情况!E8="已注销及未注销","4.抵押担保权已注销时的房地产抵押价值",IF(项目基本情况!E8="已注销","3.抵押担保权已注销时的房地产抵押价值","——"))</f>
        <v>——</v>
      </c>
      <c r="F109" s="3489"/>
      <c r="G109" s="1962" t="s">
        <v>1873</v>
      </c>
      <c r="H109" s="2770" t="str">
        <f>IF(E109="——","——",H101-H105-H106)</f>
        <v>——</v>
      </c>
      <c r="I109" s="134"/>
    </row>
    <row r="110" spans="1:35" ht="18.75" customHeight="1">
      <c r="A110" s="134"/>
      <c r="B110" s="134"/>
      <c r="C110" s="134"/>
      <c r="D110" s="134"/>
      <c r="E110" s="3488"/>
      <c r="F110" s="3489"/>
      <c r="G110" s="1962" t="s">
        <v>1875</v>
      </c>
      <c r="H110" s="2727" t="str">
        <f>IF(H109="——","——",ROUND(H109*10000/'数据-汇总表'!E3,0))</f>
        <v>——</v>
      </c>
      <c r="I110" s="134"/>
    </row>
    <row r="111" spans="1:35" ht="18.75" customHeight="1">
      <c r="A111" s="134"/>
      <c r="B111" s="134"/>
      <c r="C111" s="134"/>
      <c r="D111" s="134"/>
      <c r="E111" s="3518" t="str">
        <f>IF(项目基本情况!E9="抵押净值",IF(OR(项目基本情况!E8="已注销",项目基本情况!E8="房地产抵押价值"),"4.抵押净值","5.抵押净值"),"——")</f>
        <v>——</v>
      </c>
      <c r="F111" s="3490"/>
      <c r="G111" s="1962" t="s">
        <v>1873</v>
      </c>
      <c r="H111" s="2767" t="str">
        <f>IF(E111="——","——",N59)</f>
        <v>——</v>
      </c>
      <c r="I111" s="134"/>
    </row>
    <row r="112" spans="1:35" ht="18.75" customHeight="1" thickBot="1">
      <c r="A112" s="134"/>
      <c r="B112" s="134"/>
      <c r="C112" s="134"/>
      <c r="D112" s="134"/>
      <c r="E112" s="3519"/>
      <c r="F112" s="3520"/>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59" t="s">
        <v>1884</v>
      </c>
      <c r="B116" s="3440" t="s">
        <v>1885</v>
      </c>
      <c r="C116" s="3440" t="s">
        <v>1886</v>
      </c>
      <c r="D116" s="3442" t="s">
        <v>1887</v>
      </c>
      <c r="E116" s="3443"/>
      <c r="F116" s="3444" t="s">
        <v>1888</v>
      </c>
      <c r="G116" s="3444"/>
      <c r="H116" s="3459" t="s">
        <v>1889</v>
      </c>
      <c r="I116" s="3459"/>
    </row>
    <row r="117" spans="1:27" ht="18.75" customHeight="1">
      <c r="A117" s="3459"/>
      <c r="B117" s="3441"/>
      <c r="C117" s="3441"/>
      <c r="D117" s="2501" t="s">
        <v>1890</v>
      </c>
      <c r="E117" s="2501" t="s">
        <v>1891</v>
      </c>
      <c r="F117" s="2501" t="s">
        <v>1890</v>
      </c>
      <c r="G117" s="2501" t="s">
        <v>1892</v>
      </c>
      <c r="H117" s="2501" t="s">
        <v>1890</v>
      </c>
      <c r="I117" s="2501" t="s">
        <v>1892</v>
      </c>
    </row>
    <row r="118" spans="1:27" ht="24.75" customHeight="1">
      <c r="A118" s="2772" t="str">
        <f>项目基本情况!S2</f>
        <v>北京市朝阳区朝阳门南大街10号房地产</v>
      </c>
      <c r="B118" s="2501">
        <f>M18</f>
        <v>98604.219999999987</v>
      </c>
      <c r="C118" s="2501">
        <f>M19</f>
        <v>5676.41</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t="e">
        <f ca="1">ROUND(IF(D32="总价",C32,I118*B118/10000),0)</f>
        <v>#REF!</v>
      </c>
      <c r="I118" s="2501" t="e">
        <f ca="1">ROUND(IF(D32="楼面单价",C32,H118*10000/B118),0)</f>
        <v>#REF!</v>
      </c>
    </row>
    <row r="119" spans="1:27" ht="18.75" customHeight="1">
      <c r="A119" s="3459" t="s">
        <v>1893</v>
      </c>
      <c r="B119" s="3459"/>
      <c r="C119" s="3459"/>
      <c r="D119" s="3497" t="e">
        <f ca="1">NUMBERSTRING(INT(D118*10000),2)&amp;"元整"</f>
        <v>#REF!</v>
      </c>
      <c r="E119" s="3499"/>
      <c r="F119" s="3497" t="e">
        <f ca="1">NUMBERSTRING(INT(F118*10000),2)&amp;"元整"</f>
        <v>#REF!</v>
      </c>
      <c r="G119" s="3499"/>
      <c r="H119" s="3497" t="e">
        <f ca="1">NUMBERSTRING(INT(H118*10000),2)&amp;"元整"</f>
        <v>#REF!</v>
      </c>
      <c r="I119" s="3499"/>
    </row>
    <row r="120" spans="1:27" ht="18.75" customHeight="1">
      <c r="A120" s="3521" t="str">
        <f>IF(项目基本情况!B9="房地产市场价值","",MID(E103,3,LEN(E103)-2))</f>
        <v>估价师知悉的法定优先受偿款</v>
      </c>
      <c r="B120" s="3522"/>
      <c r="C120" s="3523"/>
      <c r="D120" s="3521">
        <f>H103</f>
        <v>0</v>
      </c>
      <c r="E120" s="3522"/>
      <c r="F120" s="3522"/>
      <c r="G120" s="3522"/>
      <c r="H120" s="3522"/>
      <c r="I120" s="352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97" t="str">
        <f>IF(D120=0,"零元整",NUMBERSTRING(INT(D120*10000),2)&amp;"元整")</f>
        <v>零元整</v>
      </c>
      <c r="E121" s="3498"/>
      <c r="F121" s="3498"/>
      <c r="G121" s="3498"/>
      <c r="H121" s="3498"/>
      <c r="I121" s="3499"/>
      <c r="AA121" s="734"/>
    </row>
    <row r="122" spans="1:27" ht="18.75" customHeight="1">
      <c r="A122" s="3490" t="str">
        <f>IF(项目基本情况!B9="房地产市场价值","",MID(E107,3,LEN(E107)-2))</f>
        <v>房地产抵押价值</v>
      </c>
      <c r="B122" s="3490"/>
      <c r="C122" s="3490"/>
      <c r="D122" s="3521" t="e">
        <f ca="1">H107</f>
        <v>#REF!</v>
      </c>
      <c r="E122" s="3522"/>
      <c r="F122" s="3522"/>
      <c r="G122" s="3522"/>
      <c r="H122" s="3522"/>
      <c r="I122" s="3523"/>
      <c r="AA122" s="734"/>
    </row>
    <row r="123" spans="1:27" ht="18.75" customHeight="1">
      <c r="A123" s="3459" t="s">
        <v>1893</v>
      </c>
      <c r="B123" s="3459"/>
      <c r="C123" s="3459"/>
      <c r="D123" s="3497" t="e">
        <f ca="1">NUMBERSTRING(INT(D122*10000),2)&amp;"元整"</f>
        <v>#REF!</v>
      </c>
      <c r="E123" s="3498"/>
      <c r="F123" s="3498"/>
      <c r="G123" s="3498"/>
      <c r="H123" s="3498"/>
      <c r="I123" s="3499"/>
      <c r="AA123" s="734"/>
    </row>
    <row r="124" spans="1:27" ht="18.75" customHeight="1">
      <c r="A124" s="3490" t="str">
        <f>IF(项目基本情况!B9="房地产市场价值","",MID(E109,3,LEN(E109)-2))</f>
        <v/>
      </c>
      <c r="B124" s="3490"/>
      <c r="C124" s="3490"/>
      <c r="D124" s="3521" t="str">
        <f>H109</f>
        <v>——</v>
      </c>
      <c r="E124" s="3522"/>
      <c r="F124" s="3522"/>
      <c r="G124" s="3522"/>
      <c r="H124" s="3522"/>
      <c r="I124" s="3523"/>
      <c r="AA124" s="734"/>
    </row>
    <row r="125" spans="1:27" ht="18.75" customHeight="1">
      <c r="A125" s="3459" t="s">
        <v>1893</v>
      </c>
      <c r="B125" s="3459"/>
      <c r="C125" s="3459"/>
      <c r="D125" s="3497" t="e">
        <f>NUMBERSTRING(INT(D124*10000),2)&amp;"元整"</f>
        <v>#VALUE!</v>
      </c>
      <c r="E125" s="3498"/>
      <c r="F125" s="3498"/>
      <c r="G125" s="3498"/>
      <c r="H125" s="3498"/>
      <c r="I125" s="3499"/>
      <c r="AA125" s="734"/>
    </row>
    <row r="126" spans="1:27" ht="18.75" customHeight="1">
      <c r="A126" s="3490" t="str">
        <f>IF(项目基本情况!B9="房地产市场价值","",MID(E111,3,LEN(E111)-2))</f>
        <v/>
      </c>
      <c r="B126" s="3490"/>
      <c r="C126" s="3490"/>
      <c r="D126" s="3521" t="str">
        <f>H111</f>
        <v>——</v>
      </c>
      <c r="E126" s="3522"/>
      <c r="F126" s="3522"/>
      <c r="G126" s="3522"/>
      <c r="H126" s="3522"/>
      <c r="I126" s="3523"/>
      <c r="AA126" s="734"/>
    </row>
    <row r="127" spans="1:27" ht="18.75" customHeight="1">
      <c r="A127" s="3459" t="s">
        <v>1893</v>
      </c>
      <c r="B127" s="3459"/>
      <c r="C127" s="3459"/>
      <c r="D127" s="3497" t="e">
        <f>NUMBERSTRING(INT(D126*10000),2)&amp;"元整"</f>
        <v>#VALUE!</v>
      </c>
      <c r="E127" s="3498"/>
      <c r="F127" s="3498"/>
      <c r="G127" s="3498"/>
      <c r="H127" s="3498"/>
      <c r="I127" s="3499"/>
      <c r="AA127" s="734"/>
    </row>
    <row r="128" spans="1:27" ht="21.75" customHeight="1">
      <c r="A128" s="3506" t="s">
        <v>1894</v>
      </c>
      <c r="B128" s="3506"/>
      <c r="C128" s="3506"/>
      <c r="D128" s="3506"/>
      <c r="E128" s="3506"/>
      <c r="F128" s="3506"/>
      <c r="G128" s="3506"/>
      <c r="H128" s="3506"/>
      <c r="I128" s="3506"/>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0" priority="21" stopIfTrue="1" operator="equal">
      <formula>25</formula>
    </cfRule>
  </conditionalFormatting>
  <conditionalFormatting sqref="C8:C9">
    <cfRule type="cellIs" dxfId="229" priority="19" stopIfTrue="1" operator="equal">
      <formula>15</formula>
    </cfRule>
  </conditionalFormatting>
  <conditionalFormatting sqref="C14:C16">
    <cfRule type="cellIs" dxfId="228" priority="13" stopIfTrue="1" operator="equal">
      <formula>30</formula>
    </cfRule>
  </conditionalFormatting>
  <conditionalFormatting sqref="D5:D7">
    <cfRule type="cellIs" dxfId="227" priority="10" stopIfTrue="1" operator="equal">
      <formula>25</formula>
    </cfRule>
  </conditionalFormatting>
  <conditionalFormatting sqref="D8:D9">
    <cfRule type="cellIs" dxfId="226" priority="9" stopIfTrue="1" operator="equal">
      <formula>15</formula>
    </cfRule>
  </conditionalFormatting>
  <conditionalFormatting sqref="C10:D13">
    <cfRule type="cellIs" dxfId="225" priority="8" stopIfTrue="1" operator="equal">
      <formula>15</formula>
    </cfRule>
  </conditionalFormatting>
  <conditionalFormatting sqref="D14:D16">
    <cfRule type="cellIs" dxfId="224" priority="6" stopIfTrue="1" operator="equal">
      <formula>30</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E36">
    <cfRule type="expression" dxfId="221"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H36" sqref="H36"/>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1098</v>
      </c>
      <c r="C1" s="204"/>
      <c r="D1" s="204"/>
      <c r="E1" s="204"/>
      <c r="F1" s="204"/>
      <c r="G1" s="1240">
        <f>MATCH(B1,'数据-取费表'!A6:A16,0)+5</f>
        <v>7</v>
      </c>
    </row>
    <row r="2" spans="1:9" s="206" customFormat="1" ht="18" customHeight="1">
      <c r="A2" s="207" t="s">
        <v>1114</v>
      </c>
      <c r="B2" s="208">
        <f ca="1">IF(D2="——",C52,C52-E2)</f>
        <v>64795</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ROUND(B2*10000/D19,0)</f>
        <v>26006</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30423.35</v>
      </c>
      <c r="D5" s="217" t="s">
        <v>1910</v>
      </c>
      <c r="E5" s="218" t="s">
        <v>1911</v>
      </c>
      <c r="F5" s="218" t="s">
        <v>1912</v>
      </c>
      <c r="G5" s="219"/>
    </row>
    <row r="6" spans="1:9" s="220" customFormat="1" ht="13.5" customHeight="1">
      <c r="A6" s="866" t="s">
        <v>610</v>
      </c>
      <c r="B6" s="221" t="s">
        <v>1914</v>
      </c>
      <c r="C6" s="222">
        <f>'[2]基准地价修正(商业)'!$B$2+[2]基准地价修正!$D$41+[2]基准地价修正!$D$42</f>
        <v>29039.35</v>
      </c>
      <c r="D6" s="223"/>
      <c r="E6" s="224"/>
      <c r="F6" s="224"/>
      <c r="G6" s="225"/>
    </row>
    <row r="7" spans="1:9" s="220" customFormat="1" ht="13.5" customHeight="1">
      <c r="A7" s="866" t="s">
        <v>611</v>
      </c>
      <c r="B7" s="221" t="s">
        <v>1916</v>
      </c>
      <c r="C7" s="226">
        <f>ROUND(C6*F7,0)</f>
        <v>886</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498</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ROUND(D10*E10/10000,0)</f>
        <v>498</v>
      </c>
      <c r="D10" s="3297">
        <f>'数据-汇总表'!E20+'数据-汇总表'!E21+'数据-汇总表'!E22</f>
        <v>24914.989999999998</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24914.989999999998</v>
      </c>
      <c r="E19" s="217">
        <f>'数据-取费表'!B31</f>
        <v>200</v>
      </c>
      <c r="F19" s="237"/>
      <c r="G19" s="1991" t="s">
        <v>3741</v>
      </c>
    </row>
    <row r="20" spans="1:7" s="220" customFormat="1" ht="13.5" customHeight="1">
      <c r="A20" s="261" t="s">
        <v>1934</v>
      </c>
      <c r="B20" s="216" t="s">
        <v>1935</v>
      </c>
      <c r="C20" s="238">
        <f ca="1">ROUND((C5+C19)*F20,0)</f>
        <v>608</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4036</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3997</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39</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7758</v>
      </c>
      <c r="D27" s="241">
        <f ca="1">C29</f>
        <v>5.0000000000000001E-3</v>
      </c>
      <c r="E27" s="242" t="s">
        <v>1939</v>
      </c>
      <c r="F27" s="252">
        <f ca="1">IF(B1="",'数据-取费表'!Q16,INDIRECT("'数据-取费表'!q"&amp;$G$1))</f>
        <v>0.25</v>
      </c>
      <c r="G27" s="253" t="s">
        <v>1956</v>
      </c>
    </row>
    <row r="28" spans="1:7" s="220" customFormat="1" ht="13.5" customHeight="1">
      <c r="A28" s="868" t="s">
        <v>610</v>
      </c>
      <c r="B28" s="254" t="s">
        <v>1957</v>
      </c>
      <c r="C28" s="255">
        <f ca="1">ROUND((C5+C19+C20)*F27*'数据-取费表'!B21/'数据-取费表'!B20,0)</f>
        <v>7758</v>
      </c>
      <c r="D28" s="241"/>
      <c r="E28" s="242"/>
      <c r="F28" s="252"/>
      <c r="G28" s="253"/>
    </row>
    <row r="29" spans="1:7" s="220" customFormat="1" ht="13.5" customHeight="1">
      <c r="A29" s="868" t="s">
        <v>611</v>
      </c>
      <c r="B29" s="254" t="s">
        <v>1958</v>
      </c>
      <c r="C29" s="244">
        <f ca="1">ROUND(C21*F27*'数据-取费表'!B21/'数据-取费表'!B20,4)</f>
        <v>5.0000000000000001E-3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46529</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12803</v>
      </c>
      <c r="D33" s="238"/>
      <c r="E33" s="218"/>
      <c r="F33" s="247"/>
      <c r="G33" s="240"/>
    </row>
    <row r="34" spans="1:7" s="264" customFormat="1" ht="13.5" customHeight="1">
      <c r="A34" s="868" t="s">
        <v>610</v>
      </c>
      <c r="B34" s="221" t="s">
        <v>1966</v>
      </c>
      <c r="C34" s="3298">
        <f>'数据-取费表'!M7+'数据-取费表'!M8+'数据-取费表'!M9</f>
        <v>11554</v>
      </c>
      <c r="D34" s="223"/>
      <c r="E34" s="226"/>
      <c r="F34" s="263">
        <f ca="1">IF('数据-取费表'!B24=0,1,IF(B1="",'数据-取费表'!N16,INDIRECT("'数据-取费表'!n"&amp;$G$1)))</f>
        <v>1</v>
      </c>
      <c r="G34" s="225" t="s">
        <v>1967</v>
      </c>
    </row>
    <row r="35" spans="1:7" ht="13.5" customHeight="1">
      <c r="A35" s="868" t="s">
        <v>615</v>
      </c>
      <c r="B35" s="221" t="s">
        <v>1968</v>
      </c>
      <c r="C35" s="226">
        <f>ROUND(C34*F35,0)</f>
        <v>578</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498</v>
      </c>
      <c r="D37" s="223">
        <f ca="1">D19</f>
        <v>24914.989999999998</v>
      </c>
      <c r="E37" s="255">
        <f>'数据-取费表'!B35</f>
        <v>200</v>
      </c>
      <c r="F37" s="265"/>
      <c r="G37" s="267" t="s">
        <v>1973</v>
      </c>
    </row>
    <row r="38" spans="1:7" ht="13.5" customHeight="1">
      <c r="A38" s="868" t="s">
        <v>618</v>
      </c>
      <c r="B38" s="221" t="s">
        <v>1974</v>
      </c>
      <c r="C38" s="226">
        <f>ROUND(C34*F38,0)</f>
        <v>173</v>
      </c>
      <c r="D38" s="226"/>
      <c r="E38" s="226"/>
      <c r="F38" s="265">
        <f>'数据-取费表'!B36</f>
        <v>1.4999999999999999E-2</v>
      </c>
      <c r="G38" s="225" t="s">
        <v>1969</v>
      </c>
    </row>
    <row r="39" spans="1:7" s="220" customFormat="1" ht="13.5" customHeight="1">
      <c r="A39" s="261" t="s">
        <v>1932</v>
      </c>
      <c r="B39" s="216" t="s">
        <v>1935</v>
      </c>
      <c r="C39" s="238">
        <f ca="1">ROUND(C33*F20,0)</f>
        <v>256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815</v>
      </c>
      <c r="D42" s="244"/>
      <c r="E42" s="244"/>
      <c r="F42" s="245"/>
      <c r="G42" s="3371" t="s">
        <v>1985</v>
      </c>
    </row>
    <row r="43" spans="1:7" ht="13.5" customHeight="1">
      <c r="A43" s="868" t="s">
        <v>611</v>
      </c>
      <c r="B43" s="221" t="s">
        <v>1947</v>
      </c>
      <c r="C43" s="244">
        <f ca="1">ROUND(IF('数据-取费表'!B22&lt;=1,C39*F22*'数据-取费表'!B21/2,C39*(POWER((1+F22),'数据-取费表'!B21/2)-1)),0)</f>
        <v>16</v>
      </c>
      <c r="D43" s="244"/>
      <c r="E43" s="244"/>
      <c r="F43" s="245"/>
      <c r="G43" s="3372"/>
    </row>
    <row r="44" spans="1:7" ht="13.5" customHeight="1">
      <c r="A44" s="868" t="s">
        <v>612</v>
      </c>
      <c r="B44" s="221" t="s">
        <v>1950</v>
      </c>
      <c r="C44" s="244">
        <f ca="1">ROUND(IF('数据-取费表'!B22&lt;=1,C40*F22*'数据-取费表'!B21/2,C40*(POWER((1+F22),'数据-取费表'!B21/2)-1)),4)</f>
        <v>1.2999999999999999E-3</v>
      </c>
      <c r="D44" s="244"/>
      <c r="E44" s="244"/>
      <c r="F44" s="245"/>
      <c r="G44" s="3373"/>
    </row>
    <row r="45" spans="1:7" s="220" customFormat="1" ht="13.5" customHeight="1">
      <c r="A45" s="261" t="s">
        <v>1941</v>
      </c>
      <c r="B45" s="250" t="s">
        <v>1954</v>
      </c>
      <c r="C45" s="251">
        <f ca="1">C46</f>
        <v>3265</v>
      </c>
      <c r="D45" s="241">
        <f ca="1">C47</f>
        <v>5.0000000000000001E-3</v>
      </c>
      <c r="E45" s="242" t="s">
        <v>1980</v>
      </c>
      <c r="F45" s="3300">
        <f>'数据-取费表'!Q17</f>
        <v>0.13</v>
      </c>
      <c r="G45" s="253" t="s">
        <v>1989</v>
      </c>
    </row>
    <row r="46" spans="1:7" s="220" customFormat="1" ht="13.5" customHeight="1">
      <c r="A46" s="868" t="s">
        <v>610</v>
      </c>
      <c r="B46" s="254" t="s">
        <v>1990</v>
      </c>
      <c r="C46" s="255">
        <f ca="1">ROUND((C33+C39)*F27,0)</f>
        <v>3265</v>
      </c>
      <c r="D46" s="269"/>
      <c r="E46" s="242"/>
      <c r="F46" s="252"/>
      <c r="G46" s="253"/>
    </row>
    <row r="47" spans="1:7" s="220" customFormat="1" ht="13.5" customHeight="1">
      <c r="A47" s="868" t="s">
        <v>611</v>
      </c>
      <c r="B47" s="254" t="s">
        <v>1991</v>
      </c>
      <c r="C47" s="244">
        <f ca="1">ROUND(C40*F27,4)</f>
        <v>5.0000000000000001E-3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18639</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18266</v>
      </c>
      <c r="D51" s="238"/>
      <c r="E51" s="238"/>
      <c r="F51" s="270"/>
      <c r="G51" s="240" t="s">
        <v>2001</v>
      </c>
    </row>
    <row r="52" spans="1:7" s="214" customFormat="1" ht="16.5" thickBot="1">
      <c r="A52" s="271" t="s">
        <v>2002</v>
      </c>
      <c r="B52" s="272"/>
      <c r="C52" s="273">
        <f ca="1">C31+C51</f>
        <v>64795</v>
      </c>
      <c r="D52" s="272"/>
      <c r="E52" s="272"/>
      <c r="F52" s="272"/>
      <c r="G52" s="274"/>
    </row>
    <row r="55" spans="1:7" ht="15.5">
      <c r="B55" s="276" t="s">
        <v>2003</v>
      </c>
      <c r="C55" s="277"/>
    </row>
    <row r="56" spans="1:7" ht="13">
      <c r="B56" s="279" t="s">
        <v>1233</v>
      </c>
      <c r="C56" s="281">
        <f ca="1">1-C57</f>
        <v>0.71799999999999997</v>
      </c>
    </row>
    <row r="57" spans="1:7" ht="13">
      <c r="B57" s="279" t="s">
        <v>1234</v>
      </c>
      <c r="C57" s="280">
        <f ca="1">ROUND(C51/C52,3)</f>
        <v>0.28199999999999997</v>
      </c>
    </row>
  </sheetData>
  <sheetProtection formatCells="0"/>
  <mergeCells count="1">
    <mergeCell ref="G42:G44"/>
  </mergeCells>
  <phoneticPr fontId="140"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8" width="10.90625" style="257" customWidth="1"/>
    <col min="9" max="254" width="9" style="257" customWidth="1"/>
    <col min="255" max="16384" width="8.36328125" style="257"/>
  </cols>
  <sheetData>
    <row r="1" spans="1:8" s="206" customFormat="1" ht="21">
      <c r="A1" s="202" t="s">
        <v>1902</v>
      </c>
      <c r="B1" s="1604"/>
      <c r="C1" s="1994" t="s">
        <v>2004</v>
      </c>
      <c r="D1" s="204"/>
      <c r="E1" s="204"/>
      <c r="F1" s="204"/>
      <c r="G1" s="1240">
        <f>MATCH(B1,'数据-取费表'!A6:A16,0)+5</f>
        <v>10</v>
      </c>
      <c r="H1" s="1172" t="str">
        <f>IF(ISERROR(FIND("住宅",B1)),"非住宅","住宅")</f>
        <v>非住宅</v>
      </c>
    </row>
    <row r="2" spans="1:8" s="206" customFormat="1" ht="18" customHeight="1">
      <c r="A2" s="207" t="s">
        <v>1903</v>
      </c>
      <c r="B2" s="208">
        <f ca="1">ROUND(IF(D2="——",C52/10000,C52/10000-E2),0)</f>
        <v>85925</v>
      </c>
      <c r="C2" s="205" t="s">
        <v>1904</v>
      </c>
      <c r="D2" s="1988" t="s">
        <v>70</v>
      </c>
      <c r="E2" s="1283" t="e">
        <f ca="1">SUMIF(INDIRECT("'"&amp;G2&amp;"'"&amp;"!A:A"),"承租人权益价值",INDIRECT("'"&amp;G2&amp;"'"&amp;"!c:c"))</f>
        <v>#REF!</v>
      </c>
      <c r="F2" s="1989" t="s">
        <v>1904</v>
      </c>
      <c r="G2" s="1990"/>
    </row>
    <row r="3" spans="1:8" s="206" customFormat="1" ht="18" customHeight="1" thickBot="1">
      <c r="A3" s="209" t="s">
        <v>1905</v>
      </c>
      <c r="B3" s="210">
        <f ca="1">ROUND(B2*10000/(IF(B1="",'数据-汇总表'!E3,INDIRECT("'数据-取费表'!k"&amp;$G$1))),0)</f>
        <v>8714</v>
      </c>
      <c r="C3" s="205" t="s">
        <v>1906</v>
      </c>
      <c r="D3" s="205"/>
      <c r="E3" s="205"/>
      <c r="F3" s="205"/>
      <c r="G3" s="205"/>
    </row>
    <row r="4" spans="1:8" s="214" customFormat="1" ht="16">
      <c r="A4" s="211" t="s">
        <v>1907</v>
      </c>
      <c r="B4" s="212"/>
      <c r="C4" s="212"/>
      <c r="D4" s="212"/>
      <c r="E4" s="212"/>
      <c r="F4" s="212"/>
      <c r="G4" s="213"/>
    </row>
    <row r="5" spans="1:8" s="220" customFormat="1" ht="13.5" customHeight="1">
      <c r="A5" s="261" t="s">
        <v>1908</v>
      </c>
      <c r="B5" s="216" t="s">
        <v>1909</v>
      </c>
      <c r="C5" s="217">
        <f ca="1">C6+C7+C8</f>
        <v>19720844</v>
      </c>
      <c r="D5" s="217" t="s">
        <v>1910</v>
      </c>
      <c r="E5" s="218" t="s">
        <v>1911</v>
      </c>
      <c r="F5" s="218" t="s">
        <v>1912</v>
      </c>
      <c r="G5" s="219"/>
    </row>
    <row r="6" spans="1:8" s="220" customFormat="1" ht="13.5" customHeight="1">
      <c r="A6" s="866" t="s">
        <v>1913</v>
      </c>
      <c r="B6" s="221" t="s">
        <v>1914</v>
      </c>
      <c r="C6" s="222"/>
      <c r="D6" s="223"/>
      <c r="E6" s="224"/>
      <c r="F6" s="224"/>
      <c r="G6" s="225"/>
    </row>
    <row r="7" spans="1:8" s="220" customFormat="1" ht="13.5" customHeight="1">
      <c r="A7" s="866" t="s">
        <v>1915</v>
      </c>
      <c r="B7" s="221" t="s">
        <v>1916</v>
      </c>
      <c r="C7" s="226">
        <f>ROUND(C6*F7,0)</f>
        <v>0</v>
      </c>
      <c r="D7" s="226"/>
      <c r="E7" s="224"/>
      <c r="F7" s="227">
        <f>IF(项目基本情况!B8="出让",0,'数据-取费表'!B48+'数据-取费表'!B49)</f>
        <v>3.0499999999999999E-2</v>
      </c>
      <c r="G7" s="225"/>
    </row>
    <row r="8" spans="1:8" s="229" customFormat="1" ht="13">
      <c r="A8" s="866" t="s">
        <v>1917</v>
      </c>
      <c r="B8" s="221" t="s">
        <v>1918</v>
      </c>
      <c r="C8" s="226">
        <f ca="1">IF(G8="已包含在土地购买价格中",0,C9+C10)</f>
        <v>19720844</v>
      </c>
      <c r="D8" s="228"/>
      <c r="E8" s="226"/>
      <c r="F8" s="227"/>
      <c r="G8" s="1991"/>
    </row>
    <row r="9" spans="1:8" s="220" customFormat="1" ht="13.5" customHeight="1">
      <c r="A9" s="867" t="s">
        <v>619</v>
      </c>
      <c r="B9" s="230" t="s">
        <v>1919</v>
      </c>
      <c r="C9" s="231">
        <f ca="1">ROUND(D9*E9,0)</f>
        <v>0</v>
      </c>
      <c r="D9" s="934">
        <f ca="1">IF(B1="",'数据-汇总表'!E5,IF(INDIRECT("'数据-取费表'!c"&amp;$G$1)="住宅",INDIRECT("'数据-取费表'!k"&amp;$G$1),0))</f>
        <v>0</v>
      </c>
      <c r="E9" s="231">
        <f>'数据-取费表'!B27</f>
        <v>160</v>
      </c>
      <c r="F9" s="227"/>
      <c r="G9" s="232"/>
    </row>
    <row r="10" spans="1:8" s="220" customFormat="1" ht="13.5" customHeight="1">
      <c r="A10" s="867" t="s">
        <v>620</v>
      </c>
      <c r="B10" s="230" t="s">
        <v>1921</v>
      </c>
      <c r="C10" s="231">
        <f ca="1">ROUND(D10*E10,0)</f>
        <v>19720844</v>
      </c>
      <c r="D10" s="934">
        <f ca="1">IF(B1="",'数据-汇总表'!E6,IF(INDIRECT("'数据-取费表'!c"&amp;$G$1)="住宅",INDIRECT("'数据-取费表'!s"&amp;$G$1),INDIRECT("'数据-取费表'!k"&amp;$G$1)+INDIRECT("'数据-取费表'!s"&amp;$G$1)))</f>
        <v>98604.219999999987</v>
      </c>
      <c r="E10" s="231">
        <f>'数据-取费表'!B28</f>
        <v>200</v>
      </c>
      <c r="F10" s="227"/>
      <c r="G10" s="232"/>
    </row>
    <row r="11" spans="1:8" s="220" customFormat="1" ht="13.5" hidden="1" customHeight="1">
      <c r="A11" s="233" t="s">
        <v>7</v>
      </c>
      <c r="B11" s="221" t="s">
        <v>1922</v>
      </c>
      <c r="C11" s="217"/>
      <c r="D11" s="936"/>
      <c r="E11" s="224"/>
      <c r="F11" s="224"/>
      <c r="G11" s="225"/>
    </row>
    <row r="12" spans="1:8" s="220" customFormat="1" ht="13.5" hidden="1" customHeight="1">
      <c r="A12" s="233" t="s">
        <v>8</v>
      </c>
      <c r="B12" s="221" t="s">
        <v>2005</v>
      </c>
      <c r="C12" s="217">
        <v>0</v>
      </c>
      <c r="D12" s="936"/>
      <c r="E12" s="234"/>
      <c r="F12" s="227">
        <v>3.0499999999999999E-2</v>
      </c>
      <c r="G12" s="225"/>
    </row>
    <row r="13" spans="1:8" s="220" customFormat="1" ht="13.5" hidden="1" customHeight="1">
      <c r="A13" s="233" t="s">
        <v>9</v>
      </c>
      <c r="B13" s="221" t="s">
        <v>2006</v>
      </c>
      <c r="C13" s="217"/>
      <c r="D13" s="936"/>
      <c r="E13" s="224"/>
      <c r="F13" s="224"/>
      <c r="G13" s="225"/>
    </row>
    <row r="14" spans="1:8" s="220" customFormat="1" ht="13.5" hidden="1" customHeight="1">
      <c r="A14" s="233" t="s">
        <v>10</v>
      </c>
      <c r="B14" s="221" t="s">
        <v>1918</v>
      </c>
      <c r="C14" s="217"/>
      <c r="D14" s="936"/>
      <c r="E14" s="224"/>
      <c r="F14" s="224"/>
      <c r="G14" s="225" t="s">
        <v>2007</v>
      </c>
    </row>
    <row r="15" spans="1:8" s="220" customFormat="1" ht="13.5" hidden="1" customHeight="1">
      <c r="A15" s="233" t="s">
        <v>11</v>
      </c>
      <c r="B15" s="221" t="s">
        <v>2008</v>
      </c>
      <c r="C15" s="226"/>
      <c r="D15" s="936"/>
      <c r="E15" s="224"/>
      <c r="F15" s="224"/>
      <c r="G15" s="225" t="s">
        <v>2009</v>
      </c>
    </row>
    <row r="16" spans="1:8" s="220" customFormat="1" ht="13.5" hidden="1" customHeight="1">
      <c r="A16" s="233" t="s">
        <v>12</v>
      </c>
      <c r="B16" s="221" t="s">
        <v>1918</v>
      </c>
      <c r="C16" s="226"/>
      <c r="D16" s="936"/>
      <c r="E16" s="224"/>
      <c r="F16" s="224"/>
      <c r="G16" s="225"/>
    </row>
    <row r="17" spans="1:7" s="220" customFormat="1" ht="13.5" hidden="1" customHeight="1">
      <c r="A17" s="233" t="s">
        <v>13</v>
      </c>
      <c r="B17" s="221" t="s">
        <v>2010</v>
      </c>
      <c r="C17" s="235"/>
      <c r="D17" s="937"/>
      <c r="E17" s="235"/>
      <c r="F17" s="235"/>
      <c r="G17" s="225" t="s">
        <v>2009</v>
      </c>
    </row>
    <row r="18" spans="1:7" s="220" customFormat="1" ht="13.5" hidden="1" customHeight="1">
      <c r="A18" s="233" t="s">
        <v>14</v>
      </c>
      <c r="B18" s="221" t="s">
        <v>2011</v>
      </c>
      <c r="C18" s="226">
        <v>0</v>
      </c>
      <c r="D18" s="936"/>
      <c r="E18" s="224"/>
      <c r="F18" s="227">
        <v>3.0499999999999999E-2</v>
      </c>
      <c r="G18" s="225" t="s">
        <v>2012</v>
      </c>
    </row>
    <row r="19" spans="1:7" s="229" customFormat="1" ht="13.5" customHeight="1">
      <c r="A19" s="261" t="s">
        <v>2013</v>
      </c>
      <c r="B19" s="216" t="s">
        <v>2014</v>
      </c>
      <c r="C19" s="217">
        <f ca="1">IF(G19="已包含在土地取得成本中","0",ROUND(D19*E19,0))</f>
        <v>19720844</v>
      </c>
      <c r="D19" s="938">
        <f ca="1">D9+D10</f>
        <v>98604.219999999987</v>
      </c>
      <c r="E19" s="217">
        <f>'数据-取费表'!B31</f>
        <v>200</v>
      </c>
      <c r="F19" s="237"/>
      <c r="G19" s="1991"/>
    </row>
    <row r="20" spans="1:7" s="220" customFormat="1" ht="13.5" customHeight="1">
      <c r="A20" s="261" t="s">
        <v>2015</v>
      </c>
      <c r="B20" s="216" t="s">
        <v>2016</v>
      </c>
      <c r="C20" s="238">
        <f ca="1">ROUND((C5+C19)*F20,0)</f>
        <v>788834</v>
      </c>
      <c r="D20" s="238"/>
      <c r="E20" s="238"/>
      <c r="F20" s="239">
        <f>'数据-取费表'!B37</f>
        <v>0.02</v>
      </c>
      <c r="G20" s="240" t="s">
        <v>2017</v>
      </c>
    </row>
    <row r="21" spans="1:7" s="220" customFormat="1" ht="13.5" customHeight="1">
      <c r="A21" s="261" t="s">
        <v>2018</v>
      </c>
      <c r="B21" s="216" t="s">
        <v>2019</v>
      </c>
      <c r="C21" s="241">
        <f>F21</f>
        <v>0.02</v>
      </c>
      <c r="D21" s="242" t="s">
        <v>2020</v>
      </c>
      <c r="E21" s="238"/>
      <c r="F21" s="239">
        <f>'数据-取费表'!B38</f>
        <v>0.02</v>
      </c>
      <c r="G21" s="240" t="s">
        <v>2021</v>
      </c>
    </row>
    <row r="22" spans="1:7" s="220" customFormat="1" ht="13.5" customHeight="1">
      <c r="A22" s="261" t="s">
        <v>2022</v>
      </c>
      <c r="B22" s="216" t="s">
        <v>2023</v>
      </c>
      <c r="C22" s="1241">
        <f ca="1">ROUND(SUM(C23:C25),0)</f>
        <v>5231515</v>
      </c>
      <c r="D22" s="241">
        <f ca="1">C26</f>
        <v>1.2999999999999999E-3</v>
      </c>
      <c r="E22" s="242" t="s">
        <v>2020</v>
      </c>
      <c r="F22" s="243">
        <f ca="1">'数据-取费表'!B40</f>
        <v>4.2000000000000003E-2</v>
      </c>
      <c r="G22" s="240" t="str">
        <f>IF('数据-取费表'!B22&lt;=1,"单利计息","复利计息")</f>
        <v>复利计息</v>
      </c>
    </row>
    <row r="23" spans="1:7" s="220" customFormat="1" ht="13.5" customHeight="1">
      <c r="A23" s="868" t="s">
        <v>1913</v>
      </c>
      <c r="B23" s="221" t="s">
        <v>2024</v>
      </c>
      <c r="C23" s="1242">
        <f ca="1">ROUND(IF('数据-取费表'!B22&lt;=1,C5*F22*'数据-取费表'!B22,C5*(POWER((1+F22),'数据-取费表'!B22)-1)),0)</f>
        <v>2590650</v>
      </c>
      <c r="D23" s="244"/>
      <c r="E23" s="244"/>
      <c r="F23" s="245"/>
      <c r="G23" s="246" t="s">
        <v>2025</v>
      </c>
    </row>
    <row r="24" spans="1:7" s="220" customFormat="1" ht="13.5" customHeight="1">
      <c r="A24" s="868" t="s">
        <v>1915</v>
      </c>
      <c r="B24" s="221" t="s">
        <v>2026</v>
      </c>
      <c r="C24" s="1242">
        <f ca="1">ROUND(IF('数据-取费表'!B22&lt;=1,C19*F22*('数据-取费表'!B19/2+'数据-取费表'!B20),C19*(POWER((1+F22),('数据-取费表'!B19/2+'数据-取费表'!B20))-1)),0)</f>
        <v>2590650</v>
      </c>
      <c r="D24" s="244"/>
      <c r="E24" s="244"/>
      <c r="F24" s="245"/>
      <c r="G24" s="246" t="s">
        <v>2027</v>
      </c>
    </row>
    <row r="25" spans="1:7" s="220" customFormat="1" ht="26">
      <c r="A25" s="868" t="s">
        <v>1917</v>
      </c>
      <c r="B25" s="221" t="s">
        <v>2028</v>
      </c>
      <c r="C25" s="1242">
        <f ca="1">ROUND(IF('数据-取费表'!B22&lt;=1,C20*F22*'数据-取费表'!B22/2,C20*(POWER((1+F22),'数据-取费表'!B22/2)-1)),0)</f>
        <v>50215</v>
      </c>
      <c r="D25" s="244"/>
      <c r="E25" s="247"/>
      <c r="F25" s="245"/>
      <c r="G25" s="248" t="s">
        <v>2029</v>
      </c>
    </row>
    <row r="26" spans="1:7" s="220" customFormat="1" ht="13">
      <c r="A26" s="868" t="s">
        <v>614</v>
      </c>
      <c r="B26" s="221" t="s">
        <v>1952</v>
      </c>
      <c r="C26" s="244">
        <f ca="1">ROUND(IF('数据-取费表'!B22&lt;=1,F21*F22*'数据-取费表'!B22/2,F21*(POWER((1+F22),'数据-取费表'!B22/2)-1)),4)</f>
        <v>1.2999999999999999E-3</v>
      </c>
      <c r="D26" s="244"/>
      <c r="E26" s="247"/>
      <c r="F26" s="245"/>
      <c r="G26" s="249"/>
    </row>
    <row r="27" spans="1:7" s="220" customFormat="1" ht="27">
      <c r="A27" s="261" t="s">
        <v>1953</v>
      </c>
      <c r="B27" s="250" t="s">
        <v>1954</v>
      </c>
      <c r="C27" s="251">
        <f ca="1">C28</f>
        <v>8850715</v>
      </c>
      <c r="D27" s="241">
        <f ca="1">C29</f>
        <v>4.4000000000000003E-3</v>
      </c>
      <c r="E27" s="242" t="s">
        <v>1955</v>
      </c>
      <c r="F27" s="252">
        <f ca="1">IF(B1="",'数据-取费表'!Q16,INDIRECT("'数据-取费表'!q"&amp;$G$1))</f>
        <v>0.22</v>
      </c>
      <c r="G27" s="253" t="s">
        <v>1956</v>
      </c>
    </row>
    <row r="28" spans="1:7" s="220" customFormat="1" ht="13.5" customHeight="1">
      <c r="A28" s="868" t="s">
        <v>610</v>
      </c>
      <c r="B28" s="254" t="s">
        <v>1957</v>
      </c>
      <c r="C28" s="255">
        <f ca="1">ROUND((C5+C19+C20)*F27,0)</f>
        <v>8850715</v>
      </c>
      <c r="D28" s="241"/>
      <c r="E28" s="242"/>
      <c r="F28" s="252"/>
      <c r="G28" s="253"/>
    </row>
    <row r="29" spans="1:7" s="220" customFormat="1" ht="13.5" customHeight="1">
      <c r="A29" s="868" t="s">
        <v>611</v>
      </c>
      <c r="B29" s="254" t="s">
        <v>1958</v>
      </c>
      <c r="C29" s="244">
        <f ca="1">ROUND(C21*F27,4)</f>
        <v>4.4000000000000003E-3</v>
      </c>
      <c r="D29" s="241"/>
      <c r="E29" s="242"/>
      <c r="F29" s="252"/>
      <c r="G29" s="253"/>
    </row>
    <row r="30" spans="1:7" s="220" customFormat="1" ht="13.5" customHeight="1">
      <c r="A30" s="261" t="s">
        <v>1959</v>
      </c>
      <c r="B30" s="216" t="s">
        <v>1960</v>
      </c>
      <c r="C30" s="241">
        <f>ROUND(F30/(1+'数据-取费表'!C42),4)</f>
        <v>5.33E-2</v>
      </c>
      <c r="D30" s="242" t="s">
        <v>1955</v>
      </c>
      <c r="E30" s="247"/>
      <c r="F30" s="243">
        <f>'数据-取费表'!B41</f>
        <v>5.6000000000000001E-2</v>
      </c>
      <c r="G30" s="240" t="s">
        <v>1961</v>
      </c>
    </row>
    <row r="31" spans="1:7" ht="16.5" customHeight="1">
      <c r="A31" s="215">
        <v>1</v>
      </c>
      <c r="B31" s="216" t="s">
        <v>1962</v>
      </c>
      <c r="C31" s="217">
        <f ca="1">ROUND((C5+C19+C20+C22+C27)/(1-C21-D22-D27-C30),0)</f>
        <v>58971501</v>
      </c>
      <c r="D31" s="236"/>
      <c r="E31" s="217"/>
      <c r="F31" s="256"/>
      <c r="G31" s="240" t="s">
        <v>1963</v>
      </c>
    </row>
    <row r="32" spans="1:7" s="214" customFormat="1" ht="16">
      <c r="A32" s="258" t="s">
        <v>2030</v>
      </c>
      <c r="B32" s="259"/>
      <c r="C32" s="259"/>
      <c r="D32" s="259"/>
      <c r="E32" s="259"/>
      <c r="F32" s="259"/>
      <c r="G32" s="260"/>
    </row>
    <row r="33" spans="1:7" s="220" customFormat="1" ht="13.5" customHeight="1">
      <c r="A33" s="261" t="s">
        <v>601</v>
      </c>
      <c r="B33" s="216" t="s">
        <v>2031</v>
      </c>
      <c r="C33" s="262">
        <f ca="1">SUM(C34:C38)</f>
        <v>574415295</v>
      </c>
      <c r="D33" s="238"/>
      <c r="E33" s="218"/>
      <c r="F33" s="247"/>
      <c r="G33" s="240"/>
    </row>
    <row r="34" spans="1:7" s="264" customFormat="1" ht="13.5" customHeight="1">
      <c r="A34" s="868" t="s">
        <v>610</v>
      </c>
      <c r="B34" s="221" t="s">
        <v>1966</v>
      </c>
      <c r="C34" s="226">
        <f ca="1">ROUND(IF(B1="",SUMPRODUCT('数据-取费表'!K6:K14,'数据-取费表'!L6:L14),INDIRECT("'数据-取费表'!l"&amp;$G$1)*INDIRECT("'数据-取费表'!k"&amp;$G$1)+'数据-取费表'!L14*INDIRECT("'数据-取费表'!S"&amp;$G$1)),0)</f>
        <v>520839860</v>
      </c>
      <c r="D34" s="223"/>
      <c r="E34" s="226"/>
      <c r="F34" s="263"/>
      <c r="G34" s="225"/>
    </row>
    <row r="35" spans="1:7" ht="13.5" customHeight="1">
      <c r="A35" s="868" t="s">
        <v>615</v>
      </c>
      <c r="B35" s="221" t="s">
        <v>1968</v>
      </c>
      <c r="C35" s="226">
        <f ca="1">ROUND(C34*F35,0)</f>
        <v>26041993</v>
      </c>
      <c r="D35" s="226"/>
      <c r="E35" s="226"/>
      <c r="F35" s="265">
        <f>'数据-取费表'!B33</f>
        <v>0.05</v>
      </c>
      <c r="G35" s="225" t="s">
        <v>1969</v>
      </c>
    </row>
    <row r="36" spans="1:7" ht="26">
      <c r="A36" s="868" t="s">
        <v>616</v>
      </c>
      <c r="B36" s="221" t="s">
        <v>1970</v>
      </c>
      <c r="C36" s="226">
        <f ca="1">ROUND(IF(B1="",SUM('数据-取费表'!AP6:AP13)*F36,IF(INDIRECT("'数据-取费表'!c"&amp;$G$1)="住宅",INDIRECT("'数据-取费表'!k"&amp;$G$1)*INDIRECT("'数据-取费表'!l"&amp;$G$1)*F36,0)),0)</f>
        <v>0</v>
      </c>
      <c r="D36" s="226"/>
      <c r="E36" s="226"/>
      <c r="F36" s="265">
        <f>'数据-取费表'!B34</f>
        <v>0</v>
      </c>
      <c r="G36" s="266" t="s">
        <v>1971</v>
      </c>
    </row>
    <row r="37" spans="1:7" s="264" customFormat="1" ht="13.5" customHeight="1">
      <c r="A37" s="868" t="s">
        <v>617</v>
      </c>
      <c r="B37" s="221" t="s">
        <v>1972</v>
      </c>
      <c r="C37" s="255">
        <f ca="1">ROUND(E37*D37,0)</f>
        <v>19720844</v>
      </c>
      <c r="D37" s="223">
        <f ca="1">D19</f>
        <v>98604.219999999987</v>
      </c>
      <c r="E37" s="255">
        <f>'数据-取费表'!B35</f>
        <v>200</v>
      </c>
      <c r="F37" s="265"/>
      <c r="G37" s="267"/>
    </row>
    <row r="38" spans="1:7" ht="13.5" customHeight="1">
      <c r="A38" s="868" t="s">
        <v>618</v>
      </c>
      <c r="B38" s="221" t="s">
        <v>1974</v>
      </c>
      <c r="C38" s="226">
        <f ca="1">ROUND(C34*F38,0)</f>
        <v>7812598</v>
      </c>
      <c r="D38" s="226"/>
      <c r="E38" s="226"/>
      <c r="F38" s="265">
        <f>'数据-取费表'!B36</f>
        <v>1.4999999999999999E-2</v>
      </c>
      <c r="G38" s="225" t="s">
        <v>1969</v>
      </c>
    </row>
    <row r="39" spans="1:7" s="220" customFormat="1" ht="13.5" customHeight="1">
      <c r="A39" s="261" t="s">
        <v>1975</v>
      </c>
      <c r="B39" s="216" t="s">
        <v>1976</v>
      </c>
      <c r="C39" s="238">
        <f ca="1">ROUND(C33*F20,0)</f>
        <v>11488306</v>
      </c>
      <c r="D39" s="238"/>
      <c r="E39" s="238"/>
      <c r="F39" s="2484">
        <f>F20</f>
        <v>0.02</v>
      </c>
      <c r="G39" s="240" t="s">
        <v>1977</v>
      </c>
    </row>
    <row r="40" spans="1:7" s="220" customFormat="1" ht="13.5" customHeight="1">
      <c r="A40" s="261" t="s">
        <v>1978</v>
      </c>
      <c r="B40" s="216" t="s">
        <v>1979</v>
      </c>
      <c r="C40" s="1447">
        <f>F21</f>
        <v>0.02</v>
      </c>
      <c r="D40" s="242" t="s">
        <v>1980</v>
      </c>
      <c r="E40" s="238"/>
      <c r="F40" s="2484">
        <f>F21</f>
        <v>0.02</v>
      </c>
      <c r="G40" s="240" t="s">
        <v>1981</v>
      </c>
    </row>
    <row r="41" spans="1:7" s="220" customFormat="1" ht="13.5" customHeight="1">
      <c r="A41" s="261" t="s">
        <v>1982</v>
      </c>
      <c r="B41" s="216" t="s">
        <v>1983</v>
      </c>
      <c r="C41" s="238">
        <f ca="1">ROUND(SUM(C42:C43),0)</f>
        <v>37296831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1984</v>
      </c>
      <c r="C42" s="244">
        <f ca="1">ROUND(IF('数据-取费表'!B22&lt;=1,C33*F22*'数据-取费表'!B20/2,C33*(POWER((1+F22),'数据-取费表'!B20/2)-1)),0)</f>
        <v>36565521</v>
      </c>
      <c r="D42" s="244"/>
      <c r="E42" s="244"/>
      <c r="F42" s="245"/>
      <c r="G42" s="3371" t="s">
        <v>2032</v>
      </c>
    </row>
    <row r="43" spans="1:7" ht="13.5" customHeight="1">
      <c r="A43" s="868" t="s">
        <v>611</v>
      </c>
      <c r="B43" s="221" t="s">
        <v>1986</v>
      </c>
      <c r="C43" s="244">
        <f ca="1">ROUND(IF('数据-取费表'!B22&lt;=1,C39*F22*'数据-取费表'!B20/2,C39*(POWER((1+F22),'数据-取费表'!B20/2)-1)),0)</f>
        <v>731310</v>
      </c>
      <c r="D43" s="244"/>
      <c r="E43" s="244"/>
      <c r="F43" s="245"/>
      <c r="G43" s="3372"/>
    </row>
    <row r="44" spans="1:7" ht="13.5" customHeight="1">
      <c r="A44" s="868" t="s">
        <v>612</v>
      </c>
      <c r="B44" s="221" t="s">
        <v>1987</v>
      </c>
      <c r="C44" s="244">
        <f ca="1">ROUND(IF('数据-取费表'!B22&lt;=1,C40*F22*'数据-取费表'!B20/2,C40*(POWER((1+F22),'数据-取费表'!B20/2)-1)),4)</f>
        <v>1.2999999999999999E-3</v>
      </c>
      <c r="D44" s="244"/>
      <c r="E44" s="244"/>
      <c r="F44" s="245"/>
      <c r="G44" s="3373"/>
    </row>
    <row r="45" spans="1:7" s="220" customFormat="1" ht="13.5" customHeight="1">
      <c r="A45" s="261" t="s">
        <v>1988</v>
      </c>
      <c r="B45" s="250" t="s">
        <v>1954</v>
      </c>
      <c r="C45" s="251">
        <f ca="1">C46</f>
        <v>128898792</v>
      </c>
      <c r="D45" s="241">
        <f ca="1">C47</f>
        <v>4.4000000000000003E-3</v>
      </c>
      <c r="E45" s="242" t="s">
        <v>1980</v>
      </c>
      <c r="F45" s="2486">
        <f ca="1">F27</f>
        <v>0.22</v>
      </c>
      <c r="G45" s="253" t="s">
        <v>1989</v>
      </c>
    </row>
    <row r="46" spans="1:7" s="220" customFormat="1" ht="13.5" customHeight="1">
      <c r="A46" s="868" t="s">
        <v>610</v>
      </c>
      <c r="B46" s="254" t="s">
        <v>1990</v>
      </c>
      <c r="C46" s="255">
        <f ca="1">ROUND((C33+C39)*F27,0)</f>
        <v>128898792</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268">
        <f>ROUND(F30/(1+'数据-取费表'!C42),4)</f>
        <v>5.33E-2</v>
      </c>
      <c r="D48" s="242" t="s">
        <v>1980</v>
      </c>
      <c r="E48" s="238"/>
      <c r="F48" s="2485">
        <f>F30</f>
        <v>5.6000000000000001E-2</v>
      </c>
      <c r="G48" s="240" t="s">
        <v>1993</v>
      </c>
    </row>
    <row r="49" spans="1:7" ht="16.5" customHeight="1">
      <c r="A49" s="261" t="s">
        <v>1959</v>
      </c>
      <c r="B49" s="216" t="s">
        <v>2033</v>
      </c>
      <c r="C49" s="238">
        <f ca="1">ROUND((C33+C39+C41+C45)/(1-C40-D41-D45-C48),0)</f>
        <v>816611535</v>
      </c>
      <c r="D49" s="238"/>
      <c r="E49" s="238"/>
      <c r="F49" s="270"/>
      <c r="G49" s="240" t="s">
        <v>1995</v>
      </c>
    </row>
    <row r="50" spans="1:7" s="264" customFormat="1" ht="13.5">
      <c r="A50" s="261" t="s">
        <v>1996</v>
      </c>
      <c r="B50" s="216" t="s">
        <v>1997</v>
      </c>
      <c r="C50" s="238"/>
      <c r="D50" s="238"/>
      <c r="E50" s="238"/>
      <c r="F50" s="270">
        <f>IF('数据-取费表'!B24=0,'数据-取费表'!N16,1)</f>
        <v>0.98</v>
      </c>
      <c r="G50" s="253"/>
    </row>
    <row r="51" spans="1:7" ht="16.5" customHeight="1">
      <c r="A51" s="261" t="s">
        <v>1999</v>
      </c>
      <c r="B51" s="216" t="s">
        <v>2034</v>
      </c>
      <c r="C51" s="238">
        <f ca="1">ROUND(C49*F50,0)</f>
        <v>800279304</v>
      </c>
      <c r="D51" s="238"/>
      <c r="E51" s="238"/>
      <c r="F51" s="270"/>
      <c r="G51" s="240" t="s">
        <v>2001</v>
      </c>
    </row>
    <row r="52" spans="1:7" s="214" customFormat="1" ht="16.5" thickBot="1">
      <c r="A52" s="271" t="s">
        <v>2002</v>
      </c>
      <c r="B52" s="272"/>
      <c r="C52" s="273">
        <f ca="1">C31+C51</f>
        <v>859250805</v>
      </c>
      <c r="D52" s="272"/>
      <c r="E52" s="272"/>
      <c r="F52" s="272"/>
      <c r="G52" s="274"/>
    </row>
    <row r="55" spans="1:7" ht="15.5">
      <c r="B55" s="276" t="s">
        <v>2003</v>
      </c>
      <c r="C55" s="277"/>
    </row>
    <row r="56" spans="1:7" ht="13">
      <c r="B56" s="279" t="s">
        <v>1233</v>
      </c>
      <c r="C56" s="281">
        <f ca="1">1-C57</f>
        <v>6.899999999999995E-2</v>
      </c>
    </row>
    <row r="57" spans="1:7" ht="13">
      <c r="B57" s="279" t="s">
        <v>1234</v>
      </c>
      <c r="C57" s="280">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90625" style="737" customWidth="1"/>
    <col min="2" max="2" width="25.90625" style="869" customWidth="1"/>
    <col min="3" max="3" width="10.36328125" style="912" customWidth="1"/>
    <col min="4" max="4" width="9.90625" style="869" customWidth="1"/>
    <col min="5" max="5" width="9.453125" style="737" customWidth="1"/>
    <col min="6" max="6" width="10.08984375" style="869" customWidth="1"/>
    <col min="7" max="7" width="10.90625" style="869" customWidth="1"/>
    <col min="8" max="8" width="10" style="869" customWidth="1"/>
    <col min="9" max="11" width="9.453125" style="869" customWidth="1"/>
    <col min="12" max="12" width="9" style="869" customWidth="1"/>
    <col min="13" max="13" width="10.453125" style="869" bestFit="1" customWidth="1"/>
    <col min="14" max="254" width="9" style="869" customWidth="1"/>
    <col min="255" max="16384" width="6.6328125" style="869"/>
  </cols>
  <sheetData>
    <row r="1" spans="1:33" ht="21">
      <c r="A1" s="202" t="s">
        <v>2035</v>
      </c>
      <c r="B1" s="1305"/>
      <c r="C1" s="1306"/>
      <c r="D1" s="1304"/>
      <c r="E1" s="2982"/>
      <c r="F1" s="2982"/>
      <c r="G1" s="2845"/>
      <c r="H1" s="2982"/>
      <c r="I1" s="2982"/>
      <c r="J1" s="2982"/>
      <c r="K1" s="2983">
        <f>MATCH(C1,'数据-取费表'!A6:A16,0)+5</f>
        <v>10</v>
      </c>
    </row>
    <row r="2" spans="1:33" ht="18" customHeight="1">
      <c r="A2" s="207" t="s">
        <v>1903</v>
      </c>
      <c r="B2" s="210">
        <f ca="1">C32</f>
        <v>-2384</v>
      </c>
      <c r="C2" s="282" t="s">
        <v>2036</v>
      </c>
      <c r="D2" s="282"/>
      <c r="E2" s="2982"/>
      <c r="F2" s="2982"/>
      <c r="G2" s="2982"/>
      <c r="H2" s="2982"/>
      <c r="I2" s="2982"/>
      <c r="J2" s="2982"/>
      <c r="K2" s="2982"/>
    </row>
    <row r="3" spans="1:33" ht="18" customHeight="1" thickBot="1">
      <c r="A3" s="209" t="s">
        <v>1905</v>
      </c>
      <c r="B3" s="210">
        <f ca="1">ROUND(B2*10000/IF(C1="",'数据-汇总表'!E3,INDIRECT("'数据-取费表'!K"&amp;$K$1)),0)</f>
        <v>-242</v>
      </c>
      <c r="C3" s="282" t="s">
        <v>2037</v>
      </c>
      <c r="D3" s="282"/>
      <c r="E3" s="2982"/>
      <c r="F3" s="2982"/>
      <c r="G3" s="2982"/>
      <c r="H3" s="2982"/>
      <c r="I3" s="2982"/>
      <c r="J3" s="2982"/>
      <c r="K3" s="2982"/>
    </row>
    <row r="4" spans="1:33" s="873" customFormat="1" ht="16.5" customHeight="1">
      <c r="A4" s="870" t="s">
        <v>2038</v>
      </c>
      <c r="B4" s="871"/>
      <c r="C4" s="913">
        <f>SUM(C8:K8)</f>
        <v>0</v>
      </c>
      <c r="D4" s="871"/>
      <c r="E4" s="871"/>
      <c r="F4" s="871"/>
      <c r="G4" s="871"/>
      <c r="H4" s="871"/>
      <c r="I4" s="871"/>
      <c r="J4" s="871"/>
      <c r="K4" s="872"/>
    </row>
    <row r="5" spans="1:33" s="877" customFormat="1" ht="26">
      <c r="A5" s="874" t="s">
        <v>2039</v>
      </c>
      <c r="B5" s="875" t="s">
        <v>2040</v>
      </c>
      <c r="C5" s="1995" t="s">
        <v>2041</v>
      </c>
      <c r="D5" s="1995" t="s">
        <v>2042</v>
      </c>
      <c r="E5" s="1995" t="s">
        <v>2043</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2044</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2045</v>
      </c>
      <c r="B7" s="136" t="s">
        <v>2046</v>
      </c>
      <c r="C7" s="283">
        <f>SUMIF('数据-汇总表'!$C19:$C33,假设开发法!C5,'数据-汇总表'!$E19:$E33)</f>
        <v>0</v>
      </c>
      <c r="D7" s="283">
        <f>SUMIF('数据-汇总表'!$C19:$C33,假设开发法!D5,'数据-汇总表'!$E19:$E33)</f>
        <v>0</v>
      </c>
      <c r="E7" s="283">
        <f>SUMIF('数据-汇总表'!$C19:$C33,假设开发法!E5,'数据-汇总表'!$E19:$E33)</f>
        <v>18842.53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2047</v>
      </c>
      <c r="B8" s="169" t="s">
        <v>2048</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2049</v>
      </c>
      <c r="B9" s="871"/>
      <c r="C9" s="871"/>
      <c r="D9" s="871"/>
      <c r="E9" s="871"/>
      <c r="F9" s="871"/>
      <c r="G9" s="871"/>
      <c r="H9" s="871"/>
      <c r="I9" s="871"/>
      <c r="J9" s="871"/>
      <c r="K9" s="872"/>
    </row>
    <row r="10" spans="1:33" s="887" customFormat="1" ht="13.5" customHeight="1">
      <c r="A10" s="874" t="s">
        <v>2050</v>
      </c>
      <c r="B10" s="8" t="s">
        <v>2051</v>
      </c>
      <c r="C10" s="883" t="s">
        <v>2052</v>
      </c>
      <c r="D10" s="884" t="s">
        <v>2053</v>
      </c>
      <c r="E10" s="884" t="s">
        <v>2054</v>
      </c>
      <c r="F10" s="884" t="s">
        <v>2055</v>
      </c>
      <c r="G10" s="8"/>
      <c r="H10" s="885"/>
      <c r="I10" s="885"/>
      <c r="J10" s="885"/>
      <c r="K10" s="886"/>
    </row>
    <row r="11" spans="1:33" s="892" customFormat="1" ht="13.5" customHeight="1">
      <c r="A11" s="888" t="s">
        <v>1060</v>
      </c>
      <c r="B11" s="889" t="s">
        <v>2056</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2057</v>
      </c>
      <c r="C12" s="24">
        <f ca="1">ROUND(C11*F12,0)</f>
        <v>0</v>
      </c>
      <c r="D12" s="890"/>
      <c r="E12" s="335"/>
      <c r="F12" s="893">
        <f>'数据-取费表'!B33</f>
        <v>0.05</v>
      </c>
      <c r="G12" s="8" t="s">
        <v>2058</v>
      </c>
      <c r="H12" s="885"/>
      <c r="I12" s="885"/>
      <c r="J12" s="885"/>
      <c r="K12" s="886"/>
    </row>
    <row r="13" spans="1:33" s="892" customFormat="1" ht="13.5" customHeight="1">
      <c r="A13" s="888" t="s">
        <v>1062</v>
      </c>
      <c r="B13" s="889" t="s">
        <v>2059</v>
      </c>
      <c r="C13" s="24">
        <f ca="1">ROUND(IF(C1="",SUMIF('数据-取费表'!C:C,"住宅",'数据-取费表'!P:P)*F13,IF(INDIRECT("'数据-取费表'!c"&amp;$K$1)="住宅",INDIRECT("'数据-取费表'!P"&amp;$K$1)*F13,0)),0)</f>
        <v>0</v>
      </c>
      <c r="D13" s="935"/>
      <c r="E13" s="335"/>
      <c r="F13" s="893">
        <f>'数据-取费表'!B34</f>
        <v>0</v>
      </c>
      <c r="G13" s="8" t="s">
        <v>2060</v>
      </c>
      <c r="H13" s="885"/>
      <c r="I13" s="885"/>
      <c r="J13" s="885"/>
      <c r="K13" s="886"/>
    </row>
    <row r="14" spans="1:33" s="894" customFormat="1" ht="13.5" customHeight="1">
      <c r="A14" s="888" t="s">
        <v>1063</v>
      </c>
      <c r="B14" s="889" t="s">
        <v>2061</v>
      </c>
      <c r="C14" s="24">
        <f ca="1">ROUND(D14*E14*F11/10000,0)</f>
        <v>0</v>
      </c>
      <c r="D14" s="935">
        <f ca="1">IF(C1="",'数据-汇总表'!E3,INDIRECT("'数据-取费表'!K"&amp;$K$1)+INDIRECT("'数据-取费表'!S"&amp;$K$1))</f>
        <v>98604.219999999987</v>
      </c>
      <c r="E14" s="24">
        <f>'数据-取费表'!B35</f>
        <v>200</v>
      </c>
      <c r="F14" s="893"/>
      <c r="G14" s="8" t="s">
        <v>2062</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2063</v>
      </c>
      <c r="C15" s="900">
        <f ca="1">ROUND(C11*F15,0)</f>
        <v>0</v>
      </c>
      <c r="D15" s="895"/>
      <c r="E15" s="900"/>
      <c r="F15" s="901">
        <f>'数据-取费表'!B36</f>
        <v>1.4999999999999999E-2</v>
      </c>
      <c r="G15" s="136" t="s">
        <v>2064</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2065</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2066</v>
      </c>
      <c r="C17" s="24">
        <f ca="1">ROUND(D17*E17/10000,0)</f>
        <v>0</v>
      </c>
      <c r="D17" s="935">
        <f ca="1">D14</f>
        <v>98604.219999999987</v>
      </c>
      <c r="E17" s="24">
        <f>'数据-取费表'!B32</f>
        <v>0</v>
      </c>
      <c r="F17" s="895"/>
      <c r="G17" s="136" t="s">
        <v>2067</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2068</v>
      </c>
      <c r="C18" s="24">
        <f ca="1">C19+C20-IF(C1="",'数据-取费表'!B29,IF(G18="已全部缴纳",C19+C20,H18))</f>
        <v>1972</v>
      </c>
      <c r="D18" s="935"/>
      <c r="E18" s="24"/>
      <c r="F18" s="893"/>
      <c r="G18" s="1997"/>
      <c r="H18" s="1301"/>
      <c r="I18" s="1998" t="s">
        <v>2069</v>
      </c>
      <c r="J18" s="896"/>
      <c r="K18" s="897"/>
    </row>
    <row r="19" spans="1:33" s="892" customFormat="1" ht="13.5" customHeight="1">
      <c r="A19" s="888" t="s">
        <v>624</v>
      </c>
      <c r="B19" s="889" t="s">
        <v>2070</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2071</v>
      </c>
      <c r="C20" s="24">
        <f ca="1">ROUND(D20*E20/10000,0)</f>
        <v>1972</v>
      </c>
      <c r="D20" s="935">
        <f ca="1">IF(C1="",'数据-汇总表'!E6,IF(INDIRECT("'数据-取费表'!c"&amp;$K$1)="住宅",INDIRECT("'数据-取费表'!s"&amp;$K$1),INDIRECT("'数据-取费表'!k"&amp;$K$1)+INDIRECT("'数据-取费表'!s"&amp;$K$1)))</f>
        <v>98604.219999999987</v>
      </c>
      <c r="E20" s="24">
        <f>'数据-取费表'!B28</f>
        <v>200</v>
      </c>
      <c r="F20" s="893"/>
      <c r="G20" s="15"/>
      <c r="H20" s="898"/>
      <c r="I20" s="898"/>
      <c r="J20" s="898"/>
      <c r="K20" s="899"/>
    </row>
    <row r="21" spans="1:33" s="892" customFormat="1" ht="13.5" customHeight="1">
      <c r="A21" s="878" t="s">
        <v>621</v>
      </c>
      <c r="B21" s="902" t="s">
        <v>2072</v>
      </c>
      <c r="C21" s="903">
        <f ca="1">C16+C17+C18</f>
        <v>1972</v>
      </c>
      <c r="D21" s="904"/>
      <c r="E21" s="287"/>
      <c r="F21" s="287"/>
      <c r="G21" s="136" t="s">
        <v>2073</v>
      </c>
      <c r="H21" s="896"/>
      <c r="I21" s="896"/>
      <c r="J21" s="896"/>
      <c r="K21" s="897"/>
    </row>
    <row r="22" spans="1:33" s="892" customFormat="1" ht="13.5" customHeight="1">
      <c r="A22" s="878" t="s">
        <v>2045</v>
      </c>
      <c r="B22" s="902" t="s">
        <v>2074</v>
      </c>
      <c r="C22" s="903">
        <f ca="1">ROUND(C21*F22,0)</f>
        <v>39</v>
      </c>
      <c r="D22" s="287"/>
      <c r="E22" s="287"/>
      <c r="F22" s="905">
        <f>'数据-取费表'!B37</f>
        <v>0.02</v>
      </c>
      <c r="G22" s="8" t="s">
        <v>2075</v>
      </c>
      <c r="H22" s="885"/>
      <c r="I22" s="885"/>
      <c r="J22" s="885"/>
      <c r="K22" s="886"/>
    </row>
    <row r="23" spans="1:33" s="892" customFormat="1" ht="13.5" customHeight="1">
      <c r="A23" s="878" t="s">
        <v>2047</v>
      </c>
      <c r="B23" s="902" t="s">
        <v>2076</v>
      </c>
      <c r="C23" s="903">
        <f ca="1">ROUND(C4*F23*F11,0)</f>
        <v>0</v>
      </c>
      <c r="D23" s="287"/>
      <c r="E23" s="287"/>
      <c r="F23" s="905">
        <f>'数据-取费表'!B38</f>
        <v>0.02</v>
      </c>
      <c r="G23" s="8" t="s">
        <v>2077</v>
      </c>
      <c r="H23" s="885"/>
      <c r="I23" s="885"/>
      <c r="J23" s="885"/>
      <c r="K23" s="886"/>
    </row>
    <row r="24" spans="1:33" s="892" customFormat="1" ht="13.5" customHeight="1">
      <c r="A24" s="878" t="s">
        <v>2078</v>
      </c>
      <c r="B24" s="902" t="s">
        <v>2079</v>
      </c>
      <c r="C24" s="286">
        <f>ROUND(F24/(1+'数据-取费表'!C42),4)</f>
        <v>2.9000000000000001E-2</v>
      </c>
      <c r="D24" s="287" t="s">
        <v>15</v>
      </c>
      <c r="E24" s="287"/>
      <c r="F24" s="905">
        <f>IF(项目基本情况!B8="出让",0,'数据-取费表'!B48+'数据-取费表'!B49)</f>
        <v>3.0499999999999999E-2</v>
      </c>
      <c r="G24" s="8" t="s">
        <v>2080</v>
      </c>
      <c r="H24" s="907"/>
      <c r="I24" s="907"/>
      <c r="J24" s="907"/>
      <c r="K24" s="908"/>
    </row>
    <row r="25" spans="1:33" s="892" customFormat="1" ht="13.5" customHeight="1">
      <c r="A25" s="878" t="s">
        <v>2081</v>
      </c>
      <c r="B25" s="904" t="s">
        <v>2082</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2083</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2084</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6"/>
      <c r="I27" s="896"/>
      <c r="J27" s="896"/>
      <c r="K27" s="897"/>
    </row>
    <row r="28" spans="1:33" s="295" customFormat="1" ht="13.5" customHeight="1">
      <c r="A28" s="878" t="s">
        <v>2085</v>
      </c>
      <c r="B28" s="2000" t="s">
        <v>2086</v>
      </c>
      <c r="C28" s="293">
        <f ca="1">C30</f>
        <v>442</v>
      </c>
      <c r="D28" s="286">
        <f ca="1">C29</f>
        <v>0</v>
      </c>
      <c r="E28" s="288" t="s">
        <v>15</v>
      </c>
      <c r="F28" s="294">
        <f ca="1">IF(C1="",'数据-取费表'!Q16,INDIRECT("'数据-取费表'!q"&amp;$K$1))</f>
        <v>0.22</v>
      </c>
      <c r="G28" s="906"/>
      <c r="H28" s="907"/>
      <c r="I28" s="907"/>
      <c r="J28" s="907"/>
      <c r="K28" s="908"/>
    </row>
    <row r="29" spans="1:33" s="297" customFormat="1" ht="13.5" customHeight="1">
      <c r="A29" s="888" t="s">
        <v>622</v>
      </c>
      <c r="B29" s="911" t="s">
        <v>2087</v>
      </c>
      <c r="C29" s="290">
        <f ca="1">ROUND((1+C24)*F28*'数据-取费表'!B24/'数据-取费表'!B20,4)</f>
        <v>0</v>
      </c>
      <c r="D29" s="290"/>
      <c r="E29" s="291"/>
      <c r="F29" s="296"/>
      <c r="G29" s="136" t="s">
        <v>2088</v>
      </c>
      <c r="H29" s="896"/>
      <c r="I29" s="896"/>
      <c r="J29" s="896"/>
      <c r="K29" s="897"/>
    </row>
    <row r="30" spans="1:33" s="297" customFormat="1" ht="13.5" customHeight="1">
      <c r="A30" s="888" t="s">
        <v>623</v>
      </c>
      <c r="B30" s="911" t="s">
        <v>2089</v>
      </c>
      <c r="C30" s="298">
        <f ca="1">ROUND((C21+C22+C23)*F28,0)</f>
        <v>442</v>
      </c>
      <c r="D30" s="290"/>
      <c r="E30" s="291"/>
      <c r="F30" s="296"/>
      <c r="G30" s="136"/>
      <c r="H30" s="896"/>
      <c r="I30" s="896"/>
      <c r="J30" s="896"/>
      <c r="K30" s="897"/>
    </row>
    <row r="31" spans="1:33" s="892" customFormat="1" ht="13.5" customHeight="1" thickBot="1">
      <c r="A31" s="2001" t="s">
        <v>2090</v>
      </c>
      <c r="B31" s="922" t="s">
        <v>2091</v>
      </c>
      <c r="C31" s="923">
        <f>ROUND(C4*F31/(1+'数据-取费表'!C42),0)</f>
        <v>0</v>
      </c>
      <c r="D31" s="924"/>
      <c r="E31" s="925"/>
      <c r="F31" s="926">
        <f>'数据-取费表'!B41</f>
        <v>5.6000000000000001E-2</v>
      </c>
      <c r="G31" s="927" t="s">
        <v>2092</v>
      </c>
      <c r="H31" s="928"/>
      <c r="I31" s="928"/>
      <c r="J31" s="928"/>
      <c r="K31" s="929"/>
    </row>
    <row r="32" spans="1:33" s="887" customFormat="1" ht="13.5" customHeight="1" thickBot="1">
      <c r="A32" s="917" t="s">
        <v>2093</v>
      </c>
      <c r="B32" s="918"/>
      <c r="C32" s="919">
        <f ca="1">ROUND((C4-C21-C22-C23-C25-C28-C31)/(1+C24+D25+D28),0)</f>
        <v>-2384</v>
      </c>
      <c r="D32" s="918"/>
      <c r="E32" s="918"/>
      <c r="F32" s="918"/>
      <c r="G32" s="920" t="s">
        <v>2094</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topLeftCell="A112" zoomScaleNormal="100" zoomScaleSheetLayoutView="100" zoomScalePageLayoutView="80" workbookViewId="0">
      <selection activeCell="G37" sqref="G37"/>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27</v>
      </c>
      <c r="D1" s="1882"/>
      <c r="E1" s="1882"/>
      <c r="F1" s="1884" t="s">
        <v>1704</v>
      </c>
      <c r="G1" s="1696"/>
      <c r="H1" s="1885" t="str">
        <f>IF(G1="现房","——","估价对象范围")</f>
        <v>估价对象范围</v>
      </c>
      <c r="I1" s="1886"/>
    </row>
    <row r="2" spans="1:12" ht="21.75" customHeight="1" thickBot="1">
      <c r="A2" s="3479" t="str">
        <f>项目基本情况!S2</f>
        <v>北京市朝阳区朝阳门南大街10号房地产</v>
      </c>
      <c r="B2" s="3480"/>
      <c r="C2" s="3480"/>
      <c r="D2" s="3480"/>
      <c r="E2" s="3480"/>
      <c r="F2" s="3480"/>
      <c r="G2" s="3480"/>
      <c r="H2" s="3480"/>
      <c r="I2" s="3481"/>
    </row>
    <row r="3" spans="1:12" ht="13">
      <c r="A3" s="3483" t="s">
        <v>1705</v>
      </c>
      <c r="B3" s="3484"/>
      <c r="C3" s="3484"/>
      <c r="D3" s="3484"/>
      <c r="E3" s="3484"/>
      <c r="F3" s="3484"/>
      <c r="G3" s="3484"/>
      <c r="H3" s="3484"/>
      <c r="I3" s="3484"/>
    </row>
    <row r="4" spans="1:12" ht="14">
      <c r="A4" s="1889" t="s">
        <v>1706</v>
      </c>
      <c r="B4" s="1890" t="s">
        <v>1707</v>
      </c>
      <c r="C4" s="1891" t="s">
        <v>3748</v>
      </c>
      <c r="D4" s="1891" t="s">
        <v>3726</v>
      </c>
      <c r="E4" s="3485" t="s">
        <v>1708</v>
      </c>
      <c r="F4" s="3486"/>
      <c r="G4" s="3486"/>
      <c r="H4" s="3486"/>
      <c r="I4" s="3487"/>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
      <c r="A5" s="3459" t="s">
        <v>1709</v>
      </c>
      <c r="B5" s="3446">
        <v>25</v>
      </c>
      <c r="C5" s="3462"/>
      <c r="D5" s="3482"/>
      <c r="E5" s="136" t="s">
        <v>1710</v>
      </c>
      <c r="F5" s="1892"/>
      <c r="G5" s="1892"/>
      <c r="H5" s="1892"/>
      <c r="I5" s="1507"/>
    </row>
    <row r="6" spans="1:12" ht="13">
      <c r="A6" s="3459"/>
      <c r="B6" s="3446"/>
      <c r="C6" s="3463"/>
      <c r="D6" s="3482"/>
      <c r="E6" s="136" t="s">
        <v>1711</v>
      </c>
      <c r="F6" s="1892"/>
      <c r="G6" s="1892"/>
      <c r="H6" s="1892"/>
      <c r="I6" s="1507"/>
    </row>
    <row r="7" spans="1:12" ht="13">
      <c r="A7" s="3459"/>
      <c r="B7" s="3446"/>
      <c r="C7" s="3464"/>
      <c r="D7" s="3482"/>
      <c r="E7" s="136" t="s">
        <v>1712</v>
      </c>
      <c r="F7" s="1892"/>
      <c r="G7" s="1892"/>
      <c r="H7" s="1892"/>
      <c r="I7" s="1507"/>
    </row>
    <row r="8" spans="1:12" ht="13">
      <c r="A8" s="3459" t="s">
        <v>1713</v>
      </c>
      <c r="B8" s="3446">
        <v>15</v>
      </c>
      <c r="C8" s="3462"/>
      <c r="D8" s="3482"/>
      <c r="E8" s="136" t="s">
        <v>1714</v>
      </c>
      <c r="F8" s="1892"/>
      <c r="G8" s="1892"/>
      <c r="H8" s="1892"/>
      <c r="I8" s="1507"/>
    </row>
    <row r="9" spans="1:12" ht="13">
      <c r="A9" s="3459"/>
      <c r="B9" s="3446"/>
      <c r="C9" s="3464"/>
      <c r="D9" s="3482"/>
      <c r="E9" s="136" t="s">
        <v>1715</v>
      </c>
      <c r="F9" s="1892"/>
      <c r="G9" s="1892"/>
      <c r="H9" s="1892"/>
      <c r="I9" s="1507"/>
    </row>
    <row r="10" spans="1:12" ht="13">
      <c r="A10" s="3459" t="s">
        <v>1716</v>
      </c>
      <c r="B10" s="3446">
        <v>15</v>
      </c>
      <c r="C10" s="3462"/>
      <c r="D10" s="3482"/>
      <c r="E10" s="136" t="s">
        <v>1717</v>
      </c>
      <c r="F10" s="1892"/>
      <c r="G10" s="1892"/>
      <c r="H10" s="1892"/>
      <c r="I10" s="1507"/>
    </row>
    <row r="11" spans="1:12" ht="13">
      <c r="A11" s="3459"/>
      <c r="B11" s="3446"/>
      <c r="C11" s="3464"/>
      <c r="D11" s="3482"/>
      <c r="E11" s="136" t="s">
        <v>1718</v>
      </c>
      <c r="F11" s="1892"/>
      <c r="G11" s="1892"/>
      <c r="H11" s="1892"/>
      <c r="I11" s="1507"/>
    </row>
    <row r="12" spans="1:12" ht="13">
      <c r="A12" s="3459" t="s">
        <v>1719</v>
      </c>
      <c r="B12" s="3446">
        <v>15</v>
      </c>
      <c r="C12" s="3462"/>
      <c r="D12" s="3482"/>
      <c r="E12" s="136" t="s">
        <v>1720</v>
      </c>
      <c r="F12" s="1892"/>
      <c r="G12" s="1892"/>
      <c r="H12" s="1892"/>
      <c r="I12" s="1507"/>
    </row>
    <row r="13" spans="1:12" ht="13">
      <c r="A13" s="3459"/>
      <c r="B13" s="3446"/>
      <c r="C13" s="3464"/>
      <c r="D13" s="3482"/>
      <c r="E13" s="136" t="s">
        <v>1721</v>
      </c>
      <c r="F13" s="1892"/>
      <c r="G13" s="1892"/>
      <c r="H13" s="1892"/>
      <c r="I13" s="1507"/>
    </row>
    <row r="14" spans="1:12" ht="13">
      <c r="A14" s="3459" t="s">
        <v>1722</v>
      </c>
      <c r="B14" s="3446">
        <v>30</v>
      </c>
      <c r="C14" s="3462">
        <v>5</v>
      </c>
      <c r="D14" s="3482">
        <v>5</v>
      </c>
      <c r="E14" s="136" t="s">
        <v>1723</v>
      </c>
      <c r="F14" s="1892"/>
      <c r="G14" s="1892"/>
      <c r="H14" s="1892"/>
      <c r="I14" s="1507"/>
    </row>
    <row r="15" spans="1:12" ht="13">
      <c r="A15" s="3459"/>
      <c r="B15" s="3446"/>
      <c r="C15" s="3463"/>
      <c r="D15" s="3482"/>
      <c r="E15" s="136" t="s">
        <v>1724</v>
      </c>
      <c r="F15" s="1892"/>
      <c r="G15" s="1892"/>
      <c r="H15" s="1892"/>
      <c r="I15" s="1507"/>
    </row>
    <row r="16" spans="1:12" ht="13">
      <c r="A16" s="3459"/>
      <c r="B16" s="3446"/>
      <c r="C16" s="3464"/>
      <c r="D16" s="3482"/>
      <c r="E16" s="136" t="s">
        <v>1725</v>
      </c>
      <c r="F16" s="1892"/>
      <c r="G16" s="1892"/>
      <c r="H16" s="1892"/>
      <c r="I16" s="1507"/>
    </row>
    <row r="17" spans="1:36" ht="14">
      <c r="A17" s="1893" t="s">
        <v>1726</v>
      </c>
      <c r="B17" s="60"/>
      <c r="C17" s="137">
        <f>SUM(C5:C16)</f>
        <v>5</v>
      </c>
      <c r="D17" s="137">
        <f>SUM(D5:D16)</f>
        <v>5</v>
      </c>
      <c r="E17" s="134"/>
      <c r="F17" s="134"/>
      <c r="G17" s="134"/>
      <c r="H17" s="134"/>
      <c r="I17" s="134"/>
      <c r="K17" s="308"/>
      <c r="L17" s="308" t="s">
        <v>1727</v>
      </c>
      <c r="M17" s="308" t="s">
        <v>1728</v>
      </c>
    </row>
    <row r="18" spans="1:36" ht="32.15" customHeight="1" thickBot="1">
      <c r="A18" s="1894" t="s">
        <v>1729</v>
      </c>
      <c r="B18" s="1895"/>
      <c r="C18" s="138">
        <f>ROUND(C17/SUM(C17:D17),2)</f>
        <v>0.5</v>
      </c>
      <c r="D18" s="138">
        <f>1-C18</f>
        <v>0.5</v>
      </c>
      <c r="E18" s="3469" t="s">
        <v>2628</v>
      </c>
      <c r="F18" s="3470"/>
      <c r="G18" s="3470"/>
      <c r="H18" s="3470"/>
      <c r="I18" s="3470"/>
      <c r="K18" s="308" t="s">
        <v>1730</v>
      </c>
      <c r="L18" s="308">
        <f>IF(C1="",'数据-汇总表'!E3,SUMIF(项目类型,C1,'数据-汇总表'!E17:E26)+SUMIF(项目类型,C1,'数据-汇总表'!I17:I26))</f>
        <v>73689.229999999981</v>
      </c>
      <c r="M18" s="308">
        <f>IF(C1="",'数据-汇总表'!E3,SUMIF(项目类型,C1,'数据-汇总表'!E17:E26))</f>
        <v>73689.229999999981</v>
      </c>
    </row>
    <row r="19" spans="1:36" ht="14">
      <c r="A19" s="1896" t="s">
        <v>1731</v>
      </c>
      <c r="B19" s="1897" t="s">
        <v>1732</v>
      </c>
      <c r="C19" s="139">
        <f ca="1">SUMIF(INDIRECT("'"&amp;C4&amp;"'"&amp;"!A:A"),'结果表(办公)'!B19,INDIRECT("'"&amp;C4&amp;"'"&amp;"!B:B"))</f>
        <v>462908</v>
      </c>
      <c r="D19" s="140">
        <f ca="1">SUMIF(INDIRECT("'"&amp;D4&amp;"'"&amp;"!A:A"),'结果表(办公)'!B19,INDIRECT("'"&amp;D4&amp;"'"&amp;"!B:B"))</f>
        <v>464464</v>
      </c>
      <c r="E19" s="1896" t="s">
        <v>1733</v>
      </c>
      <c r="F19" s="1897" t="s">
        <v>1732</v>
      </c>
      <c r="G19" s="141">
        <f ca="1">ROUND(C19*$C$18+D19*$D$18,0)</f>
        <v>463686</v>
      </c>
      <c r="H19" s="1898" t="s">
        <v>1734</v>
      </c>
      <c r="I19" s="134"/>
      <c r="K19" s="308" t="s">
        <v>1735</v>
      </c>
      <c r="L19" s="308">
        <f>IF(C1="",'数据-汇总表'!D3,SUMIF(项目类型,C1,'数据-汇总表'!D17:D26)+SUMIF(项目类型,C1,'数据-汇总表'!H17:H27))</f>
        <v>4242.1099999999997</v>
      </c>
      <c r="M19" s="308">
        <f>IF(C1="",'数据-汇总表'!D3,SUMIF(项目类型,C1,'数据-汇总表'!D17:D26))</f>
        <v>4242.1099999999997</v>
      </c>
    </row>
    <row r="20" spans="1:36" ht="14">
      <c r="A20" s="1899"/>
      <c r="B20" s="1137" t="s">
        <v>1736</v>
      </c>
      <c r="C20" s="142">
        <f ca="1">SUMIF(INDIRECT("'"&amp;C4&amp;"'"&amp;"!A:A"),'结果表(办公)'!B20,INDIRECT("'"&amp;C4&amp;"'"&amp;"!B:B"))</f>
        <v>62819</v>
      </c>
      <c r="D20" s="143">
        <f ca="1">SUMIF(INDIRECT("'"&amp;D4&amp;"'"&amp;"!A:A"),'结果表(办公)'!B20,INDIRECT("'"&amp;D4&amp;"'"&amp;"!B:B"))</f>
        <v>63030</v>
      </c>
      <c r="E20" s="1899"/>
      <c r="F20" s="1137" t="s">
        <v>1736</v>
      </c>
      <c r="G20" s="144">
        <f ca="1">ROUND(C20*$C$18+D20*$D$18,0)</f>
        <v>62925</v>
      </c>
      <c r="H20" s="897" t="s">
        <v>1737</v>
      </c>
      <c r="I20" s="134"/>
    </row>
    <row r="21" spans="1:36" ht="15" customHeight="1" thickBot="1">
      <c r="A21" s="917"/>
      <c r="B21" s="1900" t="s">
        <v>1738</v>
      </c>
      <c r="C21" s="728">
        <f ca="1">ROUND(C19*10000/L19,0)</f>
        <v>1091221</v>
      </c>
      <c r="D21" s="729">
        <f ca="1">ROUND(D19*10000/L19,0)</f>
        <v>1094889</v>
      </c>
      <c r="E21" s="917"/>
      <c r="F21" s="1900" t="s">
        <v>1738</v>
      </c>
      <c r="G21" s="145">
        <f ca="1">ROUND(G19*10000/L19,0)</f>
        <v>1093055</v>
      </c>
      <c r="H21" s="1901" t="s">
        <v>1737</v>
      </c>
      <c r="I21" s="134"/>
    </row>
    <row r="22" spans="1:36" ht="14.5" thickBot="1">
      <c r="A22" s="1823" t="s">
        <v>1739</v>
      </c>
      <c r="B22" s="1902"/>
      <c r="C22" s="1903"/>
      <c r="D22" s="730">
        <f ca="1">IF(C19&lt;D19,D19/C19-1,C19/D19-1)</f>
        <v>3.3613590605476862E-3</v>
      </c>
      <c r="E22" s="134"/>
      <c r="F22" s="134"/>
      <c r="G22" s="134"/>
      <c r="H22" s="134"/>
      <c r="I22" s="134"/>
    </row>
    <row r="23" spans="1:36" ht="13" thickBot="1">
      <c r="A23" s="1882"/>
      <c r="B23" s="1882"/>
      <c r="C23" s="1882"/>
      <c r="D23" s="1882"/>
      <c r="E23" s="134"/>
      <c r="F23" s="134"/>
      <c r="G23" s="134"/>
      <c r="H23" s="134"/>
      <c r="I23" s="134"/>
    </row>
    <row r="24" spans="1:36" ht="14">
      <c r="A24" s="3453" t="s">
        <v>1740</v>
      </c>
      <c r="B24" s="1897" t="s">
        <v>1732</v>
      </c>
      <c r="C24" s="141">
        <f>IF(B30=0,0,D30)</f>
        <v>0</v>
      </c>
      <c r="D24" s="1904"/>
      <c r="E24" s="134"/>
      <c r="F24" s="134"/>
      <c r="G24" s="134"/>
      <c r="H24" s="134"/>
      <c r="I24" s="134"/>
    </row>
    <row r="25" spans="1:36" ht="14">
      <c r="A25" s="3454"/>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463686</v>
      </c>
      <c r="D32" s="1910" t="s">
        <v>3744</v>
      </c>
      <c r="E32" s="134"/>
      <c r="F32" s="134"/>
      <c r="G32" s="134"/>
      <c r="H32" s="134"/>
      <c r="I32" s="134"/>
    </row>
    <row r="33" spans="1:15" ht="14">
      <c r="A33" s="874" t="s">
        <v>1747</v>
      </c>
      <c r="B33" s="1911"/>
      <c r="C33" s="1912" t="s">
        <v>3803</v>
      </c>
      <c r="D33" s="1913" t="s">
        <v>3726</v>
      </c>
      <c r="E33" s="1914" t="s">
        <v>1748</v>
      </c>
      <c r="F33" s="1915" t="str">
        <f>IF(D32="楼面单价","取值（单价）","取值（总价）")</f>
        <v>取值（总价）</v>
      </c>
      <c r="G33" s="134"/>
      <c r="H33" s="134"/>
      <c r="I33" s="134"/>
    </row>
    <row r="34" spans="1:15" ht="14">
      <c r="A34" s="1916"/>
      <c r="B34" s="1917" t="s">
        <v>1749</v>
      </c>
      <c r="C34" s="153">
        <f ca="1">IF(C33="自定义",F34,C32-C35)</f>
        <v>369558</v>
      </c>
      <c r="D34" s="950">
        <f ca="1">IF(C33="自定义",ROUND(C34/C32,3),IF(C33="收益比率",SUMIF(INDIRECT("'"&amp;D33&amp;"'"&amp;"!b:b"),"土地收益比率",INDIRECT("'"&amp;D33&amp;"'"&amp;"!c:c")),SUMIF(INDIRECT("'"&amp;D33&amp;"'"&amp;"!b:b"),"土地成本比率",INDIRECT("'"&amp;D33&amp;"'"&amp;"!c:c"))))</f>
        <v>0.79699999999999993</v>
      </c>
      <c r="E34" s="1918" t="s">
        <v>1750</v>
      </c>
      <c r="F34" s="1450"/>
      <c r="G34" s="134"/>
      <c r="H34" s="134"/>
      <c r="I34" s="134"/>
    </row>
    <row r="35" spans="1:15" ht="14.5" thickBot="1">
      <c r="A35" s="1919"/>
      <c r="B35" s="1920" t="s">
        <v>1751</v>
      </c>
      <c r="C35" s="1284">
        <f ca="1">IF(C33="自定义",F35,ROUND(C32*D35,0))</f>
        <v>94128</v>
      </c>
      <c r="D35" s="1285">
        <f ca="1">IF(C33="自定义",ROUND(C35/C32,3),IF(C33="收益比率",SUMIF(INDIRECT("'"&amp;D33&amp;"'"&amp;"!b:b"),"建筑物收益比率",INDIRECT("'"&amp;D33&amp;"'"&amp;"!c:c")),SUMIF(INDIRECT("'"&amp;D33&amp;"'"&amp;"!b:b"),"建筑物成本比率",INDIRECT("'"&amp;D33&amp;"'"&amp;"!c:c"))))</f>
        <v>0.20300000000000001</v>
      </c>
      <c r="E35" s="1921" t="s">
        <v>1752</v>
      </c>
      <c r="F35" s="159"/>
      <c r="G35" s="134"/>
      <c r="H35" s="134"/>
      <c r="I35" s="134"/>
    </row>
    <row r="36" spans="1:15" ht="14.5" thickBot="1">
      <c r="A36" s="3473" t="s">
        <v>1753</v>
      </c>
      <c r="B36" s="1922" t="s">
        <v>1754</v>
      </c>
      <c r="C36" s="150"/>
      <c r="D36" s="1923"/>
      <c r="E36" s="1924"/>
      <c r="F36" s="1925"/>
      <c r="G36" s="134"/>
      <c r="H36" s="134"/>
      <c r="I36" s="134"/>
    </row>
    <row r="37" spans="1:15" ht="14.5" thickBot="1">
      <c r="A37" s="3474"/>
      <c r="B37" s="1809" t="s">
        <v>1755</v>
      </c>
      <c r="C37" s="152"/>
      <c r="D37" s="1253"/>
      <c r="E37" s="1253"/>
      <c r="F37" s="1925"/>
      <c r="G37" s="134"/>
      <c r="H37" s="134"/>
      <c r="I37" s="134"/>
    </row>
    <row r="38" spans="1:15" ht="14.5" thickBot="1">
      <c r="A38" s="3475"/>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0" t="s">
        <v>1767</v>
      </c>
      <c r="B45" s="3451"/>
      <c r="C45" s="3452"/>
      <c r="D45" s="160">
        <f ca="1">ROUND(H101*F45,0)</f>
        <v>463686</v>
      </c>
      <c r="E45" s="161" t="s">
        <v>1768</v>
      </c>
      <c r="F45" s="162">
        <v>1</v>
      </c>
      <c r="G45" s="163" t="s">
        <v>1769</v>
      </c>
      <c r="H45" s="134"/>
      <c r="I45" s="134"/>
      <c r="J45" s="3526" t="s">
        <v>1770</v>
      </c>
      <c r="K45" s="3526"/>
      <c r="L45" s="3526"/>
      <c r="M45" s="3526"/>
      <c r="N45" s="3526"/>
      <c r="O45" s="3526"/>
    </row>
    <row r="46" spans="1:15" ht="14.25" customHeight="1">
      <c r="A46" s="3447" t="s">
        <v>1771</v>
      </c>
      <c r="B46" s="3448"/>
      <c r="C46" s="3448"/>
      <c r="D46" s="3448"/>
      <c r="E46" s="3448"/>
      <c r="F46" s="3448"/>
      <c r="G46" s="3449"/>
      <c r="H46" s="1941"/>
      <c r="I46" s="164"/>
      <c r="J46" s="3293">
        <v>1</v>
      </c>
      <c r="K46" s="3507" t="s">
        <v>1772</v>
      </c>
      <c r="L46" s="3507"/>
      <c r="M46" s="3527"/>
      <c r="N46" s="3527"/>
      <c r="O46" s="3527"/>
    </row>
    <row r="47" spans="1:15" ht="12" customHeight="1">
      <c r="A47" s="165" t="s">
        <v>1773</v>
      </c>
      <c r="B47" s="166"/>
      <c r="C47" s="167"/>
      <c r="D47" s="1199" t="s">
        <v>1774</v>
      </c>
      <c r="E47" s="308" t="s">
        <v>1775</v>
      </c>
      <c r="F47" s="168" t="s">
        <v>1776</v>
      </c>
      <c r="G47" s="2718" t="s">
        <v>1777</v>
      </c>
      <c r="H47" s="2719"/>
      <c r="I47" s="164"/>
      <c r="J47" s="3293">
        <v>2</v>
      </c>
      <c r="K47" s="3507" t="s">
        <v>1778</v>
      </c>
      <c r="L47" s="3507"/>
      <c r="M47" s="3528">
        <f>'数据-取费表'!B2</f>
        <v>44691</v>
      </c>
      <c r="N47" s="3528"/>
      <c r="O47" s="3528"/>
    </row>
    <row r="48" spans="1:15" ht="26">
      <c r="A48" s="3478" t="s">
        <v>1779</v>
      </c>
      <c r="B48" s="3461"/>
      <c r="C48" s="3461"/>
      <c r="D48" s="3295" t="b">
        <f>IF(H48="情况1",0,IF(H48="情况2",D52,IF(H48="情况3",D53,IF(H48="情况4",D54))))</f>
        <v>0</v>
      </c>
      <c r="E48" s="3286" t="str">
        <f>IF(H48="情况4","(销售额-原购置价)×税（费）率","销售额×税（费）率")</f>
        <v>销售额×税（费）率</v>
      </c>
      <c r="F48" s="2720">
        <f>IF(H48="情况1","免征",'数据-取费表'!B41)</f>
        <v>5.6000000000000001E-2</v>
      </c>
      <c r="G48" s="2721" t="s">
        <v>1780</v>
      </c>
      <c r="H48" s="2722"/>
      <c r="I48" s="1941"/>
      <c r="J48" s="3293">
        <v>3</v>
      </c>
      <c r="K48" s="3507" t="s">
        <v>1781</v>
      </c>
      <c r="L48" s="3507"/>
      <c r="M48" s="3529">
        <f ca="1">H101</f>
        <v>463686</v>
      </c>
      <c r="N48" s="3529"/>
      <c r="O48" s="3529"/>
    </row>
    <row r="49" spans="1:35" ht="25.5" customHeight="1">
      <c r="A49" s="3290" t="s">
        <v>1782</v>
      </c>
      <c r="B49" s="3445" t="s">
        <v>1783</v>
      </c>
      <c r="C49" s="3445"/>
      <c r="D49" s="1725">
        <v>0</v>
      </c>
      <c r="E49" s="330" t="s">
        <v>1784</v>
      </c>
      <c r="F49" s="3280" t="s">
        <v>34</v>
      </c>
      <c r="G49" s="3513"/>
      <c r="H49" s="2477" t="s">
        <v>2631</v>
      </c>
      <c r="I49" s="2478"/>
      <c r="J49" s="3293">
        <v>4</v>
      </c>
      <c r="K49" s="3507" t="str">
        <f>IF(项目基本情况!E8="房地产抵押价值","房地产抵押价值","抵押担保权已注销时的房地产抵押价值")</f>
        <v>房地产抵押价值</v>
      </c>
      <c r="L49" s="3507"/>
      <c r="M49" s="3529">
        <f ca="1">IF(项目基本情况!E8="房地产抵押价值",H107,H109)</f>
        <v>463686</v>
      </c>
      <c r="N49" s="3529"/>
      <c r="O49" s="3529"/>
    </row>
    <row r="50" spans="1:35" ht="25.5" customHeight="1">
      <c r="A50" s="2723"/>
      <c r="B50" s="3445" t="s">
        <v>1785</v>
      </c>
      <c r="C50" s="3445"/>
      <c r="D50" s="2724"/>
      <c r="E50" s="338"/>
      <c r="F50" s="3280"/>
      <c r="G50" s="3514"/>
      <c r="H50" s="2479" t="s">
        <v>2632</v>
      </c>
      <c r="I50" s="2478"/>
      <c r="J50" s="3526" t="s">
        <v>1786</v>
      </c>
      <c r="K50" s="3526"/>
      <c r="L50" s="3526"/>
      <c r="M50" s="3526"/>
      <c r="N50" s="3526"/>
      <c r="O50" s="3526"/>
    </row>
    <row r="51" spans="1:35" ht="20.5" customHeight="1">
      <c r="A51" s="2725"/>
      <c r="B51" s="3445" t="s">
        <v>1787</v>
      </c>
      <c r="C51" s="3445"/>
      <c r="D51" s="1199"/>
      <c r="E51" s="333"/>
      <c r="F51" s="3280"/>
      <c r="G51" s="3515"/>
      <c r="H51" s="2479" t="s">
        <v>2633</v>
      </c>
      <c r="I51" s="2478"/>
      <c r="J51" s="3292" t="s">
        <v>1788</v>
      </c>
      <c r="K51" s="3507" t="s">
        <v>1789</v>
      </c>
      <c r="L51" s="3507"/>
      <c r="M51" s="3292" t="s">
        <v>1790</v>
      </c>
      <c r="N51" s="3292" t="s">
        <v>1791</v>
      </c>
      <c r="O51" s="3292" t="s">
        <v>1792</v>
      </c>
    </row>
    <row r="52" spans="1:35" ht="24" customHeight="1">
      <c r="A52" s="3285" t="s">
        <v>1793</v>
      </c>
      <c r="B52" s="3445" t="s">
        <v>1794</v>
      </c>
      <c r="C52" s="3445"/>
      <c r="D52" s="1199">
        <f ca="1">ROUND(D45*'数据-取费表'!B41/(1+'数据-取费表'!C42),0)</f>
        <v>24730</v>
      </c>
      <c r="E52" s="3286" t="s">
        <v>1795</v>
      </c>
      <c r="F52" s="2726">
        <f>'数据-取费表'!B41</f>
        <v>5.6000000000000001E-2</v>
      </c>
      <c r="G52" s="2727"/>
      <c r="H52" s="2716"/>
      <c r="I52" s="1942"/>
      <c r="J52" s="3293">
        <v>1</v>
      </c>
      <c r="K52" s="3508" t="s">
        <v>1796</v>
      </c>
      <c r="L52" s="3508"/>
      <c r="M52" s="2697" t="b">
        <f>D48</f>
        <v>0</v>
      </c>
      <c r="N52" s="3293" t="str">
        <f>E48</f>
        <v>销售额×税（费）率</v>
      </c>
      <c r="O52" s="2698">
        <f>F48</f>
        <v>5.6000000000000001E-2</v>
      </c>
    </row>
    <row r="53" spans="1:35" ht="12" customHeight="1">
      <c r="A53" s="3285" t="s">
        <v>1797</v>
      </c>
      <c r="B53" s="3471" t="s">
        <v>2788</v>
      </c>
      <c r="C53" s="3472"/>
      <c r="D53" s="1199">
        <f ca="1">ROUND(D45*'数据-取费表'!B41/(1+'数据-取费表'!C42),0)</f>
        <v>24730</v>
      </c>
      <c r="E53" s="3286" t="s">
        <v>1795</v>
      </c>
      <c r="F53" s="2726">
        <f>'数据-取费表'!B41</f>
        <v>5.6000000000000001E-2</v>
      </c>
      <c r="G53" s="2727"/>
      <c r="H53" s="2716"/>
      <c r="I53" s="1942"/>
      <c r="J53" s="3293">
        <v>2</v>
      </c>
      <c r="K53" s="3508" t="s">
        <v>1798</v>
      </c>
      <c r="L53" s="3508"/>
      <c r="M53" s="2697">
        <f t="shared" ref="M53:O54" ca="1" si="0">D55</f>
        <v>232</v>
      </c>
      <c r="N53" s="3293" t="str">
        <f t="shared" si="0"/>
        <v>销售额×税（费）率</v>
      </c>
      <c r="O53" s="2698" t="str">
        <f t="shared" si="0"/>
        <v>免征</v>
      </c>
    </row>
    <row r="54" spans="1:35" ht="12" customHeight="1">
      <c r="A54" s="3285" t="s">
        <v>1799</v>
      </c>
      <c r="B54" s="3471" t="s">
        <v>2789</v>
      </c>
      <c r="C54" s="3472"/>
      <c r="D54" s="1199">
        <f ca="1">C68</f>
        <v>24730</v>
      </c>
      <c r="E54" s="333" t="s">
        <v>1800</v>
      </c>
      <c r="F54" s="2726">
        <f>'数据-取费表'!B41</f>
        <v>5.6000000000000001E-2</v>
      </c>
      <c r="G54" s="2727"/>
      <c r="H54" s="2728"/>
      <c r="I54" s="1942"/>
      <c r="J54" s="3293">
        <v>3</v>
      </c>
      <c r="K54" s="3508" t="s">
        <v>1801</v>
      </c>
      <c r="L54" s="3508"/>
      <c r="M54" s="2697">
        <f t="shared" ca="1" si="0"/>
        <v>262446</v>
      </c>
      <c r="N54" s="3293" t="str">
        <f t="shared" si="0"/>
        <v>增值额×税（费）率</v>
      </c>
      <c r="O54" s="2699" t="str">
        <f t="shared" si="0"/>
        <v>免征</v>
      </c>
    </row>
    <row r="55" spans="1:35" ht="24" customHeight="1">
      <c r="A55" s="3460" t="s">
        <v>1802</v>
      </c>
      <c r="B55" s="3461"/>
      <c r="C55" s="3461"/>
      <c r="D55" s="3295">
        <f ca="1">IF(H55="个人住宅",0,ROUND(D45*I55,0))</f>
        <v>232</v>
      </c>
      <c r="E55" s="3286" t="s">
        <v>1803</v>
      </c>
      <c r="F55" s="2726" t="str">
        <f>IF(H55="正常",I55,"免征")</f>
        <v>免征</v>
      </c>
      <c r="G55" s="2727"/>
      <c r="H55" s="2722"/>
      <c r="I55" s="170">
        <f>'数据-取费表'!B49</f>
        <v>5.0000000000000001E-4</v>
      </c>
      <c r="J55" s="3293">
        <f>IF(H59="非个人房产","",4)</f>
        <v>4</v>
      </c>
      <c r="K55" s="3508" t="str">
        <f>IF(H59="非个人房产","——","个人所得税")</f>
        <v>个人所得税</v>
      </c>
      <c r="L55" s="3508"/>
      <c r="M55" s="2700">
        <f ca="1">D59</f>
        <v>4416</v>
      </c>
      <c r="N55" s="3294" t="str">
        <f>E59</f>
        <v>差额计税</v>
      </c>
      <c r="O55" s="2701">
        <f>F59</f>
        <v>0.01</v>
      </c>
    </row>
    <row r="56" spans="1:35" ht="26">
      <c r="A56" s="3460" t="s">
        <v>1804</v>
      </c>
      <c r="B56" s="3461"/>
      <c r="C56" s="3461"/>
      <c r="D56" s="3295">
        <f ca="1">IF(H56="个人住宅",D57,D58)</f>
        <v>262446</v>
      </c>
      <c r="E56" s="3286" t="s">
        <v>1805</v>
      </c>
      <c r="F56" s="2726" t="str">
        <f>IF(H56="正常",F58,"免征")</f>
        <v>免征</v>
      </c>
      <c r="G56" s="2729" t="s">
        <v>1806</v>
      </c>
      <c r="H56" s="2730"/>
      <c r="I56" s="1943"/>
      <c r="J56" s="3293" t="str">
        <f>IF(项目基本情况!K6="上海银行",IF(J55="",4,J55+1),"")</f>
        <v/>
      </c>
      <c r="K56" s="3531" t="str">
        <f>IF(项目基本情况!K6="上海银行","其他处置费用","")</f>
        <v/>
      </c>
      <c r="L56" s="3532"/>
      <c r="M56" s="2697" t="str">
        <f>IF(项目基本情况!K6="上海银行",M69,"")</f>
        <v/>
      </c>
      <c r="N56" s="3531" t="str">
        <f>IF(项目基本情况!K6="上海银行","包含处置中涉及的律师、诉讼、拍卖、评估等费用","")</f>
        <v/>
      </c>
      <c r="O56" s="3534"/>
    </row>
    <row r="57" spans="1:35" ht="13">
      <c r="A57" s="3285" t="s">
        <v>1782</v>
      </c>
      <c r="B57" s="3471" t="s">
        <v>1807</v>
      </c>
      <c r="C57" s="3472"/>
      <c r="D57" s="1725">
        <v>0</v>
      </c>
      <c r="E57" s="330" t="s">
        <v>1784</v>
      </c>
      <c r="F57" s="308"/>
      <c r="G57" s="2727"/>
      <c r="H57" s="2731"/>
      <c r="I57" s="1943"/>
      <c r="J57" s="3508">
        <f>IF(AND(J55="",J56=""),4,IF(项目基本情况!K6="上海银行",'结果表(办公)'!J56+1,'结果表(办公)'!J55+1))</f>
        <v>5</v>
      </c>
      <c r="K57" s="3508" t="s">
        <v>1808</v>
      </c>
      <c r="L57" s="2702" t="s">
        <v>1809</v>
      </c>
      <c r="M57" s="2703"/>
      <c r="N57" s="2704">
        <f ca="1">SUMIF(M52:M56,"&lt;9e307")</f>
        <v>267094</v>
      </c>
      <c r="O57" s="2705"/>
      <c r="P57" s="2864">
        <f ca="1">N57/M49</f>
        <v>0.57602342964851216</v>
      </c>
    </row>
    <row r="58" spans="1:35" ht="26">
      <c r="A58" s="3285" t="s">
        <v>1793</v>
      </c>
      <c r="B58" s="3471" t="s">
        <v>1810</v>
      </c>
      <c r="C58" s="3445"/>
      <c r="D58" s="3295">
        <f ca="1">IF(H58="转让取得",C81,C97)</f>
        <v>262446</v>
      </c>
      <c r="E58" s="3286" t="s">
        <v>1805</v>
      </c>
      <c r="F58" s="308" t="s">
        <v>34</v>
      </c>
      <c r="G58" s="2727"/>
      <c r="H58" s="2730"/>
      <c r="I58" s="1943"/>
      <c r="J58" s="3508"/>
      <c r="K58" s="3508"/>
      <c r="L58" s="2702" t="s">
        <v>1811</v>
      </c>
      <c r="M58" s="2706"/>
      <c r="N58" s="2707" t="str">
        <f ca="1">NUMBERSTRING(INT(N57*10000),2)&amp;"元整"</f>
        <v>贰拾陆亿柒仟零玖拾肆万元整</v>
      </c>
      <c r="O58" s="2708"/>
    </row>
    <row r="59" spans="1:35" ht="26.5" thickBot="1">
      <c r="A59" s="3511" t="s">
        <v>1812</v>
      </c>
      <c r="B59" s="3512"/>
      <c r="C59" s="3512"/>
      <c r="D59" s="2732">
        <f ca="1">IF(H59="非个人房产","——",IF(H59="个人住宅（满五唯一有凭证）",0,IF(H59="个人其他（无凭证）",ROUND(D45*F59,0),ROUND(C67*F59,0))))</f>
        <v>4416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509">
        <f>J57+1</f>
        <v>6</v>
      </c>
      <c r="K59" s="3508" t="s">
        <v>1813</v>
      </c>
      <c r="L59" s="3293" t="s">
        <v>1809</v>
      </c>
      <c r="M59" s="2709"/>
      <c r="N59" s="2710">
        <f ca="1">M49-N57</f>
        <v>196592</v>
      </c>
      <c r="O59" s="2711"/>
    </row>
    <row r="60" spans="1:35" ht="12" customHeight="1">
      <c r="A60" s="1944"/>
      <c r="B60" s="1882"/>
      <c r="C60" s="1882"/>
      <c r="D60" s="1882"/>
      <c r="E60" s="1713"/>
      <c r="F60" s="1943"/>
      <c r="G60" s="1943"/>
      <c r="H60" s="1945"/>
      <c r="I60" s="134"/>
      <c r="J60" s="3510"/>
      <c r="K60" s="3508"/>
      <c r="L60" s="2702" t="s">
        <v>1811</v>
      </c>
      <c r="M60" s="2706"/>
      <c r="N60" s="2707" t="str">
        <f ca="1">NUMBERSTRING(INT(N59*10000),2)&amp;"元整"</f>
        <v>壹拾玖亿陆仟伍佰玖拾贰万元整</v>
      </c>
      <c r="O60" s="2708"/>
    </row>
    <row r="61" spans="1:35" ht="13.5" thickBot="1">
      <c r="A61" s="3458" t="s">
        <v>1814</v>
      </c>
      <c r="B61" s="3458"/>
      <c r="C61" s="3458"/>
      <c r="D61" s="3458"/>
      <c r="E61" s="3458"/>
      <c r="F61" s="1943"/>
      <c r="G61" s="1943"/>
      <c r="H61" s="1945"/>
      <c r="I61" s="134"/>
      <c r="J61" s="3293">
        <f>J59+1</f>
        <v>7</v>
      </c>
      <c r="K61" s="3508" t="s">
        <v>1815</v>
      </c>
      <c r="L61" s="3508"/>
      <c r="M61" s="2712"/>
      <c r="N61" s="2713">
        <f ca="1">ROUND(N59*10000/'数据-汇总表'!E3,0)</f>
        <v>19937</v>
      </c>
      <c r="O61" s="2714"/>
    </row>
    <row r="62" spans="1:35" ht="13">
      <c r="A62" s="3476" t="s">
        <v>1816</v>
      </c>
      <c r="B62" s="3477"/>
      <c r="C62" s="3289"/>
      <c r="D62" s="3289" t="s">
        <v>1817</v>
      </c>
      <c r="E62" s="171" t="s">
        <v>1818</v>
      </c>
      <c r="F62" s="1943"/>
      <c r="G62" s="1943"/>
      <c r="H62" s="1945"/>
      <c r="I62" s="134"/>
    </row>
    <row r="63" spans="1:35" ht="13">
      <c r="A63" s="178" t="s">
        <v>594</v>
      </c>
      <c r="B63" s="172" t="s">
        <v>1819</v>
      </c>
      <c r="C63" s="2736">
        <f ca="1">ROUND((C64+C65)/(1+'数据-取费表'!C42),0)</f>
        <v>441606</v>
      </c>
      <c r="D63" s="172"/>
      <c r="E63" s="173"/>
      <c r="F63" s="1943"/>
      <c r="G63" s="1943"/>
      <c r="H63" s="1945"/>
      <c r="I63" s="134"/>
      <c r="J63" s="3533" t="s">
        <v>1820</v>
      </c>
      <c r="K63" s="3296" t="s">
        <v>1821</v>
      </c>
      <c r="L63" s="3296">
        <f ca="1">IF(M49&gt;10000,M49*0.5%,IF(AND(M49&gt;1000,M49&lt;=10000),M49*1%,IF(AND(M49&gt;100,M49&lt;=1000),M49*3%,IF(AND(M49&gt;10,M49&lt;=100),M49*5%,M49*8%))))</f>
        <v>2318.4299999999998</v>
      </c>
      <c r="M63" s="308">
        <f ca="1">ROUND(L63,1)</f>
        <v>2318.4</v>
      </c>
      <c r="N63" s="2715"/>
      <c r="Z63" s="1887"/>
      <c r="AI63" s="1888"/>
    </row>
    <row r="64" spans="1:35" ht="14.25" customHeight="1">
      <c r="A64" s="174" t="s">
        <v>589</v>
      </c>
      <c r="B64" s="175" t="s">
        <v>1822</v>
      </c>
      <c r="C64" s="2737">
        <f ca="1">D45</f>
        <v>463686</v>
      </c>
      <c r="D64" s="175" t="s">
        <v>32</v>
      </c>
      <c r="E64" s="177"/>
      <c r="F64" s="1943"/>
      <c r="G64" s="1943"/>
      <c r="H64" s="1945"/>
      <c r="I64" s="134"/>
      <c r="J64" s="3533"/>
      <c r="K64" s="3296" t="s">
        <v>1823</v>
      </c>
      <c r="L64" s="3296">
        <f ca="1">IF(M49&gt;2000,M49*0.5%,IF(AND(M49&gt;1000,M49&lt;=2000),M49*0.6%,IF(AND(M49&gt;500,M49&lt;=1000),M49*0.7%,IF(AND(M49&gt;200,M49&lt;=500),M49*0.8%,IF(AND(M49&gt;100,M49&lt;=200),M49*0.9%,IF(AND(M49&gt;50,M49&lt;=100),M49*1%,IF(AND(M49&gt;20,M49&lt;=50),M49*1.5%,IF(AND(M49&gt;10,M49&lt;=20),M49*2%,IF(AND(M49&gt;1,M49&lt;=10),M49*2.5%)))))))))</f>
        <v>2318.4299999999998</v>
      </c>
      <c r="M64" s="308">
        <f t="shared" ref="M64:M65" ca="1" si="1">ROUND(L64,1)</f>
        <v>2318.4</v>
      </c>
      <c r="N64" s="2716" t="s">
        <v>1824</v>
      </c>
      <c r="Z64" s="1887"/>
      <c r="AI64" s="1888"/>
    </row>
    <row r="65" spans="1:35" ht="14.25" customHeight="1">
      <c r="A65" s="174" t="s">
        <v>590</v>
      </c>
      <c r="B65" s="175" t="s">
        <v>1825</v>
      </c>
      <c r="C65" s="2738"/>
      <c r="D65" s="175"/>
      <c r="E65" s="177"/>
      <c r="F65" s="1943"/>
      <c r="G65" s="1943"/>
      <c r="H65" s="1945"/>
      <c r="I65" s="134"/>
      <c r="J65" s="3533"/>
      <c r="K65" s="3296" t="s">
        <v>1826</v>
      </c>
      <c r="L65" s="3296">
        <f ca="1">IF(M49&gt;1000,M49*0.1%,IF(AND(M49&gt;500,M49&lt;=1000),M49*0.5%,IF(AND(M49&gt;50,M49&lt;=500),M49*1%,IF(AND(M49&gt;1,M49&lt;=50),M49*1.5%))))</f>
        <v>463.68600000000004</v>
      </c>
      <c r="M65" s="308">
        <f t="shared" ca="1" si="1"/>
        <v>463.7</v>
      </c>
      <c r="N65" s="2716" t="s">
        <v>1824</v>
      </c>
      <c r="Z65" s="1887"/>
      <c r="AI65" s="1888"/>
    </row>
    <row r="66" spans="1:35" ht="14.25" customHeight="1">
      <c r="A66" s="178" t="s">
        <v>591</v>
      </c>
      <c r="B66" s="179" t="s">
        <v>1827</v>
      </c>
      <c r="C66" s="2739"/>
      <c r="D66" s="179" t="s">
        <v>32</v>
      </c>
      <c r="E66" s="1459" t="s">
        <v>1092</v>
      </c>
      <c r="F66" s="1943"/>
      <c r="G66" s="1943"/>
      <c r="H66" s="1945"/>
      <c r="I66" s="134"/>
      <c r="J66" s="3533"/>
      <c r="K66" s="3296" t="s">
        <v>1828</v>
      </c>
      <c r="L66" s="3296">
        <f ca="1">M49*0.5%</f>
        <v>2318.4299999999998</v>
      </c>
      <c r="M66" s="308">
        <f ca="1">IF(L66&gt;0.5,0.5,ROUND(L66,0))</f>
        <v>0.5</v>
      </c>
      <c r="N66" s="2716" t="s">
        <v>1829</v>
      </c>
      <c r="Z66" s="1887"/>
      <c r="AI66" s="1888"/>
    </row>
    <row r="67" spans="1:35" ht="14.25" customHeight="1">
      <c r="A67" s="178" t="s">
        <v>592</v>
      </c>
      <c r="B67" s="179" t="s">
        <v>1830</v>
      </c>
      <c r="C67" s="2740">
        <f ca="1">C63-C66</f>
        <v>441606</v>
      </c>
      <c r="D67" s="175" t="s">
        <v>32</v>
      </c>
      <c r="E67" s="177"/>
      <c r="F67" s="1943"/>
      <c r="G67" s="1943"/>
      <c r="H67" s="1945"/>
      <c r="I67" s="134"/>
      <c r="J67" s="3533"/>
      <c r="K67" s="3296" t="s">
        <v>1831</v>
      </c>
      <c r="L67" s="3296">
        <f ca="1">IF(M49&gt;=10000,(8.25+(M49-10000)*0.01%),IF(AND(M49&gt;=8000,M49&lt;10000),(7.85+(M49-8000)*0.02%),IF(AND(M49&gt;=5000,M49&lt;8000),(6.65+(M49-5000)*0.04%),IF(AND(M49&gt;=2000,M49&lt;5000),(4.25+(PM49-2000)*0.08%),IF(AND(M49&gt;=1000,M49&lt;2000),(2.75+(M49-1000)*0.15%),IF(AND(M49&gt;=100,M49&lt;1000),(0.5+(M49-100)*0.25%),IF(AND(M49&gt;0,M49&lt;100),M49*0.5%)))))))</f>
        <v>53.618600000000001</v>
      </c>
      <c r="M67" s="308">
        <f ca="1">ROUND(L67*0.9,1)</f>
        <v>48.3</v>
      </c>
      <c r="N67" s="2715"/>
      <c r="Z67" s="1887"/>
      <c r="AI67" s="1888"/>
    </row>
    <row r="68" spans="1:35" ht="14.25" customHeight="1" thickBot="1">
      <c r="A68" s="181" t="s">
        <v>593</v>
      </c>
      <c r="B68" s="182" t="s">
        <v>1832</v>
      </c>
      <c r="C68" s="2741">
        <f ca="1">IF(C67&lt;=0,0,ROUND(C67*D68,0))</f>
        <v>24730</v>
      </c>
      <c r="D68" s="2742">
        <f>'数据-取费表'!B41</f>
        <v>5.6000000000000001E-2</v>
      </c>
      <c r="E68" s="184"/>
      <c r="F68" s="1943"/>
      <c r="G68" s="1943"/>
      <c r="H68" s="1945"/>
      <c r="I68" s="134"/>
      <c r="J68" s="3533"/>
      <c r="K68" s="3296" t="s">
        <v>1833</v>
      </c>
      <c r="L68" s="3296">
        <f ca="1">IF(M49&gt;10000,M49*0.5%,IF(AND(M49&gt;5000,M49&lt;=10000),M49*1%,IF(AND(M49&gt;1000,M49&lt;=5000),M49*2%,IF(AND(M49&gt;200,M49&lt;=1000),M49*3%,M49*5%))))</f>
        <v>2318.4299999999998</v>
      </c>
      <c r="M68" s="308">
        <f ca="1">ROUND(L68,1)</f>
        <v>2318.4</v>
      </c>
      <c r="N68" s="2715"/>
      <c r="Z68" s="1887"/>
      <c r="AI68" s="1888"/>
    </row>
    <row r="69" spans="1:35" s="1907" customFormat="1" ht="16.5" customHeight="1">
      <c r="A69" s="1946"/>
      <c r="B69" s="1947"/>
      <c r="C69" s="1948"/>
      <c r="D69" s="1949"/>
      <c r="E69" s="1950"/>
      <c r="F69" s="1713"/>
      <c r="G69" s="1713"/>
      <c r="H69" s="1712"/>
      <c r="I69" s="1882"/>
      <c r="J69" s="3533"/>
      <c r="K69" s="3296" t="s">
        <v>1834</v>
      </c>
      <c r="L69" s="3296"/>
      <c r="M69" s="308">
        <f ca="1">ROUND(SUM(M63:M68),0)</f>
        <v>7468</v>
      </c>
      <c r="N69" s="2717">
        <f ca="1">M69/M49</f>
        <v>1.6105726720237402E-2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5" t="s">
        <v>1835</v>
      </c>
      <c r="B70" s="3496"/>
      <c r="C70" s="3496"/>
      <c r="D70" s="3496"/>
      <c r="E70" s="3496"/>
      <c r="F70" s="3496"/>
      <c r="G70" s="3496"/>
      <c r="H70" s="3496"/>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76" t="s">
        <v>1816</v>
      </c>
      <c r="B71" s="3477"/>
      <c r="C71" s="3289"/>
      <c r="D71" s="3289"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441606</v>
      </c>
      <c r="D72" s="175" t="s">
        <v>32</v>
      </c>
      <c r="E72" s="3288"/>
      <c r="F72" s="3281"/>
      <c r="G72" s="3281"/>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2650</v>
      </c>
      <c r="D73" s="175" t="s">
        <v>32</v>
      </c>
      <c r="E73" s="3288"/>
      <c r="F73" s="3281"/>
      <c r="G73" s="3281"/>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288"/>
      <c r="F74" s="3281"/>
      <c r="G74" s="3281"/>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71" t="s">
        <v>1843</v>
      </c>
      <c r="F76" s="3445"/>
      <c r="G76" s="3445"/>
      <c r="H76" s="349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295" t="s">
        <v>1845</v>
      </c>
      <c r="F77" s="192"/>
      <c r="G77" s="1957"/>
      <c r="H77" s="3291"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2650</v>
      </c>
      <c r="D78" s="2749">
        <f>'数据-取费表'!B43</f>
        <v>6.000000000000001E-3</v>
      </c>
      <c r="E78" s="3455" t="s">
        <v>1847</v>
      </c>
      <c r="F78" s="3456"/>
      <c r="G78" s="3456"/>
      <c r="H78" s="3465"/>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438956</v>
      </c>
      <c r="D79" s="175" t="s">
        <v>32</v>
      </c>
      <c r="E79" s="3288"/>
      <c r="F79" s="3281"/>
      <c r="G79" s="3281"/>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165.64377358490566</v>
      </c>
      <c r="D80" s="175" t="s">
        <v>32</v>
      </c>
      <c r="E80" s="3295" t="str">
        <f ca="1">IF(C80&gt;=200%,"增值额超过扣除项目金额200%",IF(C80&gt;=100%,"增值额超过扣除项目金额100%，未超过200%",IF(C80&gt;=50%,"增值额超过扣除项目金额50%，未超过100%",IF(C80&lt;50%,"增值额未超过扣除项目金额50%"))))</f>
        <v>增值额超过扣除项目金额200%</v>
      </c>
      <c r="F80" s="3281"/>
      <c r="G80" s="3281"/>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262446</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5" t="s">
        <v>1851</v>
      </c>
      <c r="B83" s="3496"/>
      <c r="C83" s="3496"/>
      <c r="D83" s="3496"/>
      <c r="E83" s="3496"/>
      <c r="F83" s="3496"/>
      <c r="G83" s="3496"/>
      <c r="H83" s="349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76" t="s">
        <v>1816</v>
      </c>
      <c r="B84" s="3477"/>
      <c r="C84" s="3289"/>
      <c r="D84" s="3289"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441606</v>
      </c>
      <c r="D85" s="175" t="s">
        <v>32</v>
      </c>
      <c r="E85" s="3288"/>
      <c r="F85" s="3281"/>
      <c r="G85" s="3281"/>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2650</v>
      </c>
      <c r="D86" s="2753"/>
      <c r="E86" s="3288"/>
      <c r="F86" s="3281"/>
      <c r="G86" s="3281"/>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282"/>
      <c r="F87" s="3283"/>
      <c r="G87" s="3283"/>
      <c r="H87" s="3287"/>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283"/>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283"/>
      <c r="G89" s="3283"/>
      <c r="H89" s="3287"/>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283"/>
      <c r="G90" s="3535" t="s">
        <v>2626</v>
      </c>
      <c r="H90" s="3536"/>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55" t="s">
        <v>1860</v>
      </c>
      <c r="F91" s="3456"/>
      <c r="G91" s="3456"/>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55" t="s">
        <v>1863</v>
      </c>
      <c r="F92" s="3456"/>
      <c r="G92" s="3456"/>
      <c r="H92" s="3465"/>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2650</v>
      </c>
      <c r="D93" s="2749">
        <f>'数据-取费表'!B43</f>
        <v>6.000000000000001E-3</v>
      </c>
      <c r="E93" s="3455" t="s">
        <v>1847</v>
      </c>
      <c r="F93" s="3456"/>
      <c r="G93" s="3456"/>
      <c r="H93" s="3465"/>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466" t="s">
        <v>1867</v>
      </c>
      <c r="F94" s="3467"/>
      <c r="G94" s="3467"/>
      <c r="H94" s="3468"/>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438956</v>
      </c>
      <c r="D95" s="175" t="s">
        <v>32</v>
      </c>
      <c r="E95" s="3288"/>
      <c r="F95" s="3281"/>
      <c r="G95" s="3281"/>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165.64377358490566</v>
      </c>
      <c r="D96" s="175" t="s">
        <v>32</v>
      </c>
      <c r="E96" s="3295" t="str">
        <f ca="1">IF(C96&gt;=200%,"增值额超过扣除项目金额200%",IF(C96&gt;=100%,"增值额超过扣除项目金额100%，未超过200%",IF(C96&gt;=50%,"增值额超过扣除项目金额50%，未超过100%",IF(C96&lt;50%,"增值额未超过扣除项目金额50%"))))</f>
        <v>增值额超过扣除项目金额200%</v>
      </c>
      <c r="F96" s="3281"/>
      <c r="G96" s="3281"/>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262446</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28" t="s">
        <v>1869</v>
      </c>
      <c r="B100" s="3429"/>
      <c r="C100" s="3429"/>
      <c r="D100" s="3457"/>
      <c r="E100" s="3429" t="s">
        <v>1870</v>
      </c>
      <c r="F100" s="3429"/>
      <c r="G100" s="3429"/>
      <c r="H100" s="3457"/>
      <c r="I100" s="134"/>
    </row>
    <row r="101" spans="1:35" ht="18.75" customHeight="1">
      <c r="A101" s="3516" t="s">
        <v>1871</v>
      </c>
      <c r="B101" s="3517"/>
      <c r="C101" s="2757" t="str">
        <f>C4</f>
        <v>比较法-办公</v>
      </c>
      <c r="D101" s="2758" t="str">
        <f>D4</f>
        <v>收益法</v>
      </c>
      <c r="E101" s="3530" t="s">
        <v>1872</v>
      </c>
      <c r="F101" s="3489"/>
      <c r="G101" s="1962" t="s">
        <v>1873</v>
      </c>
      <c r="H101" s="2767">
        <f ca="1">H118</f>
        <v>463686</v>
      </c>
      <c r="I101" s="134"/>
    </row>
    <row r="102" spans="1:35" ht="18.75" customHeight="1">
      <c r="A102" s="3491" t="s">
        <v>1874</v>
      </c>
      <c r="B102" s="2756" t="s">
        <v>1873</v>
      </c>
      <c r="C102" s="2757">
        <f ca="1">C19</f>
        <v>462908</v>
      </c>
      <c r="D102" s="2758">
        <f ca="1">D19</f>
        <v>464464</v>
      </c>
      <c r="E102" s="3530"/>
      <c r="F102" s="3489"/>
      <c r="G102" s="1962" t="s">
        <v>1875</v>
      </c>
      <c r="H102" s="2727">
        <f ca="1">I118</f>
        <v>62925</v>
      </c>
      <c r="I102" s="134"/>
    </row>
    <row r="103" spans="1:35" ht="42.75" customHeight="1">
      <c r="A103" s="3491"/>
      <c r="B103" s="2756" t="s">
        <v>1875</v>
      </c>
      <c r="C103" s="2759">
        <f ca="1">C20</f>
        <v>62819</v>
      </c>
      <c r="D103" s="2760">
        <f ca="1">D20</f>
        <v>63030</v>
      </c>
      <c r="E103" s="3524" t="s">
        <v>1876</v>
      </c>
      <c r="F103" s="3525"/>
      <c r="G103" s="1963" t="s">
        <v>1877</v>
      </c>
      <c r="H103" s="2767">
        <f>IF(D36="正常操作",H104+H105+H106,H105+H106)</f>
        <v>0</v>
      </c>
      <c r="I103" s="134"/>
    </row>
    <row r="104" spans="1:35" ht="18.75" customHeight="1">
      <c r="A104" s="3491" t="s">
        <v>1878</v>
      </c>
      <c r="B104" s="2761" t="s">
        <v>1873</v>
      </c>
      <c r="C104" s="2762">
        <f ca="1">H118</f>
        <v>463686</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62925</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8" t="str">
        <f>IF(项目基本情况!E8="已注销","——","3.房地产抵押价值")</f>
        <v>3.房地产抵押价值</v>
      </c>
      <c r="F107" s="3489"/>
      <c r="G107" s="1962" t="s">
        <v>1873</v>
      </c>
      <c r="H107" s="2767">
        <f ca="1">IF(E107="——","——",H101-H103)</f>
        <v>463686</v>
      </c>
      <c r="I107" s="134"/>
    </row>
    <row r="108" spans="1:35" ht="18.75" customHeight="1">
      <c r="A108" s="134"/>
      <c r="B108" s="134"/>
      <c r="C108" s="134"/>
      <c r="D108" s="134"/>
      <c r="E108" s="3488"/>
      <c r="F108" s="3489"/>
      <c r="G108" s="1962" t="s">
        <v>1875</v>
      </c>
      <c r="H108" s="2727">
        <f ca="1">ROUND(H107*10000/'数据-汇总表'!E3,0)</f>
        <v>47025</v>
      </c>
      <c r="I108" s="134"/>
    </row>
    <row r="109" spans="1:35" ht="18.75" customHeight="1">
      <c r="A109" s="134"/>
      <c r="B109" s="134"/>
      <c r="C109" s="134"/>
      <c r="D109" s="134"/>
      <c r="E109" s="3488" t="str">
        <f>IF(项目基本情况!E8="已注销及未注销","4.抵押担保权已注销时的房地产抵押价值",IF(项目基本情况!E8="已注销","3.抵押担保权已注销时的房地产抵押价值","——"))</f>
        <v>——</v>
      </c>
      <c r="F109" s="3489"/>
      <c r="G109" s="1962" t="s">
        <v>1873</v>
      </c>
      <c r="H109" s="2770" t="str">
        <f>IF(E109="——","——",H101-H105-H106)</f>
        <v>——</v>
      </c>
      <c r="I109" s="134"/>
    </row>
    <row r="110" spans="1:35" ht="18.75" customHeight="1">
      <c r="A110" s="134"/>
      <c r="B110" s="134"/>
      <c r="C110" s="134"/>
      <c r="D110" s="134"/>
      <c r="E110" s="3488"/>
      <c r="F110" s="3489"/>
      <c r="G110" s="1962" t="s">
        <v>1875</v>
      </c>
      <c r="H110" s="2727" t="str">
        <f>IF(H109="——","——",ROUND(H109*10000/'数据-汇总表'!E3,0))</f>
        <v>——</v>
      </c>
      <c r="I110" s="134"/>
    </row>
    <row r="111" spans="1:35" ht="18.75" customHeight="1">
      <c r="A111" s="134"/>
      <c r="B111" s="134"/>
      <c r="C111" s="134"/>
      <c r="D111" s="134"/>
      <c r="E111" s="3518" t="str">
        <f>IF(项目基本情况!E9="抵押净值",IF(OR(项目基本情况!E8="已注销",项目基本情况!E8="房地产抵押价值"),"4.抵押净值","5.抵押净值"),"——")</f>
        <v>——</v>
      </c>
      <c r="F111" s="3490"/>
      <c r="G111" s="1962" t="s">
        <v>1873</v>
      </c>
      <c r="H111" s="2767" t="str">
        <f>IF(E111="——","——",N59)</f>
        <v>——</v>
      </c>
      <c r="I111" s="134"/>
    </row>
    <row r="112" spans="1:35" ht="18.75" customHeight="1" thickBot="1">
      <c r="A112" s="134"/>
      <c r="B112" s="134"/>
      <c r="C112" s="134"/>
      <c r="D112" s="134"/>
      <c r="E112" s="3519"/>
      <c r="F112" s="3520"/>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59" t="s">
        <v>1884</v>
      </c>
      <c r="B116" s="3440" t="s">
        <v>1885</v>
      </c>
      <c r="C116" s="3440" t="s">
        <v>1886</v>
      </c>
      <c r="D116" s="3442" t="s">
        <v>1887</v>
      </c>
      <c r="E116" s="3443"/>
      <c r="F116" s="3444" t="s">
        <v>1888</v>
      </c>
      <c r="G116" s="3444"/>
      <c r="H116" s="3459" t="s">
        <v>1889</v>
      </c>
      <c r="I116" s="3459"/>
    </row>
    <row r="117" spans="1:27" ht="18.75" customHeight="1">
      <c r="A117" s="3459"/>
      <c r="B117" s="3441"/>
      <c r="C117" s="3441"/>
      <c r="D117" s="3284" t="s">
        <v>1890</v>
      </c>
      <c r="E117" s="3284" t="s">
        <v>1891</v>
      </c>
      <c r="F117" s="3284" t="s">
        <v>1890</v>
      </c>
      <c r="G117" s="3284" t="s">
        <v>1892</v>
      </c>
      <c r="H117" s="3284" t="s">
        <v>1890</v>
      </c>
      <c r="I117" s="3284" t="s">
        <v>1892</v>
      </c>
    </row>
    <row r="118" spans="1:27" ht="24.75" customHeight="1">
      <c r="A118" s="2772" t="str">
        <f>项目基本情况!S2</f>
        <v>北京市朝阳区朝阳门南大街10号房地产</v>
      </c>
      <c r="B118" s="3284">
        <f>M18</f>
        <v>73689.229999999981</v>
      </c>
      <c r="C118" s="3284">
        <f>M19</f>
        <v>4242.1099999999997</v>
      </c>
      <c r="D118" s="3284">
        <f ca="1">ROUND(IF(D32="总价",C34,E118*B118/10000),0)</f>
        <v>369558</v>
      </c>
      <c r="E118" s="3284">
        <f ca="1">ROUND(IF(C33="自定义",IF(D32="楼面单价",C34,D118*10000/B118),I118-G118),0)</f>
        <v>50151</v>
      </c>
      <c r="F118" s="3284">
        <f ca="1">ROUND(IF(D32="总价",C35,G118*B118/10000),0)</f>
        <v>94128</v>
      </c>
      <c r="G118" s="3284">
        <f ca="1">ROUND(IF(D32="楼面单价",C35,F118*10000/B118),0)</f>
        <v>12774</v>
      </c>
      <c r="H118" s="3284">
        <f ca="1">ROUND(IF(D32="总价",C32,I118*B118/10000),0)</f>
        <v>463686</v>
      </c>
      <c r="I118" s="3284">
        <f ca="1">ROUND(IF(D32="楼面单价",C32,H118*10000/B118),0)</f>
        <v>62925</v>
      </c>
    </row>
    <row r="119" spans="1:27" ht="18.75" customHeight="1">
      <c r="A119" s="3459" t="s">
        <v>1893</v>
      </c>
      <c r="B119" s="3459"/>
      <c r="C119" s="3459"/>
      <c r="D119" s="3497" t="str">
        <f ca="1">NUMBERSTRING(INT(D118*10000),2)&amp;"元整"</f>
        <v>叁拾陆亿玖仟伍佰伍拾捌万元整</v>
      </c>
      <c r="E119" s="3499"/>
      <c r="F119" s="3497" t="str">
        <f ca="1">NUMBERSTRING(INT(F118*10000),2)&amp;"元整"</f>
        <v>玖亿肆仟壹佰贰拾捌万元整</v>
      </c>
      <c r="G119" s="3499"/>
      <c r="H119" s="3497" t="str">
        <f ca="1">NUMBERSTRING(INT(H118*10000),2)&amp;"元整"</f>
        <v>肆拾陆亿叁仟陆佰捌拾陆万元整</v>
      </c>
      <c r="I119" s="3499"/>
    </row>
    <row r="120" spans="1:27" ht="18.75" customHeight="1">
      <c r="A120" s="3521" t="str">
        <f>IF(项目基本情况!B9="房地产市场价值","",MID(E103,3,LEN(E103)-2))</f>
        <v>估价师知悉的法定优先受偿款</v>
      </c>
      <c r="B120" s="3522"/>
      <c r="C120" s="3523"/>
      <c r="D120" s="3521">
        <f>H103</f>
        <v>0</v>
      </c>
      <c r="E120" s="3522"/>
      <c r="F120" s="3522"/>
      <c r="G120" s="3522"/>
      <c r="H120" s="3522"/>
      <c r="I120" s="352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97" t="str">
        <f>IF(D120=0,"零元整",NUMBERSTRING(INT(D120*10000),2)&amp;"元整")</f>
        <v>零元整</v>
      </c>
      <c r="E121" s="3498"/>
      <c r="F121" s="3498"/>
      <c r="G121" s="3498"/>
      <c r="H121" s="3498"/>
      <c r="I121" s="3499"/>
      <c r="AA121" s="734"/>
    </row>
    <row r="122" spans="1:27" ht="18.75" customHeight="1">
      <c r="A122" s="3490" t="str">
        <f>IF(项目基本情况!B9="房地产市场价值","",MID(E107,3,LEN(E107)-2))</f>
        <v>房地产抵押价值</v>
      </c>
      <c r="B122" s="3490"/>
      <c r="C122" s="3490"/>
      <c r="D122" s="3521">
        <f ca="1">H107</f>
        <v>463686</v>
      </c>
      <c r="E122" s="3522"/>
      <c r="F122" s="3522"/>
      <c r="G122" s="3522"/>
      <c r="H122" s="3522"/>
      <c r="I122" s="3523"/>
      <c r="AA122" s="734"/>
    </row>
    <row r="123" spans="1:27" ht="18.75" customHeight="1">
      <c r="A123" s="3459" t="s">
        <v>1893</v>
      </c>
      <c r="B123" s="3459"/>
      <c r="C123" s="3459"/>
      <c r="D123" s="3497" t="str">
        <f ca="1">NUMBERSTRING(INT(D122*10000),2)&amp;"元整"</f>
        <v>肆拾陆亿叁仟陆佰捌拾陆万元整</v>
      </c>
      <c r="E123" s="3498"/>
      <c r="F123" s="3498"/>
      <c r="G123" s="3498"/>
      <c r="H123" s="3498"/>
      <c r="I123" s="3499"/>
      <c r="AA123" s="734"/>
    </row>
    <row r="124" spans="1:27" ht="18.75" customHeight="1">
      <c r="A124" s="3490" t="str">
        <f>IF(项目基本情况!B9="房地产市场价值","",MID(E109,3,LEN(E109)-2))</f>
        <v/>
      </c>
      <c r="B124" s="3490"/>
      <c r="C124" s="3490"/>
      <c r="D124" s="3521" t="str">
        <f>H109</f>
        <v>——</v>
      </c>
      <c r="E124" s="3522"/>
      <c r="F124" s="3522"/>
      <c r="G124" s="3522"/>
      <c r="H124" s="3522"/>
      <c r="I124" s="3523"/>
      <c r="AA124" s="734"/>
    </row>
    <row r="125" spans="1:27" ht="18.75" customHeight="1">
      <c r="A125" s="3459" t="s">
        <v>1893</v>
      </c>
      <c r="B125" s="3459"/>
      <c r="C125" s="3459"/>
      <c r="D125" s="3497" t="e">
        <f>NUMBERSTRING(INT(D124*10000),2)&amp;"元整"</f>
        <v>#VALUE!</v>
      </c>
      <c r="E125" s="3498"/>
      <c r="F125" s="3498"/>
      <c r="G125" s="3498"/>
      <c r="H125" s="3498"/>
      <c r="I125" s="3499"/>
      <c r="AA125" s="734"/>
    </row>
    <row r="126" spans="1:27" ht="18.75" customHeight="1">
      <c r="A126" s="3490" t="str">
        <f>IF(项目基本情况!B9="房地产市场价值","",MID(E111,3,LEN(E111)-2))</f>
        <v/>
      </c>
      <c r="B126" s="3490"/>
      <c r="C126" s="3490"/>
      <c r="D126" s="3521" t="str">
        <f>H111</f>
        <v>——</v>
      </c>
      <c r="E126" s="3522"/>
      <c r="F126" s="3522"/>
      <c r="G126" s="3522"/>
      <c r="H126" s="3522"/>
      <c r="I126" s="3523"/>
      <c r="AA126" s="734"/>
    </row>
    <row r="127" spans="1:27" ht="18.75" customHeight="1">
      <c r="A127" s="3459" t="s">
        <v>1893</v>
      </c>
      <c r="B127" s="3459"/>
      <c r="C127" s="3459"/>
      <c r="D127" s="3497" t="e">
        <f>NUMBERSTRING(INT(D126*10000),2)&amp;"元整"</f>
        <v>#VALUE!</v>
      </c>
      <c r="E127" s="3498"/>
      <c r="F127" s="3498"/>
      <c r="G127" s="3498"/>
      <c r="H127" s="3498"/>
      <c r="I127" s="3499"/>
      <c r="AA127" s="734"/>
    </row>
    <row r="128" spans="1:27" ht="21.75" customHeight="1">
      <c r="A128" s="3506" t="s">
        <v>1894</v>
      </c>
      <c r="B128" s="3506"/>
      <c r="C128" s="3506"/>
      <c r="D128" s="3506"/>
      <c r="E128" s="3506"/>
      <c r="F128" s="3506"/>
      <c r="G128" s="3506"/>
      <c r="H128" s="3506"/>
      <c r="I128" s="3506"/>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220" priority="10" stopIfTrue="1" operator="equal">
      <formula>25</formula>
    </cfRule>
  </conditionalFormatting>
  <conditionalFormatting sqref="C8:C9">
    <cfRule type="cellIs" dxfId="219" priority="9" stopIfTrue="1" operator="equal">
      <formula>15</formula>
    </cfRule>
  </conditionalFormatting>
  <conditionalFormatting sqref="C14:C16">
    <cfRule type="cellIs" dxfId="218" priority="8" stopIfTrue="1" operator="equal">
      <formula>30</formula>
    </cfRule>
  </conditionalFormatting>
  <conditionalFormatting sqref="D5:D7">
    <cfRule type="cellIs" dxfId="217" priority="7" stopIfTrue="1" operator="equal">
      <formula>25</formula>
    </cfRule>
  </conditionalFormatting>
  <conditionalFormatting sqref="D8:D9">
    <cfRule type="cellIs" dxfId="216" priority="6" stopIfTrue="1" operator="equal">
      <formula>15</formula>
    </cfRule>
  </conditionalFormatting>
  <conditionalFormatting sqref="C10:D13">
    <cfRule type="cellIs" dxfId="215" priority="5" stopIfTrue="1" operator="equal">
      <formula>15</formula>
    </cfRule>
  </conditionalFormatting>
  <conditionalFormatting sqref="D14:D16">
    <cfRule type="cellIs" dxfId="214" priority="4" stopIfTrue="1" operator="equal">
      <formula>30</formula>
    </cfRule>
  </conditionalFormatting>
  <conditionalFormatting sqref="C90">
    <cfRule type="expression" dxfId="213" priority="3" stopIfTrue="1">
      <formula>$H$88&lt;&gt;"仅含出让金"</formula>
    </cfRule>
  </conditionalFormatting>
  <conditionalFormatting sqref="C91">
    <cfRule type="expression" dxfId="212" priority="2" stopIfTrue="1">
      <formula>$H$91="由企业提供"</formula>
    </cfRule>
  </conditionalFormatting>
  <conditionalFormatting sqref="E36">
    <cfRule type="expression" dxfId="211"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"100%,70%,56%"</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7" zoomScale="80" zoomScaleNormal="70" zoomScaleSheetLayoutView="80" workbookViewId="0">
      <selection activeCell="M21" sqref="M21"/>
    </sheetView>
  </sheetViews>
  <sheetFormatPr defaultColWidth="9" defaultRowHeight="14"/>
  <cols>
    <col min="1" max="1" width="10.453125" style="363" customWidth="1"/>
    <col min="2" max="2" width="15.90625" style="363" customWidth="1"/>
    <col min="3" max="3" width="15.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17"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92" t="s">
        <v>2262</v>
      </c>
      <c r="C1" s="1344" t="s">
        <v>2106</v>
      </c>
      <c r="D1" s="1345" t="s">
        <v>27</v>
      </c>
      <c r="E1" s="1354"/>
      <c r="F1" s="2014" t="s">
        <v>3747</v>
      </c>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f>IF(C2="——",ROUND(C50*D3/10000,0),ROUND(C50*D3/10000,0)-D2)</f>
        <v>462908</v>
      </c>
      <c r="C2" s="2016" t="s">
        <v>70</v>
      </c>
      <c r="D2" s="1227" t="e">
        <f ca="1">SUMIF(INDIRECT("'"&amp;F2&amp;"'"&amp;"!A:A"),"承租人权益价值",INDIRECT("'"&amp;F2&amp;"'"&amp;"!c:c"))</f>
        <v>#REF!</v>
      </c>
      <c r="E2" s="2017" t="s">
        <v>1904</v>
      </c>
      <c r="F2" s="2018"/>
      <c r="G2" s="1019"/>
      <c r="H2" s="1019"/>
      <c r="I2" s="1019"/>
      <c r="J2" s="1019"/>
      <c r="K2" s="1019"/>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1905</v>
      </c>
      <c r="B3" s="566">
        <f>IF(C2="——",C50,ROUND(B2*10000/D3,0))</f>
        <v>62819</v>
      </c>
      <c r="C3" s="360" t="s">
        <v>2220</v>
      </c>
      <c r="D3" s="359">
        <f>IF(D1="",'数据-汇总表'!E3,SUMIF('数据-汇总表'!$C19:$C33,D1,'数据-汇总表'!$E19:$E33))</f>
        <v>73689.229999999981</v>
      </c>
      <c r="E3" s="2089"/>
      <c r="F3" s="1020"/>
      <c r="G3" s="1019"/>
      <c r="H3" s="1019"/>
      <c r="I3" s="1019"/>
      <c r="J3" s="1019"/>
      <c r="K3" s="1021"/>
      <c r="L3" s="2908"/>
      <c r="M3" s="2909"/>
      <c r="N3" s="2909"/>
      <c r="O3" s="2909"/>
      <c r="P3" s="708"/>
      <c r="Q3" s="708"/>
      <c r="R3" s="708"/>
      <c r="S3" s="708"/>
      <c r="T3" s="708"/>
      <c r="U3" s="708"/>
      <c r="V3" s="708"/>
      <c r="W3" s="708"/>
      <c r="X3" s="708"/>
      <c r="Y3" s="708"/>
      <c r="Z3" s="708"/>
      <c r="AA3" s="708"/>
      <c r="AB3" s="708"/>
      <c r="AC3" s="709"/>
    </row>
    <row r="4" spans="1:29">
      <c r="A4" s="361" t="s">
        <v>2221</v>
      </c>
      <c r="B4" s="362"/>
      <c r="C4" s="3555" t="s">
        <v>2222</v>
      </c>
      <c r="D4" s="3556"/>
      <c r="E4" s="3557" t="s">
        <v>2223</v>
      </c>
      <c r="F4" s="3558"/>
      <c r="G4" s="3555" t="s">
        <v>2224</v>
      </c>
      <c r="H4" s="3556"/>
      <c r="I4" s="3555" t="s">
        <v>2225</v>
      </c>
      <c r="J4" s="3556"/>
      <c r="K4" s="567" t="s">
        <v>2226</v>
      </c>
      <c r="L4" s="2889"/>
      <c r="M4" s="2890"/>
      <c r="N4" s="2890"/>
      <c r="O4" s="2890"/>
      <c r="P4" s="3559" t="s">
        <v>2227</v>
      </c>
      <c r="Q4" s="3560"/>
      <c r="R4" s="3565" t="s">
        <v>2223</v>
      </c>
      <c r="S4" s="3566"/>
      <c r="T4" s="3565" t="s">
        <v>2224</v>
      </c>
      <c r="U4" s="3566"/>
      <c r="V4" s="3571" t="s">
        <v>2225</v>
      </c>
      <c r="W4" s="3571"/>
      <c r="X4" s="2093"/>
      <c r="Y4" s="3565" t="s">
        <v>2227</v>
      </c>
      <c r="Z4" s="3566"/>
      <c r="AA4" s="3584" t="s">
        <v>2223</v>
      </c>
      <c r="AB4" s="3584" t="s">
        <v>2224</v>
      </c>
      <c r="AC4" s="3552" t="s">
        <v>2225</v>
      </c>
    </row>
    <row r="5" spans="1:29">
      <c r="A5" s="364"/>
      <c r="B5" s="365"/>
      <c r="C5" s="3581" t="s">
        <v>2118</v>
      </c>
      <c r="D5" s="3576"/>
      <c r="E5" s="3587" t="s">
        <v>3773</v>
      </c>
      <c r="F5" s="3588"/>
      <c r="G5" s="3575" t="s">
        <v>3797</v>
      </c>
      <c r="H5" s="3576"/>
      <c r="I5" s="3575" t="s">
        <v>3800</v>
      </c>
      <c r="J5" s="3576"/>
      <c r="K5" s="567"/>
      <c r="L5" s="2889"/>
      <c r="M5" s="2890"/>
      <c r="N5" s="2890"/>
      <c r="O5" s="2890"/>
      <c r="P5" s="3561"/>
      <c r="Q5" s="3562"/>
      <c r="R5" s="3567"/>
      <c r="S5" s="3568"/>
      <c r="T5" s="3567"/>
      <c r="U5" s="3568"/>
      <c r="V5" s="3572"/>
      <c r="W5" s="3572"/>
      <c r="X5" s="1489"/>
      <c r="Y5" s="3567"/>
      <c r="Z5" s="3568"/>
      <c r="AA5" s="3585"/>
      <c r="AB5" s="3585"/>
      <c r="AC5" s="3553"/>
    </row>
    <row r="6" spans="1:29" ht="15" thickBot="1">
      <c r="A6" s="366"/>
      <c r="B6" s="367"/>
      <c r="C6" s="3573" t="s">
        <v>2122</v>
      </c>
      <c r="D6" s="3574"/>
      <c r="E6" s="3582" t="s">
        <v>2122</v>
      </c>
      <c r="F6" s="3583"/>
      <c r="G6" s="3573" t="s">
        <v>2122</v>
      </c>
      <c r="H6" s="3574"/>
      <c r="I6" s="3573" t="s">
        <v>2122</v>
      </c>
      <c r="J6" s="3574"/>
      <c r="K6" s="567" t="s">
        <v>2123</v>
      </c>
      <c r="L6" s="2889"/>
      <c r="M6" s="2890"/>
      <c r="N6" s="2890"/>
      <c r="O6" s="2890"/>
      <c r="P6" s="3563"/>
      <c r="Q6" s="3564"/>
      <c r="R6" s="3567"/>
      <c r="S6" s="3568"/>
      <c r="T6" s="3569"/>
      <c r="U6" s="3570"/>
      <c r="V6" s="3572"/>
      <c r="W6" s="3572"/>
      <c r="X6" s="1489"/>
      <c r="Y6" s="3569"/>
      <c r="Z6" s="3570"/>
      <c r="AA6" s="3586"/>
      <c r="AB6" s="3586"/>
      <c r="AC6" s="3554"/>
    </row>
    <row r="7" spans="1:29" s="113" customFormat="1" ht="14.5" thickBot="1">
      <c r="A7" s="368" t="s">
        <v>2124</v>
      </c>
      <c r="B7" s="369"/>
      <c r="C7" s="370">
        <f>'数据-取费表'!B2</f>
        <v>44691</v>
      </c>
      <c r="D7" s="371">
        <v>100</v>
      </c>
      <c r="E7" s="372">
        <f>C7</f>
        <v>44691</v>
      </c>
      <c r="F7" s="373">
        <f>SUMIF(59:59,YEAR(E7)&amp;"-"&amp;MONTH(E7),60:60)</f>
        <v>100</v>
      </c>
      <c r="G7" s="372">
        <f>C7</f>
        <v>44691</v>
      </c>
      <c r="H7" s="371">
        <f>SUMIF(59:59,YEAR(G7)&amp;"-"&amp;MONTH(G7),60:60)</f>
        <v>100</v>
      </c>
      <c r="I7" s="372">
        <f>C7</f>
        <v>44691</v>
      </c>
      <c r="J7" s="371">
        <f>SUMIF(59:59,YEAR(I7)&amp;"-"&amp;MONTH(I7),60:60)</f>
        <v>100</v>
      </c>
      <c r="K7" s="568"/>
      <c r="L7" s="2891"/>
      <c r="M7" s="2892"/>
      <c r="N7" s="2892"/>
      <c r="O7" s="2892"/>
      <c r="P7" s="3577" t="s">
        <v>2125</v>
      </c>
      <c r="Q7" s="3580"/>
      <c r="R7" s="710" t="s">
        <v>17</v>
      </c>
      <c r="S7" s="711">
        <f t="shared" ref="S7:S15" si="0">F7</f>
        <v>100</v>
      </c>
      <c r="T7" s="710" t="s">
        <v>17</v>
      </c>
      <c r="U7" s="711">
        <f t="shared" ref="U7:U15" si="1">H7</f>
        <v>100</v>
      </c>
      <c r="V7" s="710" t="s">
        <v>17</v>
      </c>
      <c r="W7" s="711">
        <f t="shared" ref="W7:W15" si="2">J7</f>
        <v>100</v>
      </c>
      <c r="X7" s="712"/>
      <c r="Y7" s="3579" t="s">
        <v>2125</v>
      </c>
      <c r="Z7" s="3578"/>
      <c r="AA7" s="713">
        <f>D7/F7</f>
        <v>1</v>
      </c>
      <c r="AB7" s="713">
        <f>D7/H7</f>
        <v>1</v>
      </c>
      <c r="AC7" s="2094">
        <f>D7/J7</f>
        <v>1</v>
      </c>
    </row>
    <row r="8" spans="1:29" s="113" customFormat="1" ht="14.5" thickBot="1">
      <c r="A8" s="368" t="s">
        <v>2126</v>
      </c>
      <c r="B8" s="369"/>
      <c r="C8" s="374" t="s">
        <v>2228</v>
      </c>
      <c r="D8" s="371">
        <v>100</v>
      </c>
      <c r="E8" s="374" t="s">
        <v>2163</v>
      </c>
      <c r="F8" s="373">
        <f>SUMIF(62:62,E8,63:63)-SUMIF(62:62,C8,63:63)+100</f>
        <v>100</v>
      </c>
      <c r="G8" s="374" t="s">
        <v>2163</v>
      </c>
      <c r="H8" s="371">
        <f>SUMIF(62:62,G8,63:63)-SUMIF(62:62,C8,63:63)+100</f>
        <v>100</v>
      </c>
      <c r="I8" s="374" t="s">
        <v>2163</v>
      </c>
      <c r="J8" s="371">
        <f>SUMIF(62:62,I8,63:63)-SUMIF(62:62,C8,63:63)+100</f>
        <v>100</v>
      </c>
      <c r="K8" s="568"/>
      <c r="L8" s="2891"/>
      <c r="M8" s="2892"/>
      <c r="N8" s="2892"/>
      <c r="O8" s="2892"/>
      <c r="P8" s="3577" t="s">
        <v>2128</v>
      </c>
      <c r="Q8" s="3578"/>
      <c r="R8" s="710" t="s">
        <v>17</v>
      </c>
      <c r="S8" s="711">
        <f t="shared" si="0"/>
        <v>100</v>
      </c>
      <c r="T8" s="710" t="s">
        <v>17</v>
      </c>
      <c r="U8" s="711">
        <f t="shared" si="1"/>
        <v>100</v>
      </c>
      <c r="V8" s="710" t="s">
        <v>17</v>
      </c>
      <c r="W8" s="711">
        <f t="shared" si="2"/>
        <v>100</v>
      </c>
      <c r="X8" s="712"/>
      <c r="Y8" s="3579" t="s">
        <v>2128</v>
      </c>
      <c r="Z8" s="3578"/>
      <c r="AA8" s="713">
        <f t="shared" ref="AA8:AA47" si="3">D8/F8</f>
        <v>1</v>
      </c>
      <c r="AB8" s="713">
        <f t="shared" ref="AB8:AB47" si="4">D8/H8</f>
        <v>1</v>
      </c>
      <c r="AC8" s="2094">
        <f t="shared" ref="AC8:AC47" si="5">D8/J8</f>
        <v>1</v>
      </c>
    </row>
    <row r="9" spans="1:29" s="113" customFormat="1">
      <c r="A9" s="375" t="s">
        <v>2129</v>
      </c>
      <c r="B9" s="67" t="s">
        <v>2130</v>
      </c>
      <c r="C9" s="3322" t="s">
        <v>3774</v>
      </c>
      <c r="D9" s="131">
        <v>100</v>
      </c>
      <c r="E9" s="379" t="s">
        <v>27</v>
      </c>
      <c r="F9" s="131">
        <f>SUMIF(64:64,E9,65:65)-SUMIF(64:64,C9,65:65)+100</f>
        <v>100</v>
      </c>
      <c r="G9" s="379" t="s">
        <v>27</v>
      </c>
      <c r="H9" s="131">
        <f>SUMIF(64:64,G9,65:65)-SUMIF(64:64,C9,65:65)+100</f>
        <v>100</v>
      </c>
      <c r="I9" s="379" t="s">
        <v>27</v>
      </c>
      <c r="J9" s="131">
        <f>SUMIF(64:64,I9,65:65)-SUMIF(64:64,C9,65:65)+100</f>
        <v>100</v>
      </c>
      <c r="K9" s="568"/>
      <c r="L9" s="2891"/>
      <c r="M9" s="2892"/>
      <c r="N9" s="2892"/>
      <c r="O9" s="2892"/>
      <c r="P9" s="3537" t="s">
        <v>2131</v>
      </c>
      <c r="Q9" s="1477" t="str">
        <f t="shared" ref="Q9:Q15" si="6">B9</f>
        <v>用途</v>
      </c>
      <c r="R9" s="710" t="s">
        <v>17</v>
      </c>
      <c r="S9" s="711">
        <f t="shared" si="0"/>
        <v>100</v>
      </c>
      <c r="T9" s="710" t="s">
        <v>17</v>
      </c>
      <c r="U9" s="711">
        <f t="shared" si="1"/>
        <v>100</v>
      </c>
      <c r="V9" s="710" t="s">
        <v>17</v>
      </c>
      <c r="W9" s="711">
        <f t="shared" si="2"/>
        <v>100</v>
      </c>
      <c r="X9" s="712"/>
      <c r="Y9" s="3446" t="s">
        <v>2132</v>
      </c>
      <c r="Z9" s="55" t="str">
        <f t="shared" ref="Z9:Z15" si="7">Q9</f>
        <v>用途</v>
      </c>
      <c r="AA9" s="713">
        <f t="shared" si="3"/>
        <v>1</v>
      </c>
      <c r="AB9" s="713">
        <f t="shared" si="4"/>
        <v>1</v>
      </c>
      <c r="AC9" s="2094">
        <f t="shared" si="5"/>
        <v>1</v>
      </c>
    </row>
    <row r="10" spans="1:29" s="386" customFormat="1" ht="28.5" thickBot="1">
      <c r="A10" s="380"/>
      <c r="B10" s="381" t="s">
        <v>2133</v>
      </c>
      <c r="C10" s="382" t="s">
        <v>3775</v>
      </c>
      <c r="D10" s="132">
        <v>100</v>
      </c>
      <c r="E10" s="382" t="s">
        <v>3775</v>
      </c>
      <c r="F10" s="132">
        <f>SUMIF(66:66,E10,67:67)-SUMIF(66:66,C10,67:67)+100</f>
        <v>100</v>
      </c>
      <c r="G10" s="382" t="s">
        <v>3775</v>
      </c>
      <c r="H10" s="132">
        <f>SUMIF(66:66,G10,67:67)-SUMIF(66:66,C10,67:67)+100</f>
        <v>100</v>
      </c>
      <c r="I10" s="382" t="s">
        <v>3775</v>
      </c>
      <c r="J10" s="132">
        <f>SUMIF(66:66,I10,67:67)-SUMIF(66:66,C10,67:67)+100</f>
        <v>100</v>
      </c>
      <c r="K10" s="569">
        <v>1</v>
      </c>
      <c r="L10" s="2893"/>
      <c r="M10" s="2894"/>
      <c r="N10" s="2894"/>
      <c r="O10" s="2894"/>
      <c r="P10" s="3537"/>
      <c r="Q10" s="1477" t="str">
        <f t="shared" si="6"/>
        <v>土地使用年限（年）</v>
      </c>
      <c r="R10" s="710" t="s">
        <v>17</v>
      </c>
      <c r="S10" s="711">
        <f t="shared" si="0"/>
        <v>100</v>
      </c>
      <c r="T10" s="710" t="s">
        <v>17</v>
      </c>
      <c r="U10" s="711">
        <f t="shared" si="1"/>
        <v>100</v>
      </c>
      <c r="V10" s="710" t="s">
        <v>17</v>
      </c>
      <c r="W10" s="711">
        <f t="shared" si="2"/>
        <v>100</v>
      </c>
      <c r="X10" s="712"/>
      <c r="Y10" s="3446"/>
      <c r="Z10" s="55" t="str">
        <f t="shared" si="7"/>
        <v>土地使用年限（年）</v>
      </c>
      <c r="AA10" s="713">
        <f t="shared" si="3"/>
        <v>1</v>
      </c>
      <c r="AB10" s="713">
        <f t="shared" si="4"/>
        <v>1</v>
      </c>
      <c r="AC10" s="2094">
        <f t="shared" si="5"/>
        <v>1</v>
      </c>
    </row>
    <row r="11" spans="1:29" ht="15.5" hidden="1">
      <c r="A11" s="387"/>
      <c r="B11" s="381" t="s">
        <v>2134</v>
      </c>
      <c r="C11" s="388"/>
      <c r="D11" s="132">
        <v>100</v>
      </c>
      <c r="E11" s="388"/>
      <c r="F11" s="132">
        <f>LOOKUP(E11,69:69,70:70)-LOOKUP(C11,69:69,70:70)+100</f>
        <v>100</v>
      </c>
      <c r="G11" s="389"/>
      <c r="H11" s="132">
        <f>LOOKUP(G11,69:69,70:70)-LOOKUP(C11,69:69,70:70)+100</f>
        <v>100</v>
      </c>
      <c r="I11" s="388"/>
      <c r="J11" s="132">
        <f>LOOKUP(I11,69:69,70:70)-LOOKUP(C11,69:69,70:70)+100</f>
        <v>100</v>
      </c>
      <c r="K11" s="569"/>
      <c r="L11" s="2895"/>
      <c r="M11" s="2890"/>
      <c r="N11" s="2890"/>
      <c r="O11" s="2890"/>
      <c r="P11" s="3537"/>
      <c r="Q11" s="1477" t="str">
        <f t="shared" si="6"/>
        <v>容积率</v>
      </c>
      <c r="R11" s="710" t="s">
        <v>17</v>
      </c>
      <c r="S11" s="711">
        <f t="shared" si="0"/>
        <v>100</v>
      </c>
      <c r="T11" s="710" t="s">
        <v>17</v>
      </c>
      <c r="U11" s="711">
        <f t="shared" si="1"/>
        <v>100</v>
      </c>
      <c r="V11" s="710" t="s">
        <v>17</v>
      </c>
      <c r="W11" s="711">
        <f t="shared" si="2"/>
        <v>100</v>
      </c>
      <c r="X11" s="712"/>
      <c r="Y11" s="3446"/>
      <c r="Z11" s="55" t="str">
        <f t="shared" si="7"/>
        <v>容积率</v>
      </c>
      <c r="AA11" s="713">
        <f t="shared" si="3"/>
        <v>1</v>
      </c>
      <c r="AB11" s="713">
        <f t="shared" si="4"/>
        <v>1</v>
      </c>
      <c r="AC11" s="2094">
        <f t="shared" si="5"/>
        <v>1</v>
      </c>
    </row>
    <row r="12" spans="1:29" s="113" customFormat="1" ht="15.5" hidden="1">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1"/>
      <c r="M12" s="2892"/>
      <c r="N12" s="2892"/>
      <c r="O12" s="2892"/>
      <c r="P12" s="3537"/>
      <c r="Q12" s="1477">
        <f t="shared" si="6"/>
        <v>111</v>
      </c>
      <c r="R12" s="710" t="s">
        <v>17</v>
      </c>
      <c r="S12" s="711">
        <f t="shared" si="0"/>
        <v>100</v>
      </c>
      <c r="T12" s="710" t="s">
        <v>17</v>
      </c>
      <c r="U12" s="711">
        <f t="shared" si="1"/>
        <v>100</v>
      </c>
      <c r="V12" s="710" t="s">
        <v>17</v>
      </c>
      <c r="W12" s="711">
        <f t="shared" si="2"/>
        <v>100</v>
      </c>
      <c r="X12" s="712"/>
      <c r="Y12" s="3446"/>
      <c r="Z12" s="55">
        <f t="shared" si="7"/>
        <v>111</v>
      </c>
      <c r="AA12" s="713">
        <f>D12/F12</f>
        <v>1</v>
      </c>
      <c r="AB12" s="713">
        <f>D12/H12</f>
        <v>1</v>
      </c>
      <c r="AC12" s="2094">
        <f>D12/J12</f>
        <v>1</v>
      </c>
    </row>
    <row r="13" spans="1:29" ht="15.5" hidden="1">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6"/>
      <c r="M13" s="2890"/>
      <c r="N13" s="2890"/>
      <c r="O13" s="2890"/>
      <c r="P13" s="3537"/>
      <c r="Q13" s="1477">
        <f t="shared" si="6"/>
        <v>111</v>
      </c>
      <c r="R13" s="710" t="s">
        <v>17</v>
      </c>
      <c r="S13" s="711">
        <f t="shared" si="0"/>
        <v>100</v>
      </c>
      <c r="T13" s="710" t="s">
        <v>17</v>
      </c>
      <c r="U13" s="711">
        <f t="shared" si="1"/>
        <v>100</v>
      </c>
      <c r="V13" s="710" t="s">
        <v>17</v>
      </c>
      <c r="W13" s="711">
        <f t="shared" si="2"/>
        <v>100</v>
      </c>
      <c r="X13" s="712"/>
      <c r="Y13" s="3446"/>
      <c r="Z13" s="55">
        <f t="shared" si="7"/>
        <v>111</v>
      </c>
      <c r="AA13" s="713">
        <f t="shared" si="3"/>
        <v>1</v>
      </c>
      <c r="AB13" s="713">
        <f t="shared" si="4"/>
        <v>1</v>
      </c>
      <c r="AC13" s="2094">
        <f t="shared" si="5"/>
        <v>1</v>
      </c>
    </row>
    <row r="14" spans="1:29" ht="16" hidden="1"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6"/>
      <c r="M14" s="2890"/>
      <c r="N14" s="2890"/>
      <c r="O14" s="2890"/>
      <c r="P14" s="3537"/>
      <c r="Q14" s="1477">
        <f t="shared" si="6"/>
        <v>111</v>
      </c>
      <c r="R14" s="710" t="s">
        <v>17</v>
      </c>
      <c r="S14" s="711">
        <f t="shared" si="0"/>
        <v>100</v>
      </c>
      <c r="T14" s="710" t="s">
        <v>17</v>
      </c>
      <c r="U14" s="711">
        <f t="shared" si="1"/>
        <v>100</v>
      </c>
      <c r="V14" s="710" t="s">
        <v>17</v>
      </c>
      <c r="W14" s="711">
        <f t="shared" si="2"/>
        <v>100</v>
      </c>
      <c r="X14" s="712"/>
      <c r="Y14" s="3446"/>
      <c r="Z14" s="55">
        <f t="shared" si="7"/>
        <v>111</v>
      </c>
      <c r="AA14" s="713">
        <f t="shared" si="3"/>
        <v>1</v>
      </c>
      <c r="AB14" s="713">
        <f t="shared" si="4"/>
        <v>1</v>
      </c>
      <c r="AC14" s="2094">
        <f t="shared" si="5"/>
        <v>1</v>
      </c>
    </row>
    <row r="15" spans="1:29" ht="70">
      <c r="A15" s="399" t="s">
        <v>2135</v>
      </c>
      <c r="B15" s="585" t="s">
        <v>2263</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6"/>
      <c r="M15" s="2890"/>
      <c r="N15" s="2890"/>
      <c r="O15" s="2890"/>
      <c r="P15" s="3543" t="s">
        <v>2136</v>
      </c>
      <c r="Q15" s="1486" t="str">
        <f t="shared" si="6"/>
        <v>办公集聚程度</v>
      </c>
      <c r="R15" s="714" t="s">
        <v>17</v>
      </c>
      <c r="S15" s="715">
        <f t="shared" si="0"/>
        <v>100</v>
      </c>
      <c r="T15" s="714" t="s">
        <v>17</v>
      </c>
      <c r="U15" s="715">
        <f t="shared" si="1"/>
        <v>100</v>
      </c>
      <c r="V15" s="714" t="s">
        <v>17</v>
      </c>
      <c r="W15" s="715">
        <f t="shared" si="2"/>
        <v>100</v>
      </c>
      <c r="X15" s="1489"/>
      <c r="Y15" s="3545" t="s">
        <v>2136</v>
      </c>
      <c r="Z15" s="1490" t="str">
        <f t="shared" si="7"/>
        <v>办公集聚程度</v>
      </c>
      <c r="AA15" s="1487">
        <f t="shared" si="3"/>
        <v>1</v>
      </c>
      <c r="AB15" s="1487">
        <f t="shared" si="4"/>
        <v>1</v>
      </c>
      <c r="AC15" s="2097">
        <f t="shared" si="5"/>
        <v>1</v>
      </c>
    </row>
    <row r="16" spans="1:29" ht="15.5">
      <c r="A16" s="387"/>
      <c r="B16" s="586"/>
      <c r="C16" s="2039" t="s">
        <v>3776</v>
      </c>
      <c r="D16" s="407"/>
      <c r="E16" s="2039" t="s">
        <v>3776</v>
      </c>
      <c r="F16" s="407"/>
      <c r="G16" s="2039" t="s">
        <v>3776</v>
      </c>
      <c r="H16" s="409"/>
      <c r="I16" s="2039" t="s">
        <v>3776</v>
      </c>
      <c r="J16" s="407"/>
      <c r="K16" s="572"/>
      <c r="L16" s="2896"/>
      <c r="M16" s="2890"/>
      <c r="N16" s="2890"/>
      <c r="O16" s="2890"/>
      <c r="P16" s="3544"/>
      <c r="Q16" s="1486"/>
      <c r="R16" s="714"/>
      <c r="S16" s="715"/>
      <c r="T16" s="714"/>
      <c r="U16" s="715"/>
      <c r="V16" s="714"/>
      <c r="W16" s="715"/>
      <c r="X16" s="1489"/>
      <c r="Y16" s="3546"/>
      <c r="Z16" s="1490"/>
      <c r="AA16" s="1487">
        <v>1</v>
      </c>
      <c r="AB16" s="1487">
        <v>1</v>
      </c>
      <c r="AC16" s="2097">
        <v>1</v>
      </c>
    </row>
    <row r="17" spans="1:29" ht="84">
      <c r="A17" s="387"/>
      <c r="B17" s="587" t="s">
        <v>1700</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6"/>
      <c r="M17" s="2890"/>
      <c r="N17" s="2890"/>
      <c r="O17" s="2890"/>
      <c r="P17" s="3544"/>
      <c r="Q17" s="1486" t="str">
        <f>B17</f>
        <v>交通便捷度</v>
      </c>
      <c r="R17" s="714" t="s">
        <v>17</v>
      </c>
      <c r="S17" s="715">
        <f>F17</f>
        <v>100</v>
      </c>
      <c r="T17" s="714" t="s">
        <v>17</v>
      </c>
      <c r="U17" s="715">
        <f>H17</f>
        <v>100</v>
      </c>
      <c r="V17" s="714" t="s">
        <v>17</v>
      </c>
      <c r="W17" s="715">
        <f>J17</f>
        <v>100</v>
      </c>
      <c r="X17" s="1489"/>
      <c r="Y17" s="3546"/>
      <c r="Z17" s="1490" t="str">
        <f>Q17</f>
        <v>交通便捷度</v>
      </c>
      <c r="AA17" s="1487">
        <f t="shared" si="3"/>
        <v>1</v>
      </c>
      <c r="AB17" s="1487">
        <f t="shared" si="4"/>
        <v>1</v>
      </c>
      <c r="AC17" s="2097">
        <f t="shared" si="5"/>
        <v>1</v>
      </c>
    </row>
    <row r="18" spans="1:29" ht="15.5">
      <c r="A18" s="387"/>
      <c r="B18" s="588"/>
      <c r="C18" s="2099" t="s">
        <v>3777</v>
      </c>
      <c r="D18" s="409"/>
      <c r="E18" s="2099" t="s">
        <v>3777</v>
      </c>
      <c r="F18" s="409"/>
      <c r="G18" s="2099" t="s">
        <v>3777</v>
      </c>
      <c r="H18" s="407"/>
      <c r="I18" s="2099" t="s">
        <v>3777</v>
      </c>
      <c r="J18" s="407"/>
      <c r="K18" s="572"/>
      <c r="L18" s="2896"/>
      <c r="M18" s="2890"/>
      <c r="N18" s="2890"/>
      <c r="O18" s="2890"/>
      <c r="P18" s="3544"/>
      <c r="Q18" s="1486"/>
      <c r="R18" s="714"/>
      <c r="S18" s="715"/>
      <c r="T18" s="714"/>
      <c r="U18" s="715"/>
      <c r="V18" s="714"/>
      <c r="W18" s="715"/>
      <c r="X18" s="1489"/>
      <c r="Y18" s="3546"/>
      <c r="Z18" s="1490"/>
      <c r="AA18" s="1487">
        <v>1</v>
      </c>
      <c r="AB18" s="1487">
        <v>1</v>
      </c>
      <c r="AC18" s="2097">
        <v>1</v>
      </c>
    </row>
    <row r="19" spans="1:29" ht="42">
      <c r="A19" s="387"/>
      <c r="B19" s="587" t="s">
        <v>2264</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6"/>
      <c r="M19" s="2890"/>
      <c r="N19" s="2890"/>
      <c r="O19" s="2890"/>
      <c r="P19" s="3544"/>
      <c r="Q19" s="1486" t="str">
        <f>B19</f>
        <v>公共配套设施</v>
      </c>
      <c r="R19" s="714" t="s">
        <v>17</v>
      </c>
      <c r="S19" s="715">
        <f>F19</f>
        <v>100</v>
      </c>
      <c r="T19" s="714" t="s">
        <v>17</v>
      </c>
      <c r="U19" s="715">
        <f>H19</f>
        <v>100</v>
      </c>
      <c r="V19" s="714" t="s">
        <v>17</v>
      </c>
      <c r="W19" s="715">
        <f>J19</f>
        <v>100</v>
      </c>
      <c r="X19" s="1489"/>
      <c r="Y19" s="3546"/>
      <c r="Z19" s="1490" t="str">
        <f>Q19</f>
        <v>公共配套设施</v>
      </c>
      <c r="AA19" s="1487">
        <f t="shared" si="3"/>
        <v>1</v>
      </c>
      <c r="AB19" s="1487">
        <f t="shared" si="4"/>
        <v>1</v>
      </c>
      <c r="AC19" s="2097">
        <f t="shared" si="5"/>
        <v>1</v>
      </c>
    </row>
    <row r="20" spans="1:29" ht="15.5">
      <c r="A20" s="387"/>
      <c r="B20" s="588"/>
      <c r="C20" s="2039" t="s">
        <v>3777</v>
      </c>
      <c r="D20" s="407"/>
      <c r="E20" s="2039" t="s">
        <v>3777</v>
      </c>
      <c r="F20" s="407"/>
      <c r="G20" s="2039" t="s">
        <v>3777</v>
      </c>
      <c r="H20" s="407"/>
      <c r="I20" s="2039" t="s">
        <v>3777</v>
      </c>
      <c r="J20" s="407"/>
      <c r="K20" s="572"/>
      <c r="L20" s="2896"/>
      <c r="M20" s="2890"/>
      <c r="N20" s="2890"/>
      <c r="O20" s="2890"/>
      <c r="P20" s="3544"/>
      <c r="Q20" s="1486"/>
      <c r="R20" s="714"/>
      <c r="S20" s="715"/>
      <c r="T20" s="714"/>
      <c r="U20" s="715"/>
      <c r="V20" s="714"/>
      <c r="W20" s="715"/>
      <c r="X20" s="1489"/>
      <c r="Y20" s="3546"/>
      <c r="Z20" s="1490"/>
      <c r="AA20" s="1487">
        <v>1</v>
      </c>
      <c r="AB20" s="1487">
        <v>1</v>
      </c>
      <c r="AC20" s="2097">
        <v>1</v>
      </c>
    </row>
    <row r="21" spans="1:29" ht="28">
      <c r="A21" s="387"/>
      <c r="B21" s="589" t="s">
        <v>2265</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6"/>
      <c r="M21" s="2890"/>
      <c r="N21" s="2890"/>
      <c r="O21" s="2890"/>
      <c r="P21" s="3544"/>
      <c r="Q21" s="1486" t="str">
        <f>B21</f>
        <v>基础设施水平</v>
      </c>
      <c r="R21" s="714" t="s">
        <v>17</v>
      </c>
      <c r="S21" s="715">
        <f>F21</f>
        <v>100</v>
      </c>
      <c r="T21" s="714" t="s">
        <v>17</v>
      </c>
      <c r="U21" s="715">
        <f>H21</f>
        <v>100</v>
      </c>
      <c r="V21" s="714" t="s">
        <v>17</v>
      </c>
      <c r="W21" s="715">
        <f>J21</f>
        <v>100</v>
      </c>
      <c r="X21" s="1489"/>
      <c r="Y21" s="3546"/>
      <c r="Z21" s="1490" t="str">
        <f>Q21</f>
        <v>基础设施水平</v>
      </c>
      <c r="AA21" s="1487">
        <f t="shared" ref="AA21" si="8">D21/F21</f>
        <v>1</v>
      </c>
      <c r="AB21" s="1487">
        <f t="shared" ref="AB21" si="9">D21/H21</f>
        <v>1</v>
      </c>
      <c r="AC21" s="2097">
        <f t="shared" ref="AC21" si="10">D21/J21</f>
        <v>1</v>
      </c>
    </row>
    <row r="22" spans="1:29" ht="15.5">
      <c r="A22" s="387"/>
      <c r="B22" s="589"/>
      <c r="C22" s="2099" t="s">
        <v>3778</v>
      </c>
      <c r="D22" s="407"/>
      <c r="E22" s="2099" t="s">
        <v>3778</v>
      </c>
      <c r="F22" s="407"/>
      <c r="G22" s="2099" t="s">
        <v>3778</v>
      </c>
      <c r="H22" s="407"/>
      <c r="I22" s="2099" t="s">
        <v>3778</v>
      </c>
      <c r="J22" s="407"/>
      <c r="K22" s="1244"/>
      <c r="L22" s="2896"/>
      <c r="M22" s="2890"/>
      <c r="N22" s="2890"/>
      <c r="O22" s="2890"/>
      <c r="P22" s="3544"/>
      <c r="Q22" s="1486"/>
      <c r="R22" s="714"/>
      <c r="S22" s="715"/>
      <c r="T22" s="714"/>
      <c r="U22" s="715"/>
      <c r="V22" s="714"/>
      <c r="W22" s="715"/>
      <c r="X22" s="1489"/>
      <c r="Y22" s="3546"/>
      <c r="Z22" s="1490"/>
      <c r="AA22" s="1487">
        <v>1</v>
      </c>
      <c r="AB22" s="1487">
        <v>1</v>
      </c>
      <c r="AC22" s="2097">
        <v>1</v>
      </c>
    </row>
    <row r="23" spans="1:29" ht="56">
      <c r="A23" s="387"/>
      <c r="B23" s="587" t="s">
        <v>2266</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6"/>
      <c r="M23" s="2890"/>
      <c r="N23" s="2890"/>
      <c r="O23" s="2890"/>
      <c r="P23" s="3544"/>
      <c r="Q23" s="1486" t="str">
        <f>B23</f>
        <v>环境质量</v>
      </c>
      <c r="R23" s="714" t="s">
        <v>17</v>
      </c>
      <c r="S23" s="715">
        <f>F23</f>
        <v>100</v>
      </c>
      <c r="T23" s="714" t="s">
        <v>17</v>
      </c>
      <c r="U23" s="715">
        <f>H23</f>
        <v>100</v>
      </c>
      <c r="V23" s="714" t="s">
        <v>17</v>
      </c>
      <c r="W23" s="715">
        <f>J23</f>
        <v>100</v>
      </c>
      <c r="X23" s="1489"/>
      <c r="Y23" s="3546"/>
      <c r="Z23" s="1490" t="str">
        <f>Q23</f>
        <v>环境质量</v>
      </c>
      <c r="AA23" s="1487">
        <f t="shared" si="3"/>
        <v>1</v>
      </c>
      <c r="AB23" s="1487">
        <f t="shared" si="4"/>
        <v>1</v>
      </c>
      <c r="AC23" s="2097">
        <f t="shared" si="5"/>
        <v>1</v>
      </c>
    </row>
    <row r="24" spans="1:29" ht="15.5">
      <c r="A24" s="387"/>
      <c r="B24" s="589"/>
      <c r="C24" s="2039" t="s">
        <v>3776</v>
      </c>
      <c r="D24" s="407"/>
      <c r="E24" s="2039" t="s">
        <v>3776</v>
      </c>
      <c r="F24" s="407"/>
      <c r="G24" s="2039" t="s">
        <v>3776</v>
      </c>
      <c r="H24" s="407"/>
      <c r="I24" s="2039" t="s">
        <v>3776</v>
      </c>
      <c r="J24" s="407"/>
      <c r="K24" s="572"/>
      <c r="L24" s="2896"/>
      <c r="M24" s="2890"/>
      <c r="N24" s="2890"/>
      <c r="O24" s="2890"/>
      <c r="P24" s="3544"/>
      <c r="Q24" s="1486"/>
      <c r="R24" s="714"/>
      <c r="S24" s="715"/>
      <c r="T24" s="714"/>
      <c r="U24" s="715"/>
      <c r="V24" s="714"/>
      <c r="W24" s="715"/>
      <c r="X24" s="1489"/>
      <c r="Y24" s="3546"/>
      <c r="Z24" s="1490"/>
      <c r="AA24" s="1487">
        <v>1</v>
      </c>
      <c r="AB24" s="1487">
        <v>1</v>
      </c>
      <c r="AC24" s="2097">
        <v>1</v>
      </c>
    </row>
    <row r="25" spans="1:29" ht="28">
      <c r="A25" s="364"/>
      <c r="B25" s="587" t="s">
        <v>2267</v>
      </c>
      <c r="C25" s="3323"/>
      <c r="D25" s="394">
        <v>100</v>
      </c>
      <c r="E25" s="393"/>
      <c r="F25" s="394">
        <f>SUMIF(87:87,E26,88:88)-SUMIF(87:87,C26,88:88)+100</f>
        <v>100</v>
      </c>
      <c r="G25" s="2043"/>
      <c r="H25" s="394">
        <f>SUMIF(87:87,G26,88:88)-SUMIF(87:87,C26,88:88)+100</f>
        <v>98</v>
      </c>
      <c r="I25" s="393"/>
      <c r="J25" s="394">
        <f>SUMIF(87:87,I26,88:88)-SUMIF(87:87,C26,88:88)+100</f>
        <v>94</v>
      </c>
      <c r="K25" s="571">
        <v>2</v>
      </c>
      <c r="L25" s="2896"/>
      <c r="M25" s="2890"/>
      <c r="N25" s="2890"/>
      <c r="O25" s="2890"/>
      <c r="P25" s="3544"/>
      <c r="Q25" s="1486" t="str">
        <f>B25</f>
        <v>毗邻道路的类型与等级</v>
      </c>
      <c r="R25" s="714" t="s">
        <v>17</v>
      </c>
      <c r="S25" s="715">
        <f>F25</f>
        <v>100</v>
      </c>
      <c r="T25" s="714" t="s">
        <v>17</v>
      </c>
      <c r="U25" s="715">
        <f>H25</f>
        <v>98</v>
      </c>
      <c r="V25" s="714" t="s">
        <v>17</v>
      </c>
      <c r="W25" s="715">
        <f>J25</f>
        <v>94</v>
      </c>
      <c r="X25" s="1489"/>
      <c r="Y25" s="3546"/>
      <c r="Z25" s="1490" t="str">
        <f>Q25</f>
        <v>毗邻道路的类型与等级</v>
      </c>
      <c r="AA25" s="1487">
        <f t="shared" si="3"/>
        <v>1</v>
      </c>
      <c r="AB25" s="1487">
        <f t="shared" si="4"/>
        <v>1.0204081632653061</v>
      </c>
      <c r="AC25" s="2097">
        <f t="shared" si="5"/>
        <v>1.0638297872340425</v>
      </c>
    </row>
    <row r="26" spans="1:29" ht="16" thickBot="1">
      <c r="A26" s="364"/>
      <c r="B26" s="588"/>
      <c r="C26" s="590" t="s">
        <v>3779</v>
      </c>
      <c r="D26" s="394"/>
      <c r="E26" s="573" t="s">
        <v>3779</v>
      </c>
      <c r="F26" s="394"/>
      <c r="G26" s="590" t="s">
        <v>3785</v>
      </c>
      <c r="H26" s="394"/>
      <c r="I26" s="573" t="s">
        <v>3801</v>
      </c>
      <c r="J26" s="394"/>
      <c r="K26" s="572"/>
      <c r="L26" s="2896"/>
      <c r="M26" s="2890"/>
      <c r="N26" s="2890"/>
      <c r="O26" s="2890"/>
      <c r="P26" s="3544"/>
      <c r="Q26" s="1486"/>
      <c r="R26" s="714"/>
      <c r="S26" s="715"/>
      <c r="T26" s="714"/>
      <c r="U26" s="715"/>
      <c r="V26" s="714"/>
      <c r="W26" s="715"/>
      <c r="X26" s="1489"/>
      <c r="Y26" s="3546"/>
      <c r="Z26" s="1490"/>
      <c r="AA26" s="1487">
        <v>1</v>
      </c>
      <c r="AB26" s="1487">
        <v>1</v>
      </c>
      <c r="AC26" s="2097">
        <v>1</v>
      </c>
    </row>
    <row r="27" spans="1:29" ht="15.5" hidden="1">
      <c r="A27" s="387"/>
      <c r="B27" s="588" t="s">
        <v>2235</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44"/>
      <c r="Q27" s="1486" t="str">
        <f t="shared" ref="Q27:Q47" si="11">B27</f>
        <v>楼层</v>
      </c>
      <c r="R27" s="714" t="s">
        <v>17</v>
      </c>
      <c r="S27" s="715">
        <f>F27</f>
        <v>100</v>
      </c>
      <c r="T27" s="714" t="s">
        <v>17</v>
      </c>
      <c r="U27" s="715">
        <f>H27</f>
        <v>100</v>
      </c>
      <c r="V27" s="714" t="s">
        <v>17</v>
      </c>
      <c r="W27" s="715">
        <f>J27</f>
        <v>100</v>
      </c>
      <c r="X27" s="1489"/>
      <c r="Y27" s="3546"/>
      <c r="Z27" s="1490" t="str">
        <f>Q27</f>
        <v>楼层</v>
      </c>
      <c r="AA27" s="1487">
        <f t="shared" si="3"/>
        <v>1</v>
      </c>
      <c r="AB27" s="1487">
        <f t="shared" si="4"/>
        <v>1</v>
      </c>
      <c r="AC27" s="2097">
        <f t="shared" si="5"/>
        <v>1</v>
      </c>
    </row>
    <row r="28" spans="1:29" s="113" customFormat="1" ht="15.5" hidden="1">
      <c r="A28" s="390"/>
      <c r="B28" s="587" t="s">
        <v>2268</v>
      </c>
      <c r="C28" s="2100"/>
      <c r="D28" s="421">
        <v>100</v>
      </c>
      <c r="E28" s="2091"/>
      <c r="F28" s="421">
        <f>SUMIF(91:91,E28,92:92)-SUMIF(91:91,C28,92:92)+100</f>
        <v>100</v>
      </c>
      <c r="G28" s="2100"/>
      <c r="H28" s="421">
        <f>SUMIF(91:91,G28,92:92)-SUMIF(91:91,C28,92:92)+100</f>
        <v>100</v>
      </c>
      <c r="I28" s="2091"/>
      <c r="J28" s="421">
        <f>SUMIF(91:91,I28,92:92)-SUMIF(91:91,C28,92:92)+100</f>
        <v>100</v>
      </c>
      <c r="K28" s="569"/>
      <c r="L28" s="2891"/>
      <c r="M28" s="2892"/>
      <c r="N28" s="2892"/>
      <c r="O28" s="2892"/>
      <c r="P28" s="3544"/>
      <c r="Q28" s="1477" t="str">
        <f t="shared" si="11"/>
        <v>朝向</v>
      </c>
      <c r="R28" s="710" t="s">
        <v>17</v>
      </c>
      <c r="S28" s="711">
        <f>F28</f>
        <v>100</v>
      </c>
      <c r="T28" s="710" t="s">
        <v>17</v>
      </c>
      <c r="U28" s="711">
        <f>H28</f>
        <v>100</v>
      </c>
      <c r="V28" s="710" t="s">
        <v>17</v>
      </c>
      <c r="W28" s="711">
        <f>J28</f>
        <v>100</v>
      </c>
      <c r="X28" s="712"/>
      <c r="Y28" s="3546"/>
      <c r="Z28" s="55" t="str">
        <f>Q28</f>
        <v>朝向</v>
      </c>
      <c r="AA28" s="1487">
        <f>D28/F28</f>
        <v>1</v>
      </c>
      <c r="AB28" s="1487">
        <f>D28/H28</f>
        <v>1</v>
      </c>
      <c r="AC28" s="2097">
        <f>D28/J28</f>
        <v>1</v>
      </c>
    </row>
    <row r="29" spans="1:29" ht="15.5" hidden="1">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6"/>
      <c r="M29" s="2890"/>
      <c r="N29" s="2890"/>
      <c r="O29" s="2890"/>
      <c r="P29" s="3544"/>
      <c r="Q29" s="1486">
        <f t="shared" si="11"/>
        <v>111</v>
      </c>
      <c r="R29" s="714" t="s">
        <v>17</v>
      </c>
      <c r="S29" s="715">
        <f t="shared" ref="S29:S47" si="12">F29</f>
        <v>100</v>
      </c>
      <c r="T29" s="714" t="s">
        <v>17</v>
      </c>
      <c r="U29" s="715">
        <f t="shared" ref="U29:U47" si="13">H29</f>
        <v>100</v>
      </c>
      <c r="V29" s="714" t="s">
        <v>17</v>
      </c>
      <c r="W29" s="715">
        <f t="shared" ref="W29:W47" si="14">J29</f>
        <v>100</v>
      </c>
      <c r="X29" s="1489"/>
      <c r="Y29" s="3546"/>
      <c r="Z29" s="1490">
        <f t="shared" ref="Z29:Z47" si="15">Q29</f>
        <v>111</v>
      </c>
      <c r="AA29" s="1487">
        <f t="shared" si="3"/>
        <v>1</v>
      </c>
      <c r="AB29" s="1487">
        <f t="shared" si="4"/>
        <v>1</v>
      </c>
      <c r="AC29" s="2097">
        <f t="shared" si="5"/>
        <v>1</v>
      </c>
    </row>
    <row r="30" spans="1:29" ht="15.5" hidden="1">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6"/>
      <c r="M30" s="2890"/>
      <c r="N30" s="2890"/>
      <c r="O30" s="2890"/>
      <c r="P30" s="3544"/>
      <c r="Q30" s="1486">
        <f t="shared" si="11"/>
        <v>111</v>
      </c>
      <c r="R30" s="714" t="s">
        <v>17</v>
      </c>
      <c r="S30" s="715">
        <f t="shared" si="12"/>
        <v>100</v>
      </c>
      <c r="T30" s="714" t="s">
        <v>17</v>
      </c>
      <c r="U30" s="715">
        <f t="shared" si="13"/>
        <v>100</v>
      </c>
      <c r="V30" s="714" t="s">
        <v>17</v>
      </c>
      <c r="W30" s="715">
        <f t="shared" si="14"/>
        <v>100</v>
      </c>
      <c r="X30" s="1489"/>
      <c r="Y30" s="3546"/>
      <c r="Z30" s="1490">
        <f t="shared" si="15"/>
        <v>111</v>
      </c>
      <c r="AA30" s="1487">
        <f t="shared" si="3"/>
        <v>1</v>
      </c>
      <c r="AB30" s="1487">
        <f t="shared" si="4"/>
        <v>1</v>
      </c>
      <c r="AC30" s="2097">
        <f t="shared" si="5"/>
        <v>1</v>
      </c>
    </row>
    <row r="31" spans="1:29" ht="15.5" hidden="1">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6"/>
      <c r="M31" s="2890"/>
      <c r="N31" s="2890"/>
      <c r="O31" s="2890"/>
      <c r="P31" s="3544"/>
      <c r="Q31" s="1486">
        <f t="shared" si="11"/>
        <v>111</v>
      </c>
      <c r="R31" s="714" t="s">
        <v>17</v>
      </c>
      <c r="S31" s="715">
        <f t="shared" si="12"/>
        <v>100</v>
      </c>
      <c r="T31" s="714" t="s">
        <v>17</v>
      </c>
      <c r="U31" s="715">
        <f t="shared" si="13"/>
        <v>100</v>
      </c>
      <c r="V31" s="714" t="s">
        <v>17</v>
      </c>
      <c r="W31" s="715">
        <f t="shared" si="14"/>
        <v>100</v>
      </c>
      <c r="X31" s="1489"/>
      <c r="Y31" s="3546"/>
      <c r="Z31" s="1490">
        <f t="shared" si="15"/>
        <v>111</v>
      </c>
      <c r="AA31" s="1487">
        <f t="shared" si="3"/>
        <v>1</v>
      </c>
      <c r="AB31" s="1487">
        <f t="shared" si="4"/>
        <v>1</v>
      </c>
      <c r="AC31" s="2097">
        <f t="shared" si="5"/>
        <v>1</v>
      </c>
    </row>
    <row r="32" spans="1:29" ht="16" hidden="1"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6"/>
      <c r="M32" s="2890"/>
      <c r="N32" s="2890"/>
      <c r="O32" s="2890"/>
      <c r="P32" s="3544"/>
      <c r="Q32" s="1486">
        <f t="shared" si="11"/>
        <v>111</v>
      </c>
      <c r="R32" s="714" t="s">
        <v>17</v>
      </c>
      <c r="S32" s="715">
        <f t="shared" si="12"/>
        <v>100</v>
      </c>
      <c r="T32" s="714" t="s">
        <v>17</v>
      </c>
      <c r="U32" s="715">
        <f t="shared" si="13"/>
        <v>100</v>
      </c>
      <c r="V32" s="714" t="s">
        <v>17</v>
      </c>
      <c r="W32" s="715">
        <f t="shared" si="14"/>
        <v>100</v>
      </c>
      <c r="X32" s="1489"/>
      <c r="Y32" s="3546"/>
      <c r="Z32" s="1490">
        <f t="shared" si="15"/>
        <v>111</v>
      </c>
      <c r="AA32" s="1487">
        <f t="shared" si="3"/>
        <v>1</v>
      </c>
      <c r="AB32" s="1487">
        <f t="shared" si="4"/>
        <v>1</v>
      </c>
      <c r="AC32" s="2097">
        <f t="shared" si="5"/>
        <v>1</v>
      </c>
    </row>
    <row r="33" spans="1:29" ht="15.5">
      <c r="A33" s="399" t="s">
        <v>2139</v>
      </c>
      <c r="B33" s="67" t="s">
        <v>2269</v>
      </c>
      <c r="C33" s="2102" t="s">
        <v>3786</v>
      </c>
      <c r="D33" s="426">
        <v>100</v>
      </c>
      <c r="E33" s="2102" t="s">
        <v>3786</v>
      </c>
      <c r="F33" s="420">
        <f>SUMIF(101:101,E33,102:102)-SUMIF(101:101,C33,102:102)+100</f>
        <v>100</v>
      </c>
      <c r="G33" s="2102" t="s">
        <v>3786</v>
      </c>
      <c r="H33" s="394">
        <f>SUMIF(101:101,G33,102:102)-SUMIF(101:101,C33,102:102)+100</f>
        <v>100</v>
      </c>
      <c r="I33" s="2102" t="s">
        <v>3786</v>
      </c>
      <c r="J33" s="426">
        <f>SUMIF(101:101,I33,102:102)-SUMIF(101:101,C33,102:102)+100</f>
        <v>100</v>
      </c>
      <c r="K33" s="569">
        <v>2</v>
      </c>
      <c r="L33" s="2896"/>
      <c r="M33" s="2890"/>
      <c r="N33" s="2890"/>
      <c r="O33" s="2890"/>
      <c r="P33" s="3547" t="s">
        <v>2141</v>
      </c>
      <c r="Q33" s="1486" t="str">
        <f t="shared" si="11"/>
        <v>建筑类型</v>
      </c>
      <c r="R33" s="714" t="s">
        <v>17</v>
      </c>
      <c r="S33" s="715">
        <f t="shared" si="12"/>
        <v>100</v>
      </c>
      <c r="T33" s="714" t="s">
        <v>17</v>
      </c>
      <c r="U33" s="715">
        <f t="shared" si="13"/>
        <v>100</v>
      </c>
      <c r="V33" s="714" t="s">
        <v>17</v>
      </c>
      <c r="W33" s="715">
        <f t="shared" si="14"/>
        <v>100</v>
      </c>
      <c r="X33" s="1489"/>
      <c r="Y33" s="3550" t="s">
        <v>2141</v>
      </c>
      <c r="Z33" s="1490" t="str">
        <f t="shared" si="15"/>
        <v>建筑类型</v>
      </c>
      <c r="AA33" s="1487">
        <f t="shared" si="3"/>
        <v>1</v>
      </c>
      <c r="AB33" s="1487">
        <f t="shared" si="4"/>
        <v>1</v>
      </c>
      <c r="AC33" s="2097">
        <f t="shared" si="5"/>
        <v>1</v>
      </c>
    </row>
    <row r="34" spans="1:29" s="430" customFormat="1" ht="15.5">
      <c r="A34" s="427"/>
      <c r="B34" s="381" t="s">
        <v>2142</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5"/>
      <c r="M34" s="2897"/>
      <c r="N34" s="2897"/>
      <c r="O34" s="2897"/>
      <c r="P34" s="3548"/>
      <c r="Q34" s="716" t="str">
        <f t="shared" si="11"/>
        <v>项目建筑规模</v>
      </c>
      <c r="R34" s="717" t="s">
        <v>17</v>
      </c>
      <c r="S34" s="718">
        <f t="shared" si="12"/>
        <v>100</v>
      </c>
      <c r="T34" s="717" t="s">
        <v>17</v>
      </c>
      <c r="U34" s="718">
        <f t="shared" si="13"/>
        <v>100</v>
      </c>
      <c r="V34" s="717" t="s">
        <v>17</v>
      </c>
      <c r="W34" s="718">
        <f t="shared" si="14"/>
        <v>100</v>
      </c>
      <c r="X34" s="719"/>
      <c r="Y34" s="3550"/>
      <c r="Z34" s="720" t="str">
        <f t="shared" si="15"/>
        <v>项目建筑规模</v>
      </c>
      <c r="AA34" s="1487">
        <f t="shared" si="3"/>
        <v>1</v>
      </c>
      <c r="AB34" s="1487">
        <f t="shared" si="4"/>
        <v>1</v>
      </c>
      <c r="AC34" s="2097">
        <f t="shared" si="5"/>
        <v>1</v>
      </c>
    </row>
    <row r="35" spans="1:29" ht="15.5">
      <c r="A35" s="431"/>
      <c r="B35" s="381" t="s">
        <v>2143</v>
      </c>
      <c r="C35" s="419" t="s">
        <v>3729</v>
      </c>
      <c r="D35" s="394">
        <v>100</v>
      </c>
      <c r="E35" s="419" t="s">
        <v>3729</v>
      </c>
      <c r="F35" s="420">
        <f>SUMIF(106:106,E35,107:107)-SUMIF(106:106,C35,107:107)+100</f>
        <v>100</v>
      </c>
      <c r="G35" s="419" t="s">
        <v>3729</v>
      </c>
      <c r="H35" s="394">
        <f>SUMIF(106:106,G35,107:107)-SUMIF(106:106,C35,107:107)+100</f>
        <v>100</v>
      </c>
      <c r="I35" s="419" t="s">
        <v>3729</v>
      </c>
      <c r="J35" s="394">
        <f>SUMIF(106:106,I35,107:107)-SUMIF(106:106,C35,107:107)+100</f>
        <v>100</v>
      </c>
      <c r="K35" s="569">
        <v>1</v>
      </c>
      <c r="L35" s="2896"/>
      <c r="M35" s="2890"/>
      <c r="N35" s="2890"/>
      <c r="O35" s="2890"/>
      <c r="P35" s="3548"/>
      <c r="Q35" s="1486" t="str">
        <f t="shared" si="11"/>
        <v>建筑结构</v>
      </c>
      <c r="R35" s="714" t="s">
        <v>17</v>
      </c>
      <c r="S35" s="715">
        <f t="shared" si="12"/>
        <v>100</v>
      </c>
      <c r="T35" s="714" t="s">
        <v>17</v>
      </c>
      <c r="U35" s="715">
        <f t="shared" si="13"/>
        <v>100</v>
      </c>
      <c r="V35" s="714" t="s">
        <v>17</v>
      </c>
      <c r="W35" s="715">
        <f t="shared" si="14"/>
        <v>100</v>
      </c>
      <c r="X35" s="1489"/>
      <c r="Y35" s="3550"/>
      <c r="Z35" s="1490" t="str">
        <f t="shared" si="15"/>
        <v>建筑结构</v>
      </c>
      <c r="AA35" s="1487">
        <f t="shared" si="3"/>
        <v>1</v>
      </c>
      <c r="AB35" s="1487">
        <f t="shared" si="4"/>
        <v>1</v>
      </c>
      <c r="AC35" s="2097">
        <f t="shared" si="5"/>
        <v>1</v>
      </c>
    </row>
    <row r="36" spans="1:29" ht="15.5">
      <c r="A36" s="431"/>
      <c r="B36" s="381" t="s">
        <v>2237</v>
      </c>
      <c r="C36" s="419" t="s">
        <v>3789</v>
      </c>
      <c r="D36" s="394">
        <v>100</v>
      </c>
      <c r="E36" s="419" t="s">
        <v>3789</v>
      </c>
      <c r="F36" s="420">
        <f>SUMIF(108:108,E36,109:109)-SUMIF(108:108,C36,109:109)+100</f>
        <v>100</v>
      </c>
      <c r="G36" s="419" t="s">
        <v>3789</v>
      </c>
      <c r="H36" s="394">
        <f>SUMIF(108:108,G36,109:109)-SUMIF(108:108,C36,109:109)+100</f>
        <v>100</v>
      </c>
      <c r="I36" s="419" t="s">
        <v>3789</v>
      </c>
      <c r="J36" s="394">
        <f>SUMIF(108:108,I36,109:109)-SUMIF(108:108,C36,109:109)+100</f>
        <v>100</v>
      </c>
      <c r="K36" s="569"/>
      <c r="L36" s="2896"/>
      <c r="M36" s="2890"/>
      <c r="N36" s="2890"/>
      <c r="O36" s="2890"/>
      <c r="P36" s="3548"/>
      <c r="Q36" s="1486" t="str">
        <f t="shared" si="11"/>
        <v>公共部分装修</v>
      </c>
      <c r="R36" s="714" t="s">
        <v>17</v>
      </c>
      <c r="S36" s="715">
        <f t="shared" si="12"/>
        <v>100</v>
      </c>
      <c r="T36" s="714" t="s">
        <v>17</v>
      </c>
      <c r="U36" s="715">
        <f t="shared" si="13"/>
        <v>100</v>
      </c>
      <c r="V36" s="714" t="s">
        <v>17</v>
      </c>
      <c r="W36" s="715">
        <f t="shared" si="14"/>
        <v>100</v>
      </c>
      <c r="X36" s="1489"/>
      <c r="Y36" s="3550"/>
      <c r="Z36" s="1490" t="str">
        <f t="shared" si="15"/>
        <v>公共部分装修</v>
      </c>
      <c r="AA36" s="1487">
        <f t="shared" si="3"/>
        <v>1</v>
      </c>
      <c r="AB36" s="1487">
        <f t="shared" si="4"/>
        <v>1</v>
      </c>
      <c r="AC36" s="2097">
        <f t="shared" si="5"/>
        <v>1</v>
      </c>
    </row>
    <row r="37" spans="1:29" ht="15.5">
      <c r="A37" s="431"/>
      <c r="B37" s="381" t="s">
        <v>2238</v>
      </c>
      <c r="C37" s="433">
        <f>'数据-取费表'!N6</f>
        <v>0.98</v>
      </c>
      <c r="D37" s="394">
        <v>100</v>
      </c>
      <c r="E37" s="433">
        <f>ROUND(1-(1-0%)*(2022-2011)/60,2)</f>
        <v>0.82</v>
      </c>
      <c r="F37" s="420">
        <f>LOOKUP(E37,111:111,112:112)-LOOKUP(C37,111:111,112:112)+100</f>
        <v>98</v>
      </c>
      <c r="G37" s="433">
        <f>ROUND(((1-(1-0%)*(2022-2005)/60)+80%)/2,2)</f>
        <v>0.76</v>
      </c>
      <c r="H37" s="420">
        <f>LOOKUP(G37,111:111,112:112)-LOOKUP(C37,111:111,112:112)+100</f>
        <v>96</v>
      </c>
      <c r="I37" s="433">
        <f>ROUND(((1-(1-0%)*(2022-2003)/60)+75%)/2,2)</f>
        <v>0.72</v>
      </c>
      <c r="J37" s="394">
        <f>LOOKUP(I37,111:111,112:112)-LOOKUP(C37,111:111,112:112)+100</f>
        <v>96</v>
      </c>
      <c r="K37" s="569">
        <v>2</v>
      </c>
      <c r="L37" s="2896"/>
      <c r="M37" s="2890"/>
      <c r="N37" s="2890"/>
      <c r="O37" s="2890"/>
      <c r="P37" s="3548"/>
      <c r="Q37" s="1486" t="str">
        <f t="shared" si="11"/>
        <v>成新度</v>
      </c>
      <c r="R37" s="714" t="s">
        <v>17</v>
      </c>
      <c r="S37" s="715">
        <f t="shared" si="12"/>
        <v>98</v>
      </c>
      <c r="T37" s="714" t="s">
        <v>17</v>
      </c>
      <c r="U37" s="715">
        <f t="shared" si="13"/>
        <v>96</v>
      </c>
      <c r="V37" s="714" t="s">
        <v>17</v>
      </c>
      <c r="W37" s="715">
        <f t="shared" si="14"/>
        <v>96</v>
      </c>
      <c r="X37" s="1489"/>
      <c r="Y37" s="3550"/>
      <c r="Z37" s="1490" t="str">
        <f t="shared" si="15"/>
        <v>成新度</v>
      </c>
      <c r="AA37" s="1487">
        <f t="shared" si="3"/>
        <v>1.0204081632653061</v>
      </c>
      <c r="AB37" s="1487">
        <f t="shared" si="4"/>
        <v>1.0416666666666667</v>
      </c>
      <c r="AC37" s="2097">
        <f t="shared" si="5"/>
        <v>1.0416666666666667</v>
      </c>
    </row>
    <row r="38" spans="1:29" s="113" customFormat="1" ht="15.5">
      <c r="A38" s="432"/>
      <c r="B38" s="381" t="s">
        <v>2270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48"/>
      <c r="Q38" s="1477" t="str">
        <f t="shared" si="11"/>
        <v>写字楼等级</v>
      </c>
      <c r="R38" s="710" t="s">
        <v>17</v>
      </c>
      <c r="S38" s="711">
        <f t="shared" si="12"/>
        <v>100</v>
      </c>
      <c r="T38" s="710" t="s">
        <v>17</v>
      </c>
      <c r="U38" s="711">
        <f t="shared" si="13"/>
        <v>100</v>
      </c>
      <c r="V38" s="710" t="s">
        <v>17</v>
      </c>
      <c r="W38" s="711">
        <f t="shared" si="14"/>
        <v>100</v>
      </c>
      <c r="X38" s="712"/>
      <c r="Y38" s="3550"/>
      <c r="Z38" s="55" t="str">
        <f t="shared" si="15"/>
        <v>写字楼等级</v>
      </c>
      <c r="AA38" s="713">
        <f t="shared" si="3"/>
        <v>1</v>
      </c>
      <c r="AB38" s="713">
        <f t="shared" si="4"/>
        <v>1</v>
      </c>
      <c r="AC38" s="2094">
        <f t="shared" si="5"/>
        <v>1</v>
      </c>
    </row>
    <row r="39" spans="1:29" ht="15.5">
      <c r="A39" s="431"/>
      <c r="B39" s="381" t="s">
        <v>2271</v>
      </c>
      <c r="C39" s="419" t="s">
        <v>3791</v>
      </c>
      <c r="D39" s="394">
        <v>100</v>
      </c>
      <c r="E39" s="419" t="s">
        <v>3791</v>
      </c>
      <c r="F39" s="420">
        <f>SUMIF(115:115,E39,116:116)-SUMIF(115:115,C39,116:116)+100</f>
        <v>100</v>
      </c>
      <c r="G39" s="419" t="s">
        <v>3791</v>
      </c>
      <c r="H39" s="394">
        <f>SUMIF(115:115,G39,116:116)-SUMIF(115:115,C39,116:116)+100</f>
        <v>100</v>
      </c>
      <c r="I39" s="419" t="s">
        <v>3791</v>
      </c>
      <c r="J39" s="394">
        <f>SUMIF(115:115,I39,116:116)-SUMIF(115:115,C39,116:116)+100</f>
        <v>100</v>
      </c>
      <c r="K39" s="569">
        <v>2</v>
      </c>
      <c r="L39" s="2896"/>
      <c r="M39" s="2890"/>
      <c r="N39" s="2890"/>
      <c r="O39" s="2890"/>
      <c r="P39" s="3548" t="s">
        <v>2141</v>
      </c>
      <c r="Q39" s="1486" t="str">
        <f t="shared" si="11"/>
        <v>物业管理</v>
      </c>
      <c r="R39" s="714" t="s">
        <v>17</v>
      </c>
      <c r="S39" s="715">
        <f t="shared" si="12"/>
        <v>100</v>
      </c>
      <c r="T39" s="714" t="s">
        <v>17</v>
      </c>
      <c r="U39" s="715">
        <f t="shared" si="13"/>
        <v>100</v>
      </c>
      <c r="V39" s="714" t="s">
        <v>17</v>
      </c>
      <c r="W39" s="715">
        <f t="shared" si="14"/>
        <v>100</v>
      </c>
      <c r="X39" s="1489"/>
      <c r="Y39" s="3550" t="s">
        <v>2141</v>
      </c>
      <c r="Z39" s="1490" t="str">
        <f t="shared" si="15"/>
        <v>物业管理</v>
      </c>
      <c r="AA39" s="1487">
        <f t="shared" si="3"/>
        <v>1</v>
      </c>
      <c r="AB39" s="1487">
        <f t="shared" si="4"/>
        <v>1</v>
      </c>
      <c r="AC39" s="2097">
        <f t="shared" si="5"/>
        <v>1</v>
      </c>
    </row>
    <row r="40" spans="1:29" ht="15.5">
      <c r="A40" s="431"/>
      <c r="B40" s="381" t="s">
        <v>2239</v>
      </c>
      <c r="C40" s="419" t="s">
        <v>3793</v>
      </c>
      <c r="D40" s="394">
        <v>100</v>
      </c>
      <c r="E40" s="419" t="s">
        <v>3793</v>
      </c>
      <c r="F40" s="420">
        <f>SUMIF(117:117,E40,118:118)-SUMIF(117:117,C40,118:118)+100</f>
        <v>100</v>
      </c>
      <c r="G40" s="419" t="s">
        <v>3793</v>
      </c>
      <c r="H40" s="394">
        <f>SUMIF(117:117,G40,118:118)-SUMIF(117:117,C40,118:118)+100</f>
        <v>100</v>
      </c>
      <c r="I40" s="419" t="s">
        <v>3793</v>
      </c>
      <c r="J40" s="394">
        <f>SUMIF(117:117,I40,118:118)-SUMIF(117:117,C40,118:118)+100</f>
        <v>100</v>
      </c>
      <c r="K40" s="569">
        <v>1</v>
      </c>
      <c r="L40" s="2896"/>
      <c r="M40" s="2890"/>
      <c r="N40" s="2890"/>
      <c r="O40" s="2890"/>
      <c r="P40" s="3548"/>
      <c r="Q40" s="1486" t="str">
        <f t="shared" si="11"/>
        <v>市政基础设施</v>
      </c>
      <c r="R40" s="714" t="s">
        <v>17</v>
      </c>
      <c r="S40" s="715">
        <f t="shared" si="12"/>
        <v>100</v>
      </c>
      <c r="T40" s="714" t="s">
        <v>17</v>
      </c>
      <c r="U40" s="715">
        <f t="shared" si="13"/>
        <v>100</v>
      </c>
      <c r="V40" s="714" t="s">
        <v>17</v>
      </c>
      <c r="W40" s="715">
        <f t="shared" si="14"/>
        <v>100</v>
      </c>
      <c r="X40" s="1489"/>
      <c r="Y40" s="3550"/>
      <c r="Z40" s="1490" t="str">
        <f t="shared" si="15"/>
        <v>市政基础设施</v>
      </c>
      <c r="AA40" s="1487">
        <f t="shared" si="3"/>
        <v>1</v>
      </c>
      <c r="AB40" s="1487">
        <f t="shared" si="4"/>
        <v>1</v>
      </c>
      <c r="AC40" s="2097">
        <f t="shared" si="5"/>
        <v>1</v>
      </c>
    </row>
    <row r="41" spans="1:29" ht="15.5">
      <c r="A41" s="431"/>
      <c r="B41" s="381" t="s">
        <v>2241</v>
      </c>
      <c r="C41" s="573" t="s">
        <v>3798</v>
      </c>
      <c r="D41" s="394">
        <v>100</v>
      </c>
      <c r="E41" s="573" t="s">
        <v>3798</v>
      </c>
      <c r="F41" s="420">
        <f>SUMIF(119:119,E41,120:120)-SUMIF(119:119,C41,120:120)+100</f>
        <v>100</v>
      </c>
      <c r="G41" s="573" t="s">
        <v>3798</v>
      </c>
      <c r="H41" s="394">
        <f>SUMIF(119:119,G41,120:120)-SUMIF(119:119,C41,120:120)+100</f>
        <v>100</v>
      </c>
      <c r="I41" s="573" t="s">
        <v>3798</v>
      </c>
      <c r="J41" s="394">
        <f>SUMIF(119:119,I41,120:120)-SUMIF(119:119,C41,120:120)+100</f>
        <v>100</v>
      </c>
      <c r="K41" s="569">
        <v>1</v>
      </c>
      <c r="L41" s="2896"/>
      <c r="M41" s="2890"/>
      <c r="N41" s="2890"/>
      <c r="O41" s="2890"/>
      <c r="P41" s="3548"/>
      <c r="Q41" s="1486" t="str">
        <f t="shared" si="11"/>
        <v>层高</v>
      </c>
      <c r="R41" s="714" t="s">
        <v>17</v>
      </c>
      <c r="S41" s="715">
        <f t="shared" si="12"/>
        <v>100</v>
      </c>
      <c r="T41" s="714" t="s">
        <v>17</v>
      </c>
      <c r="U41" s="715">
        <f t="shared" si="13"/>
        <v>100</v>
      </c>
      <c r="V41" s="714" t="s">
        <v>17</v>
      </c>
      <c r="W41" s="715">
        <f t="shared" si="14"/>
        <v>100</v>
      </c>
      <c r="X41" s="1489"/>
      <c r="Y41" s="3550"/>
      <c r="Z41" s="1490" t="str">
        <f t="shared" si="15"/>
        <v>层高</v>
      </c>
      <c r="AA41" s="1487">
        <f t="shared" si="3"/>
        <v>1</v>
      </c>
      <c r="AB41" s="1487">
        <f t="shared" si="4"/>
        <v>1</v>
      </c>
      <c r="AC41" s="2097">
        <f t="shared" si="5"/>
        <v>1</v>
      </c>
    </row>
    <row r="42" spans="1:29" s="430" customFormat="1" ht="15.5">
      <c r="A42" s="427"/>
      <c r="B42" s="1488" t="s">
        <v>2272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48"/>
      <c r="Q42" s="716" t="str">
        <f t="shared" si="11"/>
        <v>单套建筑面积</v>
      </c>
      <c r="R42" s="717" t="s">
        <v>17</v>
      </c>
      <c r="S42" s="718">
        <f t="shared" si="12"/>
        <v>100</v>
      </c>
      <c r="T42" s="717" t="s">
        <v>17</v>
      </c>
      <c r="U42" s="718">
        <f t="shared" si="13"/>
        <v>100</v>
      </c>
      <c r="V42" s="717" t="s">
        <v>17</v>
      </c>
      <c r="W42" s="718">
        <f t="shared" si="14"/>
        <v>100</v>
      </c>
      <c r="X42" s="719"/>
      <c r="Y42" s="3550"/>
      <c r="Z42" s="720" t="str">
        <f t="shared" si="15"/>
        <v>单套建筑面积</v>
      </c>
      <c r="AA42" s="1487">
        <f t="shared" si="3"/>
        <v>1</v>
      </c>
      <c r="AB42" s="1487">
        <f t="shared" si="4"/>
        <v>1</v>
      </c>
      <c r="AC42" s="2097">
        <f t="shared" si="5"/>
        <v>1</v>
      </c>
    </row>
    <row r="43" spans="1:29" ht="15.5">
      <c r="A43" s="431"/>
      <c r="B43" s="381" t="s">
        <v>2244</v>
      </c>
      <c r="C43" s="419" t="s">
        <v>3795</v>
      </c>
      <c r="D43" s="394">
        <v>100</v>
      </c>
      <c r="E43" s="419" t="s">
        <v>3795</v>
      </c>
      <c r="F43" s="420">
        <f>SUMIF(123:123,E43,124:124)-SUMIF(123:123,C43,124:124)+100</f>
        <v>100</v>
      </c>
      <c r="G43" s="419" t="s">
        <v>3795</v>
      </c>
      <c r="H43" s="394">
        <f>SUMIF(123:123,G43,124:124)-SUMIF(123:123,C43,124:124)+100</f>
        <v>100</v>
      </c>
      <c r="I43" s="419" t="s">
        <v>3795</v>
      </c>
      <c r="J43" s="394">
        <f>SUMIF(123:123,I43,124:124)-SUMIF(123:123,C43,124:124)+100</f>
        <v>100</v>
      </c>
      <c r="K43" s="569">
        <v>1</v>
      </c>
      <c r="L43" s="2896"/>
      <c r="M43" s="2890"/>
      <c r="N43" s="2890"/>
      <c r="O43" s="2890"/>
      <c r="P43" s="3548"/>
      <c r="Q43" s="1486" t="str">
        <f t="shared" si="11"/>
        <v>内部装修</v>
      </c>
      <c r="R43" s="714" t="s">
        <v>17</v>
      </c>
      <c r="S43" s="715">
        <f t="shared" si="12"/>
        <v>100</v>
      </c>
      <c r="T43" s="714" t="s">
        <v>17</v>
      </c>
      <c r="U43" s="715">
        <f t="shared" si="13"/>
        <v>100</v>
      </c>
      <c r="V43" s="714" t="s">
        <v>17</v>
      </c>
      <c r="W43" s="715">
        <f t="shared" si="14"/>
        <v>100</v>
      </c>
      <c r="X43" s="1489"/>
      <c r="Y43" s="3550"/>
      <c r="Z43" s="1490" t="str">
        <f t="shared" si="15"/>
        <v>内部装修</v>
      </c>
      <c r="AA43" s="1487">
        <f t="shared" si="3"/>
        <v>1</v>
      </c>
      <c r="AB43" s="1487">
        <f t="shared" si="4"/>
        <v>1</v>
      </c>
      <c r="AC43" s="2097">
        <f t="shared" si="5"/>
        <v>1</v>
      </c>
    </row>
    <row r="44" spans="1:29" ht="28.5" thickBot="1">
      <c r="A44" s="431"/>
      <c r="B44" s="381" t="s">
        <v>2152</v>
      </c>
      <c r="C44" s="419" t="s">
        <v>3777</v>
      </c>
      <c r="D44" s="394">
        <v>100</v>
      </c>
      <c r="E44" s="2041" t="s">
        <v>3776</v>
      </c>
      <c r="F44" s="420">
        <f>SUMIF(125:125,E44,126:126)-SUMIF(125:125,C44,126:126)+100</f>
        <v>97</v>
      </c>
      <c r="G44" s="2041" t="s">
        <v>3776</v>
      </c>
      <c r="H44" s="394">
        <f>SUMIF(125:125,G44,126:126)-SUMIF(125:125,C44,126:126)+100</f>
        <v>97</v>
      </c>
      <c r="I44" s="2041" t="s">
        <v>3776</v>
      </c>
      <c r="J44" s="394">
        <f>SUMIF(125:125,I44,126:126)-SUMIF(125:125,C44,126:126)+100</f>
        <v>97</v>
      </c>
      <c r="K44" s="569">
        <v>3</v>
      </c>
      <c r="L44" s="2896"/>
      <c r="M44" s="2890"/>
      <c r="N44" s="2890"/>
      <c r="O44" s="2890"/>
      <c r="P44" s="3548"/>
      <c r="Q44" s="1486" t="str">
        <f t="shared" si="11"/>
        <v>内部装修维护情况</v>
      </c>
      <c r="R44" s="714" t="s">
        <v>17</v>
      </c>
      <c r="S44" s="715">
        <f t="shared" si="12"/>
        <v>97</v>
      </c>
      <c r="T44" s="714" t="s">
        <v>17</v>
      </c>
      <c r="U44" s="715">
        <f t="shared" si="13"/>
        <v>97</v>
      </c>
      <c r="V44" s="714" t="s">
        <v>17</v>
      </c>
      <c r="W44" s="715">
        <f t="shared" si="14"/>
        <v>97</v>
      </c>
      <c r="X44" s="1489"/>
      <c r="Y44" s="3550"/>
      <c r="Z44" s="1490" t="str">
        <f t="shared" si="15"/>
        <v>内部装修维护情况</v>
      </c>
      <c r="AA44" s="1487">
        <f t="shared" si="3"/>
        <v>1.0309278350515463</v>
      </c>
      <c r="AB44" s="1487">
        <f t="shared" si="4"/>
        <v>1.0309278350515463</v>
      </c>
      <c r="AC44" s="2097">
        <f t="shared" si="5"/>
        <v>1.0309278350515463</v>
      </c>
    </row>
    <row r="45" spans="1:29" s="113" customFormat="1" ht="15.5" hidden="1">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48"/>
      <c r="Q45" s="1477">
        <f t="shared" si="11"/>
        <v>111</v>
      </c>
      <c r="R45" s="710" t="s">
        <v>17</v>
      </c>
      <c r="S45" s="711">
        <f t="shared" si="12"/>
        <v>100</v>
      </c>
      <c r="T45" s="710" t="s">
        <v>17</v>
      </c>
      <c r="U45" s="711">
        <f t="shared" si="13"/>
        <v>100</v>
      </c>
      <c r="V45" s="710" t="s">
        <v>17</v>
      </c>
      <c r="W45" s="711">
        <f t="shared" si="14"/>
        <v>100</v>
      </c>
      <c r="X45" s="712"/>
      <c r="Y45" s="3550"/>
      <c r="Z45" s="55">
        <f t="shared" si="15"/>
        <v>111</v>
      </c>
      <c r="AA45" s="713">
        <f t="shared" si="3"/>
        <v>1</v>
      </c>
      <c r="AB45" s="713">
        <f t="shared" si="4"/>
        <v>1</v>
      </c>
      <c r="AC45" s="2094">
        <f t="shared" si="5"/>
        <v>1</v>
      </c>
    </row>
    <row r="46" spans="1:29" ht="15.5" hidden="1">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48"/>
      <c r="Q46" s="1486">
        <f t="shared" si="11"/>
        <v>111</v>
      </c>
      <c r="R46" s="714" t="s">
        <v>17</v>
      </c>
      <c r="S46" s="715">
        <f t="shared" si="12"/>
        <v>100</v>
      </c>
      <c r="T46" s="714" t="s">
        <v>17</v>
      </c>
      <c r="U46" s="715">
        <f t="shared" si="13"/>
        <v>100</v>
      </c>
      <c r="V46" s="714" t="s">
        <v>17</v>
      </c>
      <c r="W46" s="715">
        <f t="shared" si="14"/>
        <v>100</v>
      </c>
      <c r="X46" s="1489"/>
      <c r="Y46" s="3550"/>
      <c r="Z46" s="1490">
        <f t="shared" si="15"/>
        <v>111</v>
      </c>
      <c r="AA46" s="1487">
        <f t="shared" si="3"/>
        <v>1</v>
      </c>
      <c r="AB46" s="1487">
        <f t="shared" si="4"/>
        <v>1</v>
      </c>
      <c r="AC46" s="2097">
        <f t="shared" si="5"/>
        <v>1</v>
      </c>
    </row>
    <row r="47" spans="1:29" ht="16" hidden="1"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49"/>
      <c r="Q47" s="1486">
        <f t="shared" si="11"/>
        <v>111</v>
      </c>
      <c r="R47" s="714" t="s">
        <v>17</v>
      </c>
      <c r="S47" s="715">
        <f t="shared" si="12"/>
        <v>100</v>
      </c>
      <c r="T47" s="714" t="s">
        <v>17</v>
      </c>
      <c r="U47" s="715">
        <f t="shared" si="13"/>
        <v>100</v>
      </c>
      <c r="V47" s="714" t="s">
        <v>17</v>
      </c>
      <c r="W47" s="715">
        <f t="shared" si="14"/>
        <v>100</v>
      </c>
      <c r="X47" s="1489"/>
      <c r="Y47" s="3551"/>
      <c r="Z47" s="1490">
        <f t="shared" si="15"/>
        <v>111</v>
      </c>
      <c r="AA47" s="1487">
        <f t="shared" si="3"/>
        <v>1</v>
      </c>
      <c r="AB47" s="1487">
        <f t="shared" si="4"/>
        <v>1</v>
      </c>
      <c r="AC47" s="2097">
        <f t="shared" si="5"/>
        <v>1</v>
      </c>
    </row>
    <row r="48" spans="1:29">
      <c r="A48" s="438" t="s">
        <v>2153</v>
      </c>
      <c r="B48" s="439"/>
      <c r="C48" s="1268" t="s">
        <v>1</v>
      </c>
      <c r="D48" s="1269"/>
      <c r="E48" s="1270">
        <v>59000</v>
      </c>
      <c r="F48" s="1271"/>
      <c r="G48" s="1272">
        <v>58000</v>
      </c>
      <c r="H48" s="1273"/>
      <c r="I48" s="1270">
        <v>55000</v>
      </c>
      <c r="J48" s="444"/>
      <c r="K48" s="723"/>
      <c r="L48" s="2898"/>
      <c r="M48" s="2890"/>
      <c r="N48" s="2890"/>
      <c r="O48" s="2890"/>
      <c r="P48" s="3537" t="str">
        <f>A48</f>
        <v>成交单价（元/平方米）</v>
      </c>
      <c r="Q48" s="3538"/>
      <c r="R48" s="3539">
        <f>E48</f>
        <v>59000</v>
      </c>
      <c r="S48" s="3539"/>
      <c r="T48" s="3539">
        <f>G48</f>
        <v>58000</v>
      </c>
      <c r="U48" s="3539"/>
      <c r="V48" s="3539">
        <f>I48</f>
        <v>55000</v>
      </c>
      <c r="W48" s="3539"/>
      <c r="X48" s="405"/>
      <c r="Y48" s="721"/>
      <c r="Z48" s="405"/>
      <c r="AA48" s="405"/>
      <c r="AB48" s="405"/>
      <c r="AC48" s="586"/>
    </row>
    <row r="49" spans="1:29" ht="14.5" thickBot="1">
      <c r="A49" s="445" t="s">
        <v>2245</v>
      </c>
      <c r="B49" s="446"/>
      <c r="C49" s="1274">
        <f>R50</f>
        <v>62819</v>
      </c>
      <c r="D49" s="2487" t="s">
        <v>2635</v>
      </c>
      <c r="E49" s="1275">
        <f>R49</f>
        <v>62066</v>
      </c>
      <c r="F49" s="2488"/>
      <c r="G49" s="1274">
        <f>T49</f>
        <v>63556</v>
      </c>
      <c r="H49" s="2488"/>
      <c r="I49" s="1275">
        <f>V49</f>
        <v>62834</v>
      </c>
      <c r="J49" s="2488"/>
      <c r="K49" s="2490">
        <f>F49+H49+J49</f>
        <v>0</v>
      </c>
      <c r="L49" s="2898"/>
      <c r="M49" s="2890"/>
      <c r="N49" s="2890"/>
      <c r="O49" s="2890"/>
      <c r="P49" s="3537" t="str">
        <f>A49</f>
        <v>比较价值（元/平方米）</v>
      </c>
      <c r="Q49" s="3538"/>
      <c r="R49" s="3539">
        <f>IF(F1="售价",ROUND(PRODUCT(R48,AA7:AA47),0),ROUND(PRODUCT(R48,AA7:AA47),1))</f>
        <v>62066</v>
      </c>
      <c r="S49" s="3539"/>
      <c r="T49" s="3539">
        <f>IF(F1="售价",ROUND(PRODUCT(T48,AB7:AB47),0),ROUND(PRODUCT(T48,AB7:AB47),1))</f>
        <v>63556</v>
      </c>
      <c r="U49" s="3539"/>
      <c r="V49" s="3539">
        <f>IF(F1="售价",ROUND(PRODUCT(V48,AC7:AC47),0),ROUND(PRODUCT(V48,AC7:AC47),1))</f>
        <v>62834</v>
      </c>
      <c r="W49" s="3539"/>
      <c r="X49" s="405"/>
      <c r="Y49" s="405"/>
      <c r="Z49" s="405"/>
      <c r="AA49" s="405"/>
      <c r="AB49" s="405"/>
      <c r="AC49" s="586"/>
    </row>
    <row r="50" spans="1:29" ht="14.5" thickBot="1">
      <c r="A50" s="449" t="s">
        <v>2246</v>
      </c>
      <c r="B50" s="450"/>
      <c r="C50" s="1277">
        <f>R50</f>
        <v>62819</v>
      </c>
      <c r="D50" s="1277"/>
      <c r="E50" s="1277"/>
      <c r="F50" s="1277"/>
      <c r="G50" s="1277"/>
      <c r="H50" s="1277"/>
      <c r="I50" s="1277"/>
      <c r="J50" s="451"/>
      <c r="K50" s="724"/>
      <c r="L50" s="2898"/>
      <c r="M50" s="2890"/>
      <c r="N50" s="2890"/>
      <c r="O50" s="2890"/>
      <c r="P50" s="3540" t="str">
        <f>A50</f>
        <v>估价对象XX用房的比较价值（楼面单价，元/平方米）</v>
      </c>
      <c r="Q50" s="3541"/>
      <c r="R50" s="3542">
        <f>IF(F1="售价",ROUND(IF(D49="简单平均",AVERAGE(R49:V49),R49*F49+T49*H49+V49*J49),0),ROUND(IF(D49="简单平均",AVERAGE(R49:V49),R49*F49+T49*H49+V49*J49),1))</f>
        <v>62819</v>
      </c>
      <c r="S50" s="3542"/>
      <c r="T50" s="3542"/>
      <c r="U50" s="3542"/>
      <c r="V50" s="3542"/>
      <c r="W50" s="3542"/>
      <c r="X50" s="2081"/>
      <c r="Y50" s="2081"/>
      <c r="Z50" s="2081"/>
      <c r="AA50" s="2081"/>
      <c r="AB50" s="2081"/>
      <c r="AC50" s="2082"/>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2247</v>
      </c>
      <c r="D53" s="455"/>
      <c r="E53" s="456">
        <f>IF(E48&lt;E49,E49/E48-1,E48/E49-1)</f>
        <v>5.1966101694915334E-2</v>
      </c>
      <c r="F53" s="457" t="str">
        <f>IF(OR(E53&gt;=0.3,E53&lt;=-0.3),"超过30%","")</f>
        <v/>
      </c>
      <c r="G53" s="456">
        <f>IF(G48&lt;G49,G49/G48-1,G48/G49-1)</f>
        <v>9.5793103448275962E-2</v>
      </c>
      <c r="H53" s="457" t="str">
        <f>IF(OR(G53&gt;=0.3,G53&lt;=-0.3),"超过30%","")</f>
        <v/>
      </c>
      <c r="I53" s="456">
        <f>IF(I48&lt;I49,I49/I48-1,I48/I49-1)</f>
        <v>0.14243636363636369</v>
      </c>
      <c r="J53" s="457" t="str">
        <f>IF(OR(I53&gt;=0.3,I53&lt;=-0.3),"超过30%","")</f>
        <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2248</v>
      </c>
      <c r="D54" s="458"/>
      <c r="E54" s="456">
        <f>IF(E49&lt;G49,G49/E49-1,E49/G49-1)</f>
        <v>2.400670254245485E-2</v>
      </c>
      <c r="F54" s="457" t="str">
        <f>IF(OR(E54&gt;=0.2,E54&lt;=-0.2),"超过20%","")</f>
        <v/>
      </c>
      <c r="G54" s="456">
        <f>IF(G49&lt;I49,I49/G49-1,G49/I49-1)</f>
        <v>1.1490594264251808E-2</v>
      </c>
      <c r="H54" s="457" t="str">
        <f>IF(OR(G54&gt;=0.2,G54&lt;=-0.2),"超过20%","")</f>
        <v/>
      </c>
      <c r="I54" s="456">
        <f>IF(I49&lt;E49,E49/I49-1,I49/E49-1)</f>
        <v>1.2373924531949854E-2</v>
      </c>
      <c r="J54" s="457" t="str">
        <f>IF(OR(I54&gt;=0.2,I54&lt;=-0.2),"超过20%","")</f>
        <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2249</v>
      </c>
      <c r="D55" s="458"/>
      <c r="E55" s="456">
        <f>IF(E48&lt;G48,G48/E48-1,E48/G48-1)</f>
        <v>1.7241379310344751E-2</v>
      </c>
      <c r="F55" s="457" t="str">
        <f>IF(OR(E55&gt;=0.3,E55&lt;=-0.3),"超过30%","")</f>
        <v/>
      </c>
      <c r="G55" s="456">
        <f>IF(G48&lt;I48,I48/G48-1,G48/I48-1)</f>
        <v>5.4545454545454453E-2</v>
      </c>
      <c r="H55" s="457" t="str">
        <f>IF(OR(G55&gt;=0.3,G55&lt;=-0.3),"超过30%","")</f>
        <v/>
      </c>
      <c r="I55" s="456">
        <f>IF(I48&lt;E48,E48/I48-1,I48/E48-1)</f>
        <v>7.2727272727272751E-2</v>
      </c>
      <c r="J55" s="457" t="str">
        <f>IF(OR(I55&gt;=0.3,I55&lt;=-0.3),"超过30%","")</f>
        <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5" thickBot="1">
      <c r="A58" s="703" t="s">
        <v>2250</v>
      </c>
      <c r="B58" s="699"/>
      <c r="C58" s="704"/>
      <c r="D58" s="704"/>
      <c r="E58" s="704"/>
      <c r="F58" s="705"/>
      <c r="G58" s="705"/>
      <c r="H58" s="704"/>
      <c r="I58" s="704"/>
      <c r="J58" s="704"/>
      <c r="K58" s="706"/>
      <c r="L58" s="1053"/>
      <c r="M58" s="1051"/>
      <c r="N58" s="2943"/>
      <c r="O58" s="2943"/>
      <c r="P58" s="2932"/>
      <c r="Q58" s="2913"/>
      <c r="R58" s="2899"/>
      <c r="S58" s="2899"/>
      <c r="T58" s="2899"/>
      <c r="U58" s="2899"/>
      <c r="V58" s="2899"/>
      <c r="W58" s="2899"/>
      <c r="X58" s="2899"/>
      <c r="Y58" s="2899"/>
      <c r="Z58" s="2899"/>
      <c r="AA58" s="2899"/>
      <c r="AB58" s="2899"/>
      <c r="AC58" s="2899"/>
    </row>
    <row r="59" spans="1:29" s="465" customFormat="1">
      <c r="A59" s="462" t="s">
        <v>2124</v>
      </c>
      <c r="B59" s="463"/>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3"/>
      <c r="Q59" s="2915"/>
      <c r="R59" s="2915"/>
      <c r="S59" s="2915"/>
      <c r="T59" s="2915"/>
      <c r="U59" s="2915"/>
      <c r="V59" s="2915"/>
      <c r="W59" s="2915"/>
      <c r="X59" s="2915"/>
      <c r="Y59" s="2915"/>
      <c r="Z59" s="2915"/>
      <c r="AA59" s="2915"/>
      <c r="AB59" s="2915"/>
      <c r="AC59" s="2915"/>
    </row>
    <row r="60" spans="1:29" s="113" customFormat="1">
      <c r="A60" s="466"/>
      <c r="B60" s="467"/>
      <c r="C60" s="1297">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4.5" thickBot="1">
      <c r="A61" s="472" t="s">
        <v>2161</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c r="A62" s="478" t="s">
        <v>2126</v>
      </c>
      <c r="B62" s="467"/>
      <c r="C62" s="479" t="s">
        <v>2228</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4.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2164</v>
      </c>
      <c r="B64" s="485" t="s">
        <v>2130</v>
      </c>
      <c r="C64" s="486" t="str">
        <f>C9</f>
        <v>办公</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4.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8.5" thickTop="1">
      <c r="A66" s="491"/>
      <c r="B66" s="495" t="s">
        <v>2133</v>
      </c>
      <c r="C66" s="496" t="s">
        <v>2165</v>
      </c>
      <c r="D66" s="496" t="s">
        <v>2166</v>
      </c>
      <c r="E66" s="496" t="s">
        <v>2167</v>
      </c>
      <c r="F66" s="496" t="s">
        <v>2168</v>
      </c>
      <c r="G66" s="496" t="s">
        <v>2169</v>
      </c>
      <c r="H66" s="496" t="s">
        <v>2170</v>
      </c>
      <c r="I66" s="496" t="s">
        <v>2171</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4.5" thickBot="1">
      <c r="A67" s="491"/>
      <c r="B67" s="500"/>
      <c r="C67" s="501" t="s">
        <v>24</v>
      </c>
      <c r="D67" s="501" t="s">
        <v>25</v>
      </c>
      <c r="E67" s="501">
        <v>100</v>
      </c>
      <c r="F67" s="501">
        <f>E67-$K10</f>
        <v>99</v>
      </c>
      <c r="G67" s="501">
        <f>F67-$K10</f>
        <v>98</v>
      </c>
      <c r="H67" s="501">
        <f>G67-$K10</f>
        <v>97</v>
      </c>
      <c r="I67" s="501">
        <f>H67-$K10</f>
        <v>96</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4.5" thickTop="1">
      <c r="A68" s="491"/>
      <c r="B68" s="503" t="s">
        <v>2134</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c r="A69" s="491"/>
      <c r="B69" s="505"/>
      <c r="C69" s="506">
        <v>0</v>
      </c>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4.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4.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4.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4.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4.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4.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2135</v>
      </c>
      <c r="B77" s="485" t="s">
        <v>2273</v>
      </c>
      <c r="C77" s="530" t="s">
        <v>2173</v>
      </c>
      <c r="D77" s="530" t="s">
        <v>2174</v>
      </c>
      <c r="E77" s="530" t="s">
        <v>2175</v>
      </c>
      <c r="F77" s="530" t="s">
        <v>2176</v>
      </c>
      <c r="G77" s="530" t="s">
        <v>2177</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4.5" thickBot="1">
      <c r="A78" s="491"/>
      <c r="B78" s="500"/>
      <c r="C78" s="501">
        <v>100</v>
      </c>
      <c r="D78" s="501">
        <f>C78-$K15</f>
        <v>98</v>
      </c>
      <c r="E78" s="501">
        <f>D78-$K15</f>
        <v>96</v>
      </c>
      <c r="F78" s="501">
        <f>E78-$K15</f>
        <v>94</v>
      </c>
      <c r="G78" s="501">
        <f>F78-$K15</f>
        <v>92</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4.5" thickTop="1">
      <c r="A79" s="491"/>
      <c r="B79" s="495" t="s">
        <v>2178</v>
      </c>
      <c r="C79" s="535" t="s">
        <v>2173</v>
      </c>
      <c r="D79" s="535" t="s">
        <v>2174</v>
      </c>
      <c r="E79" s="535" t="s">
        <v>2175</v>
      </c>
      <c r="F79" s="535" t="s">
        <v>2176</v>
      </c>
      <c r="G79" s="535" t="s">
        <v>2177</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4.5" thickBot="1">
      <c r="A80" s="491"/>
      <c r="B80" s="500"/>
      <c r="C80" s="501">
        <v>100</v>
      </c>
      <c r="D80" s="501">
        <f>C80-$K17</f>
        <v>98</v>
      </c>
      <c r="E80" s="501">
        <f>D80-$K17</f>
        <v>96</v>
      </c>
      <c r="F80" s="501">
        <f>E80-$K17</f>
        <v>94</v>
      </c>
      <c r="G80" s="501">
        <f>F80-$K17</f>
        <v>92</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4.5" thickTop="1">
      <c r="A81" s="491"/>
      <c r="B81" s="495" t="s">
        <v>2179</v>
      </c>
      <c r="C81" s="535" t="s">
        <v>2173</v>
      </c>
      <c r="D81" s="535" t="s">
        <v>2174</v>
      </c>
      <c r="E81" s="535" t="s">
        <v>2175</v>
      </c>
      <c r="F81" s="535" t="s">
        <v>2176</v>
      </c>
      <c r="G81" s="535" t="s">
        <v>2177</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4.5" thickBot="1">
      <c r="A82" s="491"/>
      <c r="B82" s="500"/>
      <c r="C82" s="501">
        <v>100</v>
      </c>
      <c r="D82" s="501">
        <f>C82-$K19</f>
        <v>98</v>
      </c>
      <c r="E82" s="501">
        <f>D82-$K19</f>
        <v>96</v>
      </c>
      <c r="F82" s="501">
        <f>E82-$K19</f>
        <v>94</v>
      </c>
      <c r="G82" s="501">
        <f>F82-$K19</f>
        <v>92</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4.5" thickTop="1">
      <c r="A83" s="491"/>
      <c r="B83" s="503" t="s">
        <v>2265</v>
      </c>
      <c r="C83" s="616" t="s">
        <v>2251</v>
      </c>
      <c r="D83" s="616" t="s">
        <v>2252</v>
      </c>
      <c r="E83" s="616" t="s">
        <v>2253</v>
      </c>
      <c r="F83" s="616" t="s">
        <v>2254</v>
      </c>
      <c r="G83" s="616" t="s">
        <v>2255</v>
      </c>
      <c r="H83" s="496"/>
      <c r="I83" s="496"/>
      <c r="J83" s="496"/>
      <c r="K83" s="496"/>
      <c r="L83" s="496"/>
      <c r="M83" s="1243"/>
      <c r="N83" s="2928"/>
      <c r="O83" s="2928"/>
      <c r="P83" s="2936"/>
      <c r="Q83" s="2913"/>
      <c r="R83" s="2899"/>
      <c r="S83" s="2899"/>
      <c r="T83" s="2899"/>
      <c r="U83" s="2899"/>
      <c r="V83" s="2899"/>
      <c r="W83" s="2899"/>
      <c r="X83" s="2899"/>
      <c r="Y83" s="2899"/>
      <c r="Z83" s="2899"/>
      <c r="AA83" s="2899"/>
      <c r="AB83" s="2899"/>
      <c r="AC83" s="2899"/>
    </row>
    <row r="84" spans="1:29" ht="14.5" thickBot="1">
      <c r="A84" s="491"/>
      <c r="B84" s="503"/>
      <c r="C84" s="501">
        <v>100</v>
      </c>
      <c r="D84" s="501">
        <f>C84-$K21</f>
        <v>99</v>
      </c>
      <c r="E84" s="501">
        <f>D84-$K21</f>
        <v>98</v>
      </c>
      <c r="F84" s="501">
        <f>E84-$K21</f>
        <v>97</v>
      </c>
      <c r="G84" s="501">
        <f>F84-$K21</f>
        <v>96</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4.5" thickTop="1">
      <c r="A85" s="491"/>
      <c r="B85" s="495" t="s">
        <v>2274</v>
      </c>
      <c r="C85" s="535" t="s">
        <v>2173</v>
      </c>
      <c r="D85" s="535" t="s">
        <v>2174</v>
      </c>
      <c r="E85" s="535" t="s">
        <v>2175</v>
      </c>
      <c r="F85" s="535" t="s">
        <v>2176</v>
      </c>
      <c r="G85" s="535" t="s">
        <v>2177</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4.5" thickBot="1">
      <c r="A86" s="491"/>
      <c r="B86" s="500"/>
      <c r="C86" s="501">
        <v>100</v>
      </c>
      <c r="D86" s="501">
        <f>C86-$K23</f>
        <v>98</v>
      </c>
      <c r="E86" s="501">
        <f>D86-$K23</f>
        <v>96</v>
      </c>
      <c r="F86" s="501">
        <f>E86-$K23</f>
        <v>94</v>
      </c>
      <c r="G86" s="501">
        <f>F86-$K23</f>
        <v>92</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8.5" thickTop="1">
      <c r="A87" s="536"/>
      <c r="B87" s="495" t="s">
        <v>2275</v>
      </c>
      <c r="C87" s="3324" t="s">
        <v>3780</v>
      </c>
      <c r="D87" s="3324" t="s">
        <v>3781</v>
      </c>
      <c r="E87" s="3324" t="s">
        <v>3782</v>
      </c>
      <c r="F87" s="3324" t="s">
        <v>3783</v>
      </c>
      <c r="G87" s="3324" t="s">
        <v>3784</v>
      </c>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4.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28"/>
      <c r="O88" s="2928"/>
      <c r="P88" s="2936"/>
      <c r="Q88" s="2913"/>
      <c r="R88" s="2834"/>
      <c r="S88" s="2834"/>
      <c r="T88" s="2834"/>
      <c r="U88" s="2834"/>
      <c r="V88" s="2834"/>
      <c r="W88" s="2834"/>
      <c r="X88" s="2834"/>
      <c r="Y88" s="2834"/>
      <c r="Z88" s="2834"/>
      <c r="AA88" s="2834"/>
      <c r="AB88" s="2834"/>
      <c r="AC88" s="2834"/>
    </row>
    <row r="89" spans="1:29" s="113" customFormat="1" ht="14.5" thickTop="1">
      <c r="A89" s="536"/>
      <c r="B89" s="495" t="str">
        <f>B27</f>
        <v>楼层</v>
      </c>
      <c r="C89" s="511"/>
      <c r="D89" s="511"/>
      <c r="E89" s="511"/>
      <c r="F89" s="2062"/>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4.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4.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4.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4.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4.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4.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4.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4.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4.5" thickBot="1">
      <c r="A100" s="2063"/>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2139</v>
      </c>
      <c r="B101" s="485" t="s">
        <v>2188</v>
      </c>
      <c r="C101" s="3325" t="s">
        <v>3787</v>
      </c>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4.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8"/>
      <c r="O102" s="2928"/>
      <c r="P102" s="2936"/>
      <c r="Q102" s="2913"/>
      <c r="R102" s="2899"/>
      <c r="S102" s="2899"/>
      <c r="T102" s="2899"/>
      <c r="U102" s="2899"/>
      <c r="V102" s="2899"/>
      <c r="W102" s="2899"/>
      <c r="X102" s="2899"/>
      <c r="Y102" s="2899"/>
      <c r="Z102" s="2899"/>
      <c r="AA102" s="2899"/>
      <c r="AB102" s="2899"/>
      <c r="AC102" s="2899"/>
    </row>
    <row r="103" spans="1:29" ht="14.5" thickTop="1">
      <c r="A103" s="491"/>
      <c r="B103" s="495" t="s">
        <v>2189</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v>0</v>
      </c>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4.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4.5" thickTop="1">
      <c r="A106" s="556"/>
      <c r="B106" s="495" t="s">
        <v>2190</v>
      </c>
      <c r="C106" s="3326" t="s">
        <v>3788</v>
      </c>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4.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28"/>
      <c r="O107" s="2928"/>
      <c r="P107" s="2936"/>
      <c r="Q107" s="2913"/>
      <c r="R107" s="2899"/>
      <c r="S107" s="2899"/>
      <c r="T107" s="2899"/>
      <c r="U107" s="2899"/>
      <c r="V107" s="2899"/>
      <c r="W107" s="2899"/>
      <c r="X107" s="2899"/>
      <c r="Y107" s="2899"/>
      <c r="Z107" s="2899"/>
      <c r="AA107" s="2899"/>
      <c r="AB107" s="2899"/>
      <c r="AC107" s="2899"/>
    </row>
    <row r="108" spans="1:29" ht="14.5" thickTop="1">
      <c r="A108" s="556"/>
      <c r="B108" s="495" t="s">
        <v>2192</v>
      </c>
      <c r="C108" s="3326" t="s">
        <v>3790</v>
      </c>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4.5" thickTop="1">
      <c r="A110" s="556"/>
      <c r="B110" s="495" t="s">
        <v>1631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4.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28"/>
      <c r="O112" s="2928"/>
      <c r="P112" s="2936"/>
      <c r="Q112" s="2913"/>
      <c r="R112" s="2899"/>
      <c r="S112" s="2899"/>
      <c r="T112" s="2899"/>
      <c r="U112" s="2899"/>
      <c r="V112" s="2899"/>
      <c r="W112" s="2899"/>
      <c r="X112" s="2899"/>
      <c r="Y112" s="2899"/>
      <c r="Z112" s="2899"/>
      <c r="AA112" s="2899"/>
      <c r="AB112" s="2899"/>
      <c r="AC112" s="2899"/>
    </row>
    <row r="113" spans="1:29" s="430" customFormat="1" ht="14.5" thickTop="1">
      <c r="A113" s="550"/>
      <c r="B113" s="495" t="s">
        <v>2276</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4.5" thickTop="1">
      <c r="A115" s="556"/>
      <c r="B115" s="495" t="s">
        <v>2193</v>
      </c>
      <c r="C115" s="3326" t="s">
        <v>3792</v>
      </c>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4.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8"/>
      <c r="O116" s="2928"/>
      <c r="P116" s="2936"/>
      <c r="Q116" s="2913"/>
      <c r="R116" s="2899"/>
      <c r="S116" s="2899"/>
      <c r="T116" s="2899"/>
      <c r="U116" s="2899"/>
      <c r="V116" s="2899"/>
      <c r="W116" s="2899"/>
      <c r="X116" s="2899"/>
      <c r="Y116" s="2899"/>
      <c r="Z116" s="2899"/>
      <c r="AA116" s="2899"/>
      <c r="AB116" s="2899"/>
      <c r="AC116" s="2899"/>
    </row>
    <row r="117" spans="1:29" ht="14.5" thickTop="1">
      <c r="A117" s="556"/>
      <c r="B117" s="495" t="s">
        <v>2194</v>
      </c>
      <c r="C117" s="3326" t="s">
        <v>3794</v>
      </c>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4.5" thickBot="1">
      <c r="A118" s="491"/>
      <c r="B118" s="500"/>
      <c r="C118" s="501">
        <v>100</v>
      </c>
      <c r="D118" s="501">
        <f>C118-$K40</f>
        <v>99</v>
      </c>
      <c r="E118" s="501">
        <f>D118-$K40</f>
        <v>98</v>
      </c>
      <c r="F118" s="501">
        <f>E118-$K40</f>
        <v>97</v>
      </c>
      <c r="G118" s="501">
        <f>F118-$K40</f>
        <v>96</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4.5" thickTop="1">
      <c r="A119" s="556"/>
      <c r="B119" s="592" t="s">
        <v>2277</v>
      </c>
      <c r="C119" s="3327" t="s">
        <v>3799</v>
      </c>
      <c r="D119" s="540"/>
      <c r="E119" s="540"/>
      <c r="F119" s="540"/>
      <c r="G119" s="540"/>
      <c r="H119" s="540"/>
      <c r="I119" s="540"/>
      <c r="J119" s="540"/>
      <c r="K119" s="540"/>
      <c r="L119" s="2103"/>
      <c r="M119" s="2104"/>
      <c r="N119" s="2928"/>
      <c r="O119" s="2928"/>
      <c r="P119" s="2941"/>
      <c r="Q119" s="2942"/>
      <c r="R119" s="2899"/>
      <c r="S119" s="2899"/>
      <c r="T119" s="2899"/>
      <c r="U119" s="2899"/>
      <c r="V119" s="2899"/>
      <c r="W119" s="2899"/>
      <c r="X119" s="2899"/>
      <c r="Y119" s="2899"/>
      <c r="Z119" s="2899"/>
      <c r="AA119" s="2899"/>
      <c r="AB119" s="2899"/>
      <c r="AC119" s="2899"/>
    </row>
    <row r="120" spans="1:29" ht="14.5" thickBot="1">
      <c r="A120" s="491"/>
      <c r="B120" s="500"/>
      <c r="C120" s="539">
        <v>100</v>
      </c>
      <c r="D120" s="501">
        <f>C120-$K41</f>
        <v>99</v>
      </c>
      <c r="E120" s="501">
        <f t="shared" ref="E120:M120" si="29">D120-$K41</f>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28"/>
      <c r="O120" s="2928"/>
      <c r="P120" s="2936"/>
      <c r="Q120" s="2913"/>
      <c r="R120" s="2899"/>
      <c r="S120" s="2899"/>
      <c r="T120" s="2899"/>
      <c r="U120" s="2899"/>
      <c r="V120" s="2899"/>
      <c r="W120" s="2899"/>
      <c r="X120" s="2899"/>
      <c r="Y120" s="2899"/>
      <c r="Z120" s="2899"/>
      <c r="AA120" s="2899"/>
      <c r="AB120" s="2899"/>
      <c r="AC120" s="2899"/>
    </row>
    <row r="121" spans="1:29" s="430" customFormat="1" ht="14.5" thickTop="1">
      <c r="A121" s="550"/>
      <c r="B121" s="495" t="s">
        <v>2260</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4.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4.5" thickTop="1">
      <c r="A123" s="556"/>
      <c r="B123" s="495" t="s">
        <v>2196</v>
      </c>
      <c r="C123" s="3326" t="s">
        <v>3796</v>
      </c>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4.5"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28"/>
      <c r="O124" s="2928"/>
      <c r="P124" s="2936"/>
      <c r="Q124" s="2913"/>
      <c r="R124" s="2899"/>
      <c r="S124" s="2899"/>
      <c r="T124" s="2899"/>
      <c r="U124" s="2899"/>
      <c r="V124" s="2899"/>
      <c r="W124" s="2899"/>
      <c r="X124" s="2899"/>
      <c r="Y124" s="2899"/>
      <c r="Z124" s="2899"/>
      <c r="AA124" s="2899"/>
      <c r="AB124" s="2899"/>
      <c r="AC124" s="2899"/>
    </row>
    <row r="125" spans="1:29" ht="28.5" thickTop="1">
      <c r="A125" s="556"/>
      <c r="B125" s="495" t="s">
        <v>2197</v>
      </c>
      <c r="C125" s="535" t="s">
        <v>2173</v>
      </c>
      <c r="D125" s="535" t="s">
        <v>2174</v>
      </c>
      <c r="E125" s="535" t="s">
        <v>2175</v>
      </c>
      <c r="F125" s="535" t="s">
        <v>2176</v>
      </c>
      <c r="G125" s="535" t="s">
        <v>2177</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4.5" thickBot="1">
      <c r="A126" s="491"/>
      <c r="B126" s="500"/>
      <c r="C126" s="501">
        <v>100</v>
      </c>
      <c r="D126" s="501">
        <f>C126-$K44</f>
        <v>97</v>
      </c>
      <c r="E126" s="501">
        <f>D126-$K44</f>
        <v>94</v>
      </c>
      <c r="F126" s="501">
        <f>E126-$K44</f>
        <v>91</v>
      </c>
      <c r="G126" s="501">
        <f>F126-$K44</f>
        <v>88</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4.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4.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4.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4.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4.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4.5" thickBot="1">
      <c r="A132" s="2063"/>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10" priority="20" stopIfTrue="1" operator="containsText" text="超过">
      <formula>NOT(ISERROR(SEARCH("超过",F53)))</formula>
    </cfRule>
  </conditionalFormatting>
  <conditionalFormatting sqref="H55">
    <cfRule type="containsText" dxfId="209" priority="19" stopIfTrue="1" operator="containsText" text="超过">
      <formula>NOT(ISERROR(SEARCH("超过",H55)))</formula>
    </cfRule>
  </conditionalFormatting>
  <conditionalFormatting sqref="F55">
    <cfRule type="containsText" dxfId="208" priority="18" stopIfTrue="1" operator="containsText" text="超过">
      <formula>NOT(ISERROR(SEARCH("超过",F55)))</formula>
    </cfRule>
  </conditionalFormatting>
  <conditionalFormatting sqref="F54 H54">
    <cfRule type="containsText" dxfId="207" priority="17" stopIfTrue="1" operator="containsText" text="超过">
      <formula>NOT(ISERROR(SEARCH("超过",F54)))</formula>
    </cfRule>
  </conditionalFormatting>
  <conditionalFormatting sqref="E53">
    <cfRule type="expression" dxfId="206" priority="16" stopIfTrue="1">
      <formula>$F$53="超过30%"</formula>
    </cfRule>
  </conditionalFormatting>
  <conditionalFormatting sqref="E54">
    <cfRule type="expression" dxfId="205" priority="15" stopIfTrue="1">
      <formula>$F$54="超过20%"</formula>
    </cfRule>
  </conditionalFormatting>
  <conditionalFormatting sqref="E55">
    <cfRule type="expression" dxfId="204" priority="14" stopIfTrue="1">
      <formula>$F$55="超过30%"</formula>
    </cfRule>
  </conditionalFormatting>
  <conditionalFormatting sqref="G55">
    <cfRule type="expression" dxfId="203" priority="13" stopIfTrue="1">
      <formula>$H$55="超过30%"</formula>
    </cfRule>
  </conditionalFormatting>
  <conditionalFormatting sqref="G53">
    <cfRule type="expression" dxfId="202" priority="12" stopIfTrue="1">
      <formula>$H$53="超过30%"</formula>
    </cfRule>
  </conditionalFormatting>
  <conditionalFormatting sqref="G54">
    <cfRule type="expression" dxfId="201" priority="11" stopIfTrue="1">
      <formula>$H$54="超过20%"</formula>
    </cfRule>
  </conditionalFormatting>
  <conditionalFormatting sqref="J53">
    <cfRule type="containsText" dxfId="200" priority="10" stopIfTrue="1" operator="containsText" text="超过">
      <formula>NOT(ISERROR(SEARCH("超过",J53)))</formula>
    </cfRule>
  </conditionalFormatting>
  <conditionalFormatting sqref="J55">
    <cfRule type="containsText" dxfId="199" priority="9" stopIfTrue="1" operator="containsText" text="超过">
      <formula>NOT(ISERROR(SEARCH("超过",J55)))</formula>
    </cfRule>
  </conditionalFormatting>
  <conditionalFormatting sqref="J54">
    <cfRule type="containsText" dxfId="198" priority="8" stopIfTrue="1" operator="containsText" text="超过">
      <formula>NOT(ISERROR(SEARCH("超过",J54)))</formula>
    </cfRule>
  </conditionalFormatting>
  <conditionalFormatting sqref="I53">
    <cfRule type="expression" dxfId="197" priority="7" stopIfTrue="1">
      <formula>$J$53="超过30%"</formula>
    </cfRule>
  </conditionalFormatting>
  <conditionalFormatting sqref="I54">
    <cfRule type="expression" dxfId="196" priority="6" stopIfTrue="1">
      <formula>$J$53+$J$54="超过20%"</formula>
    </cfRule>
  </conditionalFormatting>
  <conditionalFormatting sqref="I55">
    <cfRule type="expression" dxfId="195" priority="5" stopIfTrue="1">
      <formula>$J$55="超过30%"</formula>
    </cfRule>
  </conditionalFormatting>
  <conditionalFormatting sqref="F49">
    <cfRule type="expression" dxfId="194" priority="4">
      <formula>$D$49="简单平均"</formula>
    </cfRule>
  </conditionalFormatting>
  <conditionalFormatting sqref="H49">
    <cfRule type="expression" dxfId="193" priority="3">
      <formula>$D$49="简单平均"</formula>
    </cfRule>
  </conditionalFormatting>
  <conditionalFormatting sqref="J49">
    <cfRule type="expression" dxfId="192" priority="2">
      <formula>$D$49="简单平均"</formula>
    </cfRule>
  </conditionalFormatting>
  <conditionalFormatting sqref="F7:F47 H7:H47 J7:J47">
    <cfRule type="cellIs" dxfId="191"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E22" sqref="E22"/>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27</v>
      </c>
      <c r="D1" s="1496" t="s">
        <v>70</v>
      </c>
      <c r="E1" s="1497" t="s">
        <v>1107</v>
      </c>
      <c r="F1" s="1173">
        <f ca="1">J53</f>
        <v>32.32</v>
      </c>
      <c r="G1" s="1512">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464464</v>
      </c>
      <c r="C2" s="1521" t="s">
        <v>1236</v>
      </c>
      <c r="D2" s="1521"/>
      <c r="E2" s="1522"/>
      <c r="F2" s="1523"/>
      <c r="G2" s="2880"/>
      <c r="H2" s="2869"/>
      <c r="I2" s="2869"/>
      <c r="J2" s="2869"/>
      <c r="K2" s="2870"/>
      <c r="L2" s="2869"/>
      <c r="M2" s="2869"/>
    </row>
    <row r="3" spans="1:37" ht="18" customHeight="1" thickBot="1">
      <c r="A3" s="1524" t="s">
        <v>1237</v>
      </c>
      <c r="B3" s="1525">
        <f ca="1">IF(ISERROR(B2*10000/F43),0,ROUND(B2*10000/F43,0))</f>
        <v>63030</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28142</v>
      </c>
      <c r="D5" s="1498" t="s">
        <v>1122</v>
      </c>
      <c r="E5" s="1183"/>
      <c r="F5" s="1184"/>
      <c r="G5" s="1518"/>
      <c r="H5" s="305">
        <v>1</v>
      </c>
      <c r="I5" s="306" t="s">
        <v>1121</v>
      </c>
      <c r="J5" s="1182">
        <f ca="1">J6+J10+J12</f>
        <v>0</v>
      </c>
      <c r="K5" s="1498" t="s">
        <v>1122</v>
      </c>
      <c r="L5" s="1183"/>
      <c r="M5" s="1184"/>
    </row>
    <row r="6" spans="1:37" ht="18" customHeight="1">
      <c r="A6" s="1181" t="s">
        <v>822</v>
      </c>
      <c r="B6" s="3591" t="s">
        <v>1123</v>
      </c>
      <c r="C6" s="1186">
        <f ca="1">ROUND(F6*F8*F7*(1-F9)/10000,0)</f>
        <v>28107</v>
      </c>
      <c r="D6" s="160" t="s">
        <v>2605</v>
      </c>
      <c r="E6" s="308" t="s">
        <v>1125</v>
      </c>
      <c r="F6" s="309">
        <f ca="1">INDIRECT("'数据-取费表'!u"&amp;$G$1)</f>
        <v>11</v>
      </c>
      <c r="G6" s="1518"/>
      <c r="H6" s="1181" t="s">
        <v>822</v>
      </c>
      <c r="I6" s="3591" t="s">
        <v>1123</v>
      </c>
      <c r="J6" s="307">
        <f ca="1">ROUND(M6*M8*M7*(1-M9)/10000,0)</f>
        <v>0</v>
      </c>
      <c r="K6" s="160" t="s">
        <v>2604</v>
      </c>
      <c r="L6" s="308" t="s">
        <v>1125</v>
      </c>
      <c r="M6" s="309">
        <f ca="1">INDIRECT("'数据-取费表'!z"&amp;$G$1)</f>
        <v>0</v>
      </c>
    </row>
    <row r="7" spans="1:37" ht="18" customHeight="1">
      <c r="A7" s="1185"/>
      <c r="B7" s="3592"/>
      <c r="C7" s="1187"/>
      <c r="D7" s="313"/>
      <c r="E7" s="1188" t="s">
        <v>1126</v>
      </c>
      <c r="F7" s="309">
        <f ca="1">IF(INDIRECT("'数据-取费表'!ah"&amp;$G$1)="",INDIRECT("'数据-取费表'!k"&amp;$G$1),INDIRECT("'数据-取费表'!ah"&amp;$G$1))</f>
        <v>73689.229999999981</v>
      </c>
      <c r="G7" s="1518"/>
      <c r="H7" s="310"/>
      <c r="I7" s="3592"/>
      <c r="J7" s="312"/>
      <c r="K7" s="313"/>
      <c r="L7" s="308" t="s">
        <v>1126</v>
      </c>
      <c r="M7" s="309">
        <f ca="1">F7</f>
        <v>73689.229999999981</v>
      </c>
    </row>
    <row r="8" spans="1:37" ht="18" customHeight="1">
      <c r="A8" s="310"/>
      <c r="B8" s="3592"/>
      <c r="C8" s="312"/>
      <c r="D8" s="313"/>
      <c r="E8" s="308" t="s">
        <v>1127</v>
      </c>
      <c r="F8" s="309">
        <f ca="1">INDIRECT("'数据-取费表'!ai"&amp;$G$1)</f>
        <v>365</v>
      </c>
      <c r="G8" s="1518"/>
      <c r="H8" s="310"/>
      <c r="I8" s="3592"/>
      <c r="J8" s="312"/>
      <c r="K8" s="313"/>
      <c r="L8" s="308" t="s">
        <v>1127</v>
      </c>
      <c r="M8" s="309">
        <f ca="1">INDIRECT("'数据-取费表'!ai"&amp;$G$1)</f>
        <v>365</v>
      </c>
    </row>
    <row r="9" spans="1:37" ht="18" customHeight="1">
      <c r="A9" s="310"/>
      <c r="B9" s="3593"/>
      <c r="C9" s="312"/>
      <c r="D9" s="313"/>
      <c r="E9" s="308" t="s">
        <v>1128</v>
      </c>
      <c r="F9" s="318">
        <f ca="1">INDIRECT("'数据-取费表'!w"&amp;$G$1)</f>
        <v>0.05</v>
      </c>
      <c r="G9" s="1518"/>
      <c r="H9" s="310"/>
      <c r="I9" s="3593"/>
      <c r="J9" s="312"/>
      <c r="K9" s="313"/>
      <c r="L9" s="319" t="s">
        <v>1128</v>
      </c>
      <c r="M9" s="320">
        <f ca="1">INDIRECT("'数据-取费表'!ab"&amp;$G$1)</f>
        <v>0</v>
      </c>
    </row>
    <row r="10" spans="1:37" ht="18" customHeight="1">
      <c r="A10" s="1181" t="s">
        <v>826</v>
      </c>
      <c r="B10" s="1499" t="s">
        <v>1129</v>
      </c>
      <c r="C10" s="322">
        <f ca="1">ROUND(IF(F10="押一",C6/12*F11,IF(F10="押二",C6/12*2*F11,IF(F10="押三",C6/12*3*F11,C11*F11))),0)</f>
        <v>35</v>
      </c>
      <c r="D10" s="1500" t="s">
        <v>2613</v>
      </c>
      <c r="E10" s="319" t="s">
        <v>1130</v>
      </c>
      <c r="F10" s="1228" t="s">
        <v>3727</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63684</v>
      </c>
      <c r="D13" s="1193" t="s">
        <v>1135</v>
      </c>
      <c r="E13" s="1193"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40529</v>
      </c>
      <c r="D14" s="1479" t="s">
        <v>1138</v>
      </c>
      <c r="E14" s="1476"/>
      <c r="F14" s="325"/>
      <c r="G14" s="1518"/>
      <c r="H14" s="1093" t="s">
        <v>822</v>
      </c>
      <c r="I14" s="308" t="s">
        <v>1139</v>
      </c>
      <c r="J14" s="24">
        <f ca="1">C29</f>
        <v>64984</v>
      </c>
      <c r="K14" s="15"/>
      <c r="L14" s="896"/>
      <c r="M14" s="897"/>
    </row>
    <row r="15" spans="1:37" s="1531" customFormat="1" ht="18" customHeight="1" thickBot="1">
      <c r="A15" s="1093" t="s">
        <v>823</v>
      </c>
      <c r="B15" s="308" t="s">
        <v>1140</v>
      </c>
      <c r="C15" s="24">
        <f ca="1">ROUND(C14*F15,0)</f>
        <v>2026</v>
      </c>
      <c r="D15" s="326" t="s">
        <v>1141</v>
      </c>
      <c r="E15" s="326"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1206</v>
      </c>
      <c r="K16" s="1199" t="s">
        <v>1145</v>
      </c>
      <c r="L16" s="1200"/>
      <c r="M16" s="1184"/>
    </row>
    <row r="17" spans="1:37" s="1531" customFormat="1" ht="18" customHeight="1">
      <c r="A17" s="1093" t="s">
        <v>1110</v>
      </c>
      <c r="B17" s="308" t="s">
        <v>1146</v>
      </c>
      <c r="C17" s="24">
        <f ca="1">ROUND(F17*(F43+INDIRECT("'数据-取费表'!S"&amp;$G$1))/10000,0)</f>
        <v>1474</v>
      </c>
      <c r="D17" s="308" t="s">
        <v>1147</v>
      </c>
      <c r="E17" s="308" t="s">
        <v>1148</v>
      </c>
      <c r="F17" s="26">
        <f>'数据-取费表'!B35</f>
        <v>200</v>
      </c>
      <c r="G17" s="1530"/>
      <c r="H17" s="1093" t="s">
        <v>822</v>
      </c>
      <c r="I17" s="308" t="s">
        <v>1149</v>
      </c>
      <c r="J17" s="2483">
        <f ca="1">ROUND(IF(AND(项目基本情况!B11="自然人",项目基本情况!B10="北京市"),J6*M17/(1+'数据-取费表'!C42),J18+J19+J20),0)</f>
        <v>556</v>
      </c>
      <c r="K17" s="1479" t="s">
        <v>1150</v>
      </c>
      <c r="L17" s="1478"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608</v>
      </c>
      <c r="D18" s="308" t="s">
        <v>1141</v>
      </c>
      <c r="E18" s="308" t="s">
        <v>1142</v>
      </c>
      <c r="F18" s="328">
        <f>'数据-取费表'!B36</f>
        <v>1.4999999999999999E-2</v>
      </c>
      <c r="G18" s="1530"/>
      <c r="H18" s="1093" t="s">
        <v>821</v>
      </c>
      <c r="I18" s="308" t="s">
        <v>1153</v>
      </c>
      <c r="J18" s="24">
        <f ca="1">ROUND(J6*M18/(1+'数据-取费表'!C42),2)</f>
        <v>0</v>
      </c>
      <c r="K18" s="1478"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44637</v>
      </c>
      <c r="D19" s="136" t="s">
        <v>1156</v>
      </c>
      <c r="E19" s="1494"/>
      <c r="F19" s="26"/>
      <c r="G19" s="1518"/>
      <c r="H19" s="1093" t="s">
        <v>823</v>
      </c>
      <c r="I19" s="308" t="s">
        <v>1157</v>
      </c>
      <c r="J19" s="24">
        <f ca="1">IF(K19="按租金收入计税",ROUND(J6*M19/(1+'数据-取费表'!C42),2),ROUND(C29*M19*0.7,2))</f>
        <v>545.87</v>
      </c>
      <c r="K19" s="1504" t="s">
        <v>1158</v>
      </c>
      <c r="L19" s="308" t="s">
        <v>1142</v>
      </c>
      <c r="M19" s="328">
        <f>IF(K19="按租金收入计税",'数据-取费表'!B51,'数据-取费表'!B50)</f>
        <v>1.2E-2</v>
      </c>
    </row>
    <row r="20" spans="1:37" s="1531" customFormat="1" ht="18" customHeight="1">
      <c r="A20" s="1093" t="s">
        <v>826</v>
      </c>
      <c r="B20" s="308" t="s">
        <v>1159</v>
      </c>
      <c r="C20" s="24">
        <f ca="1">ROUND(C19*F20,0)</f>
        <v>893</v>
      </c>
      <c r="D20" s="329" t="s">
        <v>1160</v>
      </c>
      <c r="E20" s="308" t="s">
        <v>1142</v>
      </c>
      <c r="F20" s="328">
        <f>'数据-取费表'!B37</f>
        <v>0.02</v>
      </c>
      <c r="G20" s="1530"/>
      <c r="H20" s="1093" t="s">
        <v>1109</v>
      </c>
      <c r="I20" s="160" t="s">
        <v>1161</v>
      </c>
      <c r="J20" s="25">
        <f ca="1">ROUND(M20*M21/10000,2)</f>
        <v>10.18</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18</v>
      </c>
      <c r="D21" s="329" t="s">
        <v>1165</v>
      </c>
      <c r="E21" s="308" t="s">
        <v>1166</v>
      </c>
      <c r="F21" s="328">
        <f>'数据-取费表'!B38</f>
        <v>0.02</v>
      </c>
      <c r="G21" s="1530"/>
      <c r="H21" s="332"/>
      <c r="I21" s="317"/>
      <c r="J21" s="29"/>
      <c r="K21" s="333"/>
      <c r="L21" s="308" t="s">
        <v>1167</v>
      </c>
      <c r="M21" s="309">
        <f ca="1">INDIRECT("'数据-取费表'!r"&amp;$G$1)</f>
        <v>4242.1099999999997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1494"/>
      <c r="F22" s="26"/>
      <c r="G22" s="1518"/>
      <c r="H22" s="1093" t="s">
        <v>826</v>
      </c>
      <c r="I22" s="308" t="s">
        <v>1169</v>
      </c>
      <c r="J22" s="24">
        <f ca="1">ROUND(J14*M22,1)</f>
        <v>649.79999999999995</v>
      </c>
      <c r="K22" s="1478" t="s">
        <v>1170</v>
      </c>
      <c r="L22" s="308" t="s">
        <v>1142</v>
      </c>
      <c r="M22" s="334">
        <f ca="1">INDIRECT("'数据-取费表'!Ak"&amp;$G$1)</f>
        <v>0.01</v>
      </c>
    </row>
    <row r="23" spans="1:37" s="1531" customFormat="1" ht="18" customHeight="1">
      <c r="A23" s="1093" t="s">
        <v>821</v>
      </c>
      <c r="B23" s="308" t="s">
        <v>1171</v>
      </c>
      <c r="C23" s="24">
        <f ca="1">IF('数据-取费表'!B22&lt;=1,ROUND(C19*F24*F23/2,0)+ROUND(C20*F24*F23/2,0),ROUND(C19*(POWER((1+F24),F23/2)-1),0)+ROUND(C20*(POWER((1+F24),F23/2)-1),0))</f>
        <v>2898</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1478" t="s">
        <v>1174</v>
      </c>
      <c r="L23" s="308" t="s">
        <v>1175</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1176</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1113</v>
      </c>
      <c r="I24" s="1202" t="s">
        <v>1159</v>
      </c>
      <c r="J24" s="1203">
        <f ca="1">ROUND(J5*M24,1)</f>
        <v>0</v>
      </c>
      <c r="K24" s="1204" t="s">
        <v>1179</v>
      </c>
      <c r="L24" s="1202" t="s">
        <v>1175</v>
      </c>
      <c r="M24" s="1198">
        <f ca="1">INDIRECT("'数据-取费表'!Am"&amp;$G$1)</f>
        <v>2.5000000000000001E-2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1494"/>
      <c r="F25" s="26"/>
      <c r="G25" s="1518"/>
      <c r="H25" s="1191" t="s">
        <v>818</v>
      </c>
      <c r="I25" s="1206" t="s">
        <v>1183</v>
      </c>
      <c r="J25" s="316">
        <f ca="1">J5-J16</f>
        <v>-1206</v>
      </c>
      <c r="K25" s="1207" t="s">
        <v>1184</v>
      </c>
      <c r="L25" s="1208"/>
      <c r="M25" s="1209"/>
    </row>
    <row r="26" spans="1:37" ht="13">
      <c r="A26" s="1093" t="s">
        <v>821</v>
      </c>
      <c r="B26" s="308" t="s">
        <v>1185</v>
      </c>
      <c r="C26" s="24">
        <f ca="1">ROUND((C19+C20)*F26,0)</f>
        <v>11383</v>
      </c>
      <c r="D26" s="329" t="s">
        <v>1186</v>
      </c>
      <c r="E26" s="319" t="s">
        <v>1187</v>
      </c>
      <c r="F26" s="318">
        <f ca="1">INDIRECT("'数据-取费表'!q"&amp;$G$1)</f>
        <v>0.25</v>
      </c>
      <c r="G26" s="1518"/>
      <c r="H26" s="305" t="s">
        <v>819</v>
      </c>
      <c r="I26" s="306" t="s">
        <v>1188</v>
      </c>
      <c r="J26" s="307">
        <f ca="1">IF(J5&lt;&gt;0,ROUND(J25*(1-((1+M28)/(1+M26))^M27)/(M26-M28),0),0)</f>
        <v>0</v>
      </c>
      <c r="K26" s="330" t="s">
        <v>1189</v>
      </c>
      <c r="L26" s="308" t="s">
        <v>1190</v>
      </c>
      <c r="M26" s="318">
        <f ca="1">INDIRECT("'数据-取费表'!I"&amp;$G$1)</f>
        <v>5.7000000000000002E-2</v>
      </c>
    </row>
    <row r="27" spans="1:37" ht="18" customHeight="1">
      <c r="A27" s="1093" t="s">
        <v>823</v>
      </c>
      <c r="B27" s="308" t="s">
        <v>1191</v>
      </c>
      <c r="C27" s="24">
        <f ca="1">ROUND(F21*F26,4)</f>
        <v>5.0000000000000001E-3</v>
      </c>
      <c r="D27" s="329" t="s">
        <v>1192</v>
      </c>
      <c r="E27" s="326"/>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64984</v>
      </c>
      <c r="D29" s="1204"/>
      <c r="E29" s="1202"/>
      <c r="F29" s="1205"/>
      <c r="G29" s="1530"/>
      <c r="H29" s="340" t="s">
        <v>820</v>
      </c>
      <c r="I29" s="341" t="s">
        <v>1199</v>
      </c>
      <c r="J29" s="342">
        <f ca="1">ROUND(J26/(1+F40)^F41,0)</f>
        <v>0</v>
      </c>
      <c r="K29" s="343" t="s">
        <v>1200</v>
      </c>
      <c r="L29" s="344"/>
      <c r="M29" s="345">
        <f ca="1">INDIRECT("'数据-取费表'!k"&amp;$G$1)</f>
        <v>73689.229999999981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6138</v>
      </c>
      <c r="D30" s="1199" t="s">
        <v>1145</v>
      </c>
      <c r="E30" s="120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4721</v>
      </c>
      <c r="D31" s="1479" t="s">
        <v>1150</v>
      </c>
      <c r="E31" s="1478"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1499.04</v>
      </c>
      <c r="D32" s="1478"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3212.23</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10.18</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4242.1099999999997</v>
      </c>
      <c r="G35" s="1518"/>
      <c r="H35" s="2871"/>
      <c r="I35" s="1532"/>
      <c r="J35" s="1533"/>
      <c r="K35" s="2875"/>
      <c r="L35" s="2874"/>
      <c r="M35" s="2874"/>
    </row>
    <row r="36" spans="1:18" ht="18" customHeight="1">
      <c r="A36" s="1214" t="s">
        <v>826</v>
      </c>
      <c r="B36" s="308" t="s">
        <v>1169</v>
      </c>
      <c r="C36" s="24">
        <f ca="1">ROUND(C29*F36,1)</f>
        <v>649.79999999999995</v>
      </c>
      <c r="D36" s="1478" t="s">
        <v>1202</v>
      </c>
      <c r="E36" s="308" t="s">
        <v>1142</v>
      </c>
      <c r="F36" s="334">
        <f ca="1">INDIRECT("'数据-取费表'!Ak"&amp;$G$1)</f>
        <v>0.01</v>
      </c>
      <c r="G36" s="1518"/>
      <c r="H36" s="2874"/>
      <c r="I36" s="1532">
        <f ca="1">C36+C37+C38</f>
        <v>1417.1</v>
      </c>
      <c r="J36" s="1533"/>
      <c r="K36" s="2716"/>
      <c r="L36" s="2874"/>
      <c r="M36" s="2874"/>
    </row>
    <row r="37" spans="1:18" ht="18" customHeight="1">
      <c r="A37" s="1093" t="s">
        <v>862</v>
      </c>
      <c r="B37" s="308" t="s">
        <v>1173</v>
      </c>
      <c r="C37" s="24">
        <f ca="1">ROUND(C13*F37,1)</f>
        <v>63.7</v>
      </c>
      <c r="D37" s="1478" t="s">
        <v>1174</v>
      </c>
      <c r="E37" s="308" t="s">
        <v>1175</v>
      </c>
      <c r="F37" s="336">
        <f ca="1">INDIRECT("'数据-取费表'!Al"&amp;$G$1)</f>
        <v>1E-3</v>
      </c>
      <c r="G37" s="1518"/>
      <c r="H37" s="2874"/>
      <c r="I37" s="1532">
        <f ca="1">I36*10000/12/F43</f>
        <v>16.025634501360198</v>
      </c>
      <c r="J37" s="1533"/>
      <c r="K37" s="2716"/>
      <c r="L37" s="2874"/>
      <c r="M37" s="2874"/>
    </row>
    <row r="38" spans="1:18" ht="18" customHeight="1" thickBot="1">
      <c r="A38" s="1201" t="s">
        <v>1113</v>
      </c>
      <c r="B38" s="1202" t="s">
        <v>1159</v>
      </c>
      <c r="C38" s="1203">
        <f ca="1">ROUND(C5*F38,1)</f>
        <v>703.6</v>
      </c>
      <c r="D38" s="1204" t="s">
        <v>1179</v>
      </c>
      <c r="E38" s="1202" t="s">
        <v>1175</v>
      </c>
      <c r="F38" s="1198">
        <f ca="1">INDIRECT("'数据-取费表'!Am"&amp;$G$1)</f>
        <v>2.5000000000000001E-2</v>
      </c>
      <c r="G38" s="1518"/>
      <c r="H38" s="2874"/>
      <c r="I38" s="1532"/>
      <c r="J38" s="1533"/>
      <c r="K38" s="2878"/>
      <c r="L38" s="2874"/>
      <c r="M38" s="2874"/>
    </row>
    <row r="39" spans="1:18" ht="24.65" customHeight="1" thickTop="1">
      <c r="A39" s="1191" t="s">
        <v>818</v>
      </c>
      <c r="B39" s="1206" t="s">
        <v>1203</v>
      </c>
      <c r="C39" s="316">
        <f ca="1">C5-C30</f>
        <v>22004</v>
      </c>
      <c r="D39" s="1207" t="s">
        <v>1204</v>
      </c>
      <c r="E39" s="1208"/>
      <c r="F39" s="1209"/>
      <c r="G39" s="1518"/>
      <c r="H39" s="2874"/>
      <c r="I39" s="1532"/>
      <c r="J39" s="1533"/>
      <c r="K39" s="2878"/>
      <c r="L39" s="2874"/>
      <c r="M39" s="2874"/>
    </row>
    <row r="40" spans="1:18" ht="18" customHeight="1">
      <c r="A40" s="305" t="s">
        <v>819</v>
      </c>
      <c r="B40" s="306" t="s">
        <v>1205</v>
      </c>
      <c r="C40" s="307">
        <f ca="1">ROUND(C39*(1-((1+F42)/(1+F40))^F41)/(F40-F42),0)</f>
        <v>461834</v>
      </c>
      <c r="D40" s="330" t="s">
        <v>1189</v>
      </c>
      <c r="E40" s="308" t="s">
        <v>1190</v>
      </c>
      <c r="F40" s="318">
        <f ca="1">INDIRECT("'数据-取费表'!I"&amp;$G$1)</f>
        <v>5.7000000000000002E-2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32.32</v>
      </c>
      <c r="G41" s="1518"/>
      <c r="H41" s="1305"/>
      <c r="I41" s="1532"/>
      <c r="J41" s="1533"/>
      <c r="K41" s="2716"/>
      <c r="L41" s="1305"/>
      <c r="M41" s="1305"/>
    </row>
    <row r="42" spans="1:18" ht="18" customHeight="1">
      <c r="A42" s="314"/>
      <c r="B42" s="315"/>
      <c r="C42" s="316"/>
      <c r="D42" s="333"/>
      <c r="E42" s="308" t="s">
        <v>1197</v>
      </c>
      <c r="F42" s="318">
        <f ca="1">INDIRECT("'数据-取费表'!v"&amp;$G$1)</f>
        <v>0.03</v>
      </c>
      <c r="G42" s="1518"/>
      <c r="H42" s="1305"/>
      <c r="I42" s="1532"/>
      <c r="J42" s="1533"/>
      <c r="K42" s="2716"/>
      <c r="L42" s="1305"/>
      <c r="M42" s="1305"/>
    </row>
    <row r="43" spans="1:18" ht="18" customHeight="1" thickBot="1">
      <c r="A43" s="340" t="s">
        <v>820</v>
      </c>
      <c r="B43" s="341" t="s">
        <v>1207</v>
      </c>
      <c r="C43" s="342">
        <f ca="1">ROUND(C40*10000/F43,0)</f>
        <v>62673</v>
      </c>
      <c r="D43" s="343" t="s">
        <v>1208</v>
      </c>
      <c r="E43" s="344" t="s">
        <v>1209</v>
      </c>
      <c r="F43" s="345">
        <f ca="1">INDIRECT("'数据-取费表'!k"&amp;$G$1)</f>
        <v>73689.229999999981</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-552227</v>
      </c>
      <c r="D46" s="1540" t="str">
        <f>C2</f>
        <v>万元</v>
      </c>
      <c r="E46" s="1534"/>
      <c r="F46" s="1534"/>
      <c r="I46" s="1541" t="s">
        <v>1241</v>
      </c>
      <c r="J46" s="1542"/>
      <c r="K46" s="1543"/>
      <c r="L46" s="1544">
        <f ca="1">IF(M47="住宅",0,IF(L48&gt;J51,L60,J60))</f>
        <v>2630</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50</v>
      </c>
      <c r="M47" s="1514" t="str">
        <f>IF(ISNUMBER(FIND("住宅",C1)),"住宅","非住宅")</f>
        <v>非住宅</v>
      </c>
      <c r="O47" s="1552" t="s">
        <v>827</v>
      </c>
      <c r="P47" s="1553" t="s">
        <v>1248</v>
      </c>
      <c r="Q47" s="1554">
        <f ca="1">C40+J29</f>
        <v>461834</v>
      </c>
      <c r="R47" s="1554" t="s">
        <v>1249</v>
      </c>
    </row>
    <row r="48" spans="1:18" s="1518" customFormat="1" ht="43.5" thickBot="1">
      <c r="A48" s="1222" t="s">
        <v>863</v>
      </c>
      <c r="B48" s="306" t="s">
        <v>1121</v>
      </c>
      <c r="C48" s="1493">
        <f ca="1">C49+C53+C55</f>
        <v>0</v>
      </c>
      <c r="D48" s="1224"/>
      <c r="E48" s="1225"/>
      <c r="F48" s="1073"/>
      <c r="G48" s="731"/>
      <c r="H48" s="732"/>
      <c r="I48" s="1555" t="s">
        <v>1250</v>
      </c>
      <c r="J48" s="1556" t="s">
        <v>3730</v>
      </c>
      <c r="K48" s="1557" t="s">
        <v>1251</v>
      </c>
      <c r="L48" s="1558">
        <f ca="1">INDIRECT("'数据-取费表'!f"&amp;$G$1)</f>
        <v>32.32</v>
      </c>
      <c r="O48" s="1552" t="s">
        <v>828</v>
      </c>
      <c r="P48" s="1553" t="s">
        <v>1252</v>
      </c>
      <c r="Q48" s="1554">
        <f ca="1">J60</f>
        <v>2630</v>
      </c>
      <c r="R48" s="1554" t="s">
        <v>1253</v>
      </c>
    </row>
    <row r="49" spans="1:18" s="1518" customFormat="1" ht="13.5" thickBot="1">
      <c r="A49" s="1086" t="s">
        <v>864</v>
      </c>
      <c r="B49" s="1505" t="s">
        <v>1210</v>
      </c>
      <c r="C49" s="1226">
        <f ca="1">ROUND(F49*F51*F50*(1-F52)/10000,0)</f>
        <v>0</v>
      </c>
      <c r="D49" s="1166" t="s">
        <v>2606</v>
      </c>
      <c r="E49" s="1506" t="s">
        <v>1211</v>
      </c>
      <c r="F49" s="1171"/>
      <c r="G49" s="1559"/>
      <c r="H49" s="732"/>
      <c r="I49" s="1555" t="s">
        <v>1254</v>
      </c>
      <c r="J49" s="1560">
        <v>2021</v>
      </c>
      <c r="K49" s="1557" t="s">
        <v>1255</v>
      </c>
      <c r="L49" s="1561"/>
      <c r="O49" s="1562" t="s">
        <v>829</v>
      </c>
      <c r="P49" s="1553" t="s">
        <v>1256</v>
      </c>
      <c r="Q49" s="1554">
        <f ca="1">C29</f>
        <v>64984</v>
      </c>
      <c r="R49" s="1554" t="s">
        <v>1249</v>
      </c>
    </row>
    <row r="50" spans="1:18" s="1518" customFormat="1" ht="13.5" thickBot="1">
      <c r="A50" s="1087"/>
      <c r="B50" s="1090"/>
      <c r="C50" s="1230"/>
      <c r="D50" s="1064"/>
      <c r="E50" s="1167" t="s">
        <v>1126</v>
      </c>
      <c r="F50" s="1168">
        <f ca="1">F7</f>
        <v>73689.229999999981</v>
      </c>
      <c r="H50" s="732"/>
      <c r="I50" s="1555" t="s">
        <v>1257</v>
      </c>
      <c r="J50" s="1563">
        <f>SUMPRODUCT((I63:I65=J47)*(J62:L62=J48)*(J63:L65))</f>
        <v>60</v>
      </c>
      <c r="K50" s="1557" t="s">
        <v>1258</v>
      </c>
      <c r="L50" s="1561"/>
      <c r="M50" s="1564"/>
      <c r="O50" s="1562" t="s">
        <v>830</v>
      </c>
      <c r="P50" s="1553" t="s">
        <v>1259</v>
      </c>
      <c r="Q50" s="1565">
        <f ca="1">J58</f>
        <v>0.44500000000000001</v>
      </c>
      <c r="R50" s="1554"/>
    </row>
    <row r="51" spans="1:18" s="1518" customFormat="1" ht="13.5" thickBot="1">
      <c r="A51" s="1088"/>
      <c r="B51" s="1090"/>
      <c r="C51" s="1091"/>
      <c r="D51" s="1064"/>
      <c r="E51" s="1092" t="s">
        <v>1127</v>
      </c>
      <c r="F51" s="309">
        <f ca="1">F8</f>
        <v>365</v>
      </c>
      <c r="I51" s="1566" t="s">
        <v>1260</v>
      </c>
      <c r="J51" s="1567">
        <f>IF(J49="",J50,J49+J50-YEAR('数据-取费表'!B2))</f>
        <v>59</v>
      </c>
      <c r="K51" s="1568" t="s">
        <v>1261</v>
      </c>
      <c r="L51" s="1569">
        <f ca="1">ROUND(-PV(INDIRECT("'数据-取费表'!h"&amp;$G$1),J51,(C39-C13*C76),0),0)</f>
        <v>305471</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3318">
        <f>'数据-取费表'!I6+2%</f>
        <v>7.6999999999999999E-2</v>
      </c>
      <c r="K52" s="1571" t="s">
        <v>1264</v>
      </c>
      <c r="L52" s="1572"/>
      <c r="O52" s="1562" t="s">
        <v>832</v>
      </c>
      <c r="P52" s="1553" t="s">
        <v>1265</v>
      </c>
      <c r="Q52" s="1554">
        <f ca="1">J53</f>
        <v>32.32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32.32</v>
      </c>
      <c r="K53" s="3589" t="s">
        <v>1268</v>
      </c>
      <c r="L53" s="3590"/>
      <c r="O53" s="1552" t="s">
        <v>833</v>
      </c>
      <c r="P53" s="1553" t="s">
        <v>1269</v>
      </c>
      <c r="Q53" s="1554">
        <f ca="1">Q47+Q48</f>
        <v>464464</v>
      </c>
      <c r="R53" s="1554" t="s">
        <v>834</v>
      </c>
    </row>
    <row r="54" spans="1:18" s="1518" customFormat="1" ht="26.5" thickBot="1">
      <c r="A54" s="1267"/>
      <c r="B54" s="1501" t="s">
        <v>1108</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1508"/>
      <c r="F55" s="1574"/>
      <c r="I55" s="1577" t="s">
        <v>1271</v>
      </c>
      <c r="J55" s="1578">
        <f ca="1">ROUND(IF(J47="钢混",J57/J50,1-(1-2%)*(J50-J57)/J50),3)</f>
        <v>0.44500000000000001</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63684</v>
      </c>
      <c r="D56" s="1581"/>
      <c r="E56" s="1582"/>
      <c r="F56" s="1574"/>
      <c r="I56" s="1583" t="s">
        <v>1274</v>
      </c>
      <c r="J56" s="1584" t="s">
        <v>3746</v>
      </c>
      <c r="K56" s="1555" t="s">
        <v>1275</v>
      </c>
      <c r="L56" s="1558" t="str">
        <f ca="1">IF(L48&lt;J51,"——",L48-J53)</f>
        <v>——</v>
      </c>
      <c r="O56" s="1552" t="s">
        <v>827</v>
      </c>
      <c r="P56" s="1553" t="s">
        <v>1248</v>
      </c>
      <c r="Q56" s="1554">
        <f ca="1">C40+J29</f>
        <v>461834</v>
      </c>
      <c r="R56" s="1554" t="s">
        <v>1249</v>
      </c>
    </row>
    <row r="57" spans="1:18" s="1518" customFormat="1" ht="26.5" thickBot="1">
      <c r="A57" s="1585"/>
      <c r="B57" s="1061" t="s">
        <v>1198</v>
      </c>
      <c r="C57" s="244">
        <f ca="1">C29</f>
        <v>64984</v>
      </c>
      <c r="D57" s="1586"/>
      <c r="E57" s="1587"/>
      <c r="F57" s="1588"/>
      <c r="I57" s="1589" t="s">
        <v>1276</v>
      </c>
      <c r="J57" s="1590">
        <f ca="1">IF(OR(M47="住宅",J51&lt;L48,J56="是"),"——",J51-L48)</f>
        <v>26.68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6183</v>
      </c>
      <c r="D58" s="1071" t="s">
        <v>1145</v>
      </c>
      <c r="E58" s="1072"/>
      <c r="F58" s="1073"/>
      <c r="I58" s="1589" t="s">
        <v>1280</v>
      </c>
      <c r="J58" s="1591">
        <f ca="1">IF(J55&lt;0.4,0.4,J55)</f>
        <v>0.44500000000000001</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5469</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28918</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2630</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1213</v>
      </c>
      <c r="C61" s="24">
        <f ca="1">IF(项目基本情况!B11="自然人","——",IF(D61="按租金收入计税",ROUND(C49*F61/(1+'数据-取费表'!C42),2),IF(D61="按房产原值计税",ROUND(C57*F61*0.7,2),INDIRECT("'数据-取费表'!Aj"&amp;$G$1))))</f>
        <v>5458.66</v>
      </c>
      <c r="D61" s="1504" t="s">
        <v>1158</v>
      </c>
      <c r="E61" s="1061" t="s">
        <v>1214</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1216</v>
      </c>
      <c r="C62" s="25">
        <f ca="1">IF(项目基本情况!B11="自然人","——",ROUND(F62*F63/10000,2))</f>
        <v>10.18</v>
      </c>
      <c r="D62" s="1076" t="s">
        <v>1217</v>
      </c>
      <c r="E62" s="1061" t="s">
        <v>1218</v>
      </c>
      <c r="F62" s="331">
        <f t="shared" si="0"/>
        <v>24</v>
      </c>
      <c r="I62" s="1596" t="s">
        <v>1290</v>
      </c>
      <c r="J62" s="1597" t="s">
        <v>1291</v>
      </c>
      <c r="K62" s="1597" t="s">
        <v>1292</v>
      </c>
      <c r="L62" s="1597" t="s">
        <v>1293</v>
      </c>
      <c r="M62" s="1598" t="s">
        <v>1294</v>
      </c>
      <c r="O62" s="1552" t="s">
        <v>833</v>
      </c>
      <c r="P62" s="1553" t="s">
        <v>1295</v>
      </c>
      <c r="Q62" s="1554">
        <f ca="1">Q56+Q57</f>
        <v>461834</v>
      </c>
      <c r="R62" s="1554" t="s">
        <v>834</v>
      </c>
    </row>
    <row r="63" spans="1:18" s="1518" customFormat="1" ht="13.5" thickBot="1">
      <c r="A63" s="332"/>
      <c r="B63" s="1067"/>
      <c r="C63" s="29"/>
      <c r="D63" s="1077"/>
      <c r="E63" s="1061" t="s">
        <v>1219</v>
      </c>
      <c r="F63" s="309">
        <f t="shared" ca="1" si="0"/>
        <v>4242.1099999999997</v>
      </c>
      <c r="I63" s="1596" t="s">
        <v>1296</v>
      </c>
      <c r="J63" s="1597">
        <v>70</v>
      </c>
      <c r="K63" s="1597">
        <v>50</v>
      </c>
      <c r="L63" s="1597">
        <v>80</v>
      </c>
      <c r="M63" s="1599">
        <v>0.02</v>
      </c>
      <c r="O63" s="1537" t="s">
        <v>1297</v>
      </c>
      <c r="P63" s="1515"/>
      <c r="Q63" s="1515"/>
      <c r="R63" s="1515"/>
    </row>
    <row r="64" spans="1:18" s="1518" customFormat="1" ht="13.5" thickBot="1">
      <c r="A64" s="1093" t="s">
        <v>1220</v>
      </c>
      <c r="B64" s="1061" t="s">
        <v>1221</v>
      </c>
      <c r="C64" s="24">
        <f ca="1">ROUND(C57*F64,1)</f>
        <v>649.79999999999995</v>
      </c>
      <c r="D64" s="1075" t="s">
        <v>1222</v>
      </c>
      <c r="E64" s="1061" t="s">
        <v>1214</v>
      </c>
      <c r="F64" s="334">
        <f t="shared" ca="1" si="0"/>
        <v>0.01</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63.7</v>
      </c>
      <c r="D65" s="1075" t="s">
        <v>1174</v>
      </c>
      <c r="E65" s="1061" t="s">
        <v>1175</v>
      </c>
      <c r="F65" s="336">
        <f t="shared" ca="1" si="0"/>
        <v>1E-3</v>
      </c>
      <c r="I65" s="1596" t="s">
        <v>1299</v>
      </c>
      <c r="J65" s="1597">
        <v>40</v>
      </c>
      <c r="K65" s="1597">
        <v>30</v>
      </c>
      <c r="L65" s="1597">
        <v>50</v>
      </c>
      <c r="M65" s="1599">
        <v>0.02</v>
      </c>
      <c r="O65" s="1552" t="s">
        <v>827</v>
      </c>
      <c r="P65" s="1553" t="s">
        <v>1300</v>
      </c>
      <c r="Q65" s="1554">
        <f ca="1">C40+J29</f>
        <v>461834</v>
      </c>
      <c r="R65" s="1554" t="s">
        <v>1249</v>
      </c>
    </row>
    <row r="66" spans="1:18" s="1518" customFormat="1" ht="16" thickBot="1">
      <c r="A66" s="1093" t="s">
        <v>1224</v>
      </c>
      <c r="B66" s="1061" t="s">
        <v>1159</v>
      </c>
      <c r="C66" s="24">
        <f ca="1">ROUND(C48*F66,1)</f>
        <v>0</v>
      </c>
      <c r="D66" s="1075" t="s">
        <v>1225</v>
      </c>
      <c r="E66" s="1061" t="s">
        <v>1142</v>
      </c>
      <c r="F66" s="318">
        <f t="shared" ca="1" si="0"/>
        <v>2.5000000000000001E-2</v>
      </c>
      <c r="O66" s="1552" t="s">
        <v>828</v>
      </c>
      <c r="P66" s="1553" t="s">
        <v>1278</v>
      </c>
      <c r="Q66" s="1554">
        <f ca="1">L60</f>
        <v>0</v>
      </c>
      <c r="R66" s="1554" t="s">
        <v>1301</v>
      </c>
    </row>
    <row r="67" spans="1:18" s="1518" customFormat="1" ht="26.5" thickBot="1">
      <c r="A67" s="1068" t="s">
        <v>818</v>
      </c>
      <c r="B67" s="1078" t="s">
        <v>1183</v>
      </c>
      <c r="C67" s="322">
        <f ca="1">C48-C58</f>
        <v>-6183</v>
      </c>
      <c r="D67" s="1074" t="s">
        <v>1184</v>
      </c>
      <c r="E67" s="1079"/>
      <c r="F67" s="1080"/>
      <c r="O67" s="1562" t="s">
        <v>829</v>
      </c>
      <c r="P67" s="1553" t="s">
        <v>1282</v>
      </c>
      <c r="Q67" s="1600">
        <f ca="1">L51</f>
        <v>305471</v>
      </c>
      <c r="R67" s="1554" t="s">
        <v>1302</v>
      </c>
    </row>
    <row r="68" spans="1:18" s="1518" customFormat="1" ht="16" thickBot="1">
      <c r="A68" s="1058" t="s">
        <v>819</v>
      </c>
      <c r="B68" s="1059" t="s">
        <v>1205</v>
      </c>
      <c r="C68" s="307">
        <f ca="1">ROUND(C67*(1-((1+F70)/(1+F68))^F69)/(F68-F70),0)</f>
        <v>-90393</v>
      </c>
      <c r="D68" s="1076" t="s">
        <v>1189</v>
      </c>
      <c r="E68" s="1061" t="s">
        <v>1190</v>
      </c>
      <c r="F68" s="318">
        <f ca="1">F40</f>
        <v>5.7000000000000002E-2</v>
      </c>
      <c r="O68" s="1562" t="s">
        <v>830</v>
      </c>
      <c r="P68" s="1601" t="s">
        <v>1303</v>
      </c>
      <c r="Q68" s="1554">
        <f ca="1">ROUND(Q69-Q70*Q71,0)</f>
        <v>17546</v>
      </c>
      <c r="R68" s="1554" t="s">
        <v>838</v>
      </c>
    </row>
    <row r="69" spans="1:18" s="1518" customFormat="1" ht="13.5" thickBot="1">
      <c r="A69" s="1062"/>
      <c r="B69" s="1063"/>
      <c r="C69" s="312"/>
      <c r="D69" s="1081" t="s">
        <v>1193</v>
      </c>
      <c r="E69" s="1061" t="s">
        <v>1194</v>
      </c>
      <c r="F69" s="339">
        <f ca="1">F41</f>
        <v>32.32</v>
      </c>
      <c r="O69" s="1562" t="s">
        <v>835</v>
      </c>
      <c r="P69" s="1601" t="s">
        <v>1304</v>
      </c>
      <c r="Q69" s="1554">
        <f ca="1">C39</f>
        <v>22004</v>
      </c>
      <c r="R69" s="1554" t="s">
        <v>1249</v>
      </c>
    </row>
    <row r="70" spans="1:18" s="1518" customFormat="1" ht="13.5" thickBot="1">
      <c r="A70" s="1065"/>
      <c r="B70" s="1066"/>
      <c r="C70" s="316"/>
      <c r="D70" s="1077"/>
      <c r="E70" s="1061" t="s">
        <v>1197</v>
      </c>
      <c r="F70" s="1165"/>
      <c r="O70" s="1562" t="s">
        <v>836</v>
      </c>
      <c r="P70" s="1601" t="s">
        <v>1305</v>
      </c>
      <c r="Q70" s="1554">
        <f ca="1">C13</f>
        <v>63684</v>
      </c>
      <c r="R70" s="1554" t="s">
        <v>1249</v>
      </c>
    </row>
    <row r="71" spans="1:18" s="1518" customFormat="1" ht="13.5" thickBot="1">
      <c r="A71" s="1082" t="s">
        <v>820</v>
      </c>
      <c r="B71" s="1083" t="s">
        <v>1207</v>
      </c>
      <c r="C71" s="342">
        <f ca="1">ROUND(C68*10000/F71,0)</f>
        <v>-12267</v>
      </c>
      <c r="D71" s="1084" t="s">
        <v>1208</v>
      </c>
      <c r="E71" s="1085" t="s">
        <v>1209</v>
      </c>
      <c r="F71" s="345">
        <f ca="1">F43</f>
        <v>73689.229999999981</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4458</v>
      </c>
      <c r="D75" s="1518"/>
      <c r="E75" s="1518"/>
      <c r="F75" s="1518"/>
      <c r="K75" s="1536"/>
      <c r="L75" s="1518"/>
      <c r="O75" s="1552" t="s">
        <v>833</v>
      </c>
      <c r="P75" s="1553" t="s">
        <v>1269</v>
      </c>
      <c r="Q75" s="1554">
        <f ca="1">Q65+Q66</f>
        <v>461834</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0.79699999999999993</v>
      </c>
    </row>
    <row r="80" spans="1:18" ht="13">
      <c r="B80" s="346" t="s">
        <v>1231</v>
      </c>
      <c r="C80" s="280">
        <f ca="1">ROUND(C75/C39,3)</f>
        <v>0.20300000000000001</v>
      </c>
    </row>
    <row r="81" spans="2:3" ht="13.5">
      <c r="B81" s="276" t="s">
        <v>1232</v>
      </c>
      <c r="C81" s="244"/>
    </row>
    <row r="82" spans="2:3" ht="13">
      <c r="B82" s="279" t="s">
        <v>1233</v>
      </c>
      <c r="C82" s="281">
        <f ca="1">1-C83</f>
        <v>0.86199999999999999</v>
      </c>
    </row>
    <row r="83" spans="2:3" ht="13">
      <c r="B83" s="279" t="s">
        <v>1234</v>
      </c>
      <c r="C83" s="280">
        <f ca="1">ROUND(C13/C40,3)</f>
        <v>0.13800000000000001</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E951-9892-492D-84CA-9348A40EE162}">
  <sheetPr>
    <tabColor rgb="FF92D050"/>
  </sheetPr>
  <dimension ref="A1"/>
  <sheetViews>
    <sheetView topLeftCell="A76" workbookViewId="0">
      <selection activeCell="N11" sqref="N11"/>
    </sheetView>
  </sheetViews>
  <sheetFormatPr defaultRowHeight="14"/>
  <sheetData/>
  <phoneticPr fontId="14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2" customWidth="1"/>
    <col min="2" max="16384" width="9" style="1612"/>
  </cols>
  <sheetData>
    <row r="1" spans="1:1" ht="23">
      <c r="A1" s="1611" t="s">
        <v>1331</v>
      </c>
    </row>
    <row r="2" spans="1:1">
      <c r="A2" s="1613"/>
    </row>
    <row r="3" spans="1:1" ht="18">
      <c r="A3" s="1614" t="str">
        <f>项目基本情况!B5&amp;"："</f>
        <v>北京兆泰集团股份有限公司：</v>
      </c>
    </row>
    <row r="4" spans="1:1" ht="35">
      <c r="A4" s="1615" t="str">
        <f>"受贵公司委托，我公司对"&amp;项目基本情况!S1&amp;"进行了预评估。"</f>
        <v>受贵公司委托，我公司对北京市朝阳区朝阳门南大街10号房地产抵押价值进行了预评估。</v>
      </c>
    </row>
    <row r="5" spans="1:1" ht="18">
      <c r="A5" s="1616" t="s">
        <v>1332</v>
      </c>
    </row>
    <row r="6" spans="1:1" ht="17.5">
      <c r="A6" s="1617" t="s">
        <v>1333</v>
      </c>
    </row>
    <row r="7" spans="1:1" ht="52.5">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估价对象为北京市朝阳区朝阳门南大街10号房地产，为北京兆泰集团股份有限公司所有。根据《国有土地使用证》[]，估价对象（分摊）出让国有建设用地使用权面积为5676.41平方米，建筑面积为98604.22平方米。</v>
      </c>
    </row>
    <row r="8" spans="1:1" ht="53.5">
      <c r="A8" s="1618" t="s">
        <v>1334</v>
      </c>
    </row>
    <row r="9" spans="1:1" ht="17.5">
      <c r="A9" s="1617" t="s">
        <v>1335</v>
      </c>
    </row>
    <row r="10" spans="1:1" ht="70">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南大街10号房地产,属北京兆泰集团股份有限公司开发建设的，该项目尚在开发建设中。根据《国有土地使用证》[]，估价对象（分摊）出让国有建设用地使用权面积为5676.41平方米，规划建筑面积为98604.22平方米。</v>
      </c>
    </row>
    <row r="11" spans="1:1" ht="71">
      <c r="A11" s="1618" t="s">
        <v>1336</v>
      </c>
    </row>
    <row r="12" spans="1:1" ht="18">
      <c r="A12" s="1616" t="s">
        <v>1337</v>
      </c>
    </row>
    <row r="13" spans="1:1" ht="38.25" customHeight="1">
      <c r="A13" s="161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620" t="s">
        <v>1338</v>
      </c>
    </row>
    <row r="15" spans="1:1" ht="17.5">
      <c r="A15" s="1621" t="str">
        <f>TEXT(项目基本情况!D3,"yyyy年m月d日;;")&amp;IF(项目基本情况!D3=项目基本情况!B3,"（评估专业人员实地查勘之日）","")</f>
        <v>2022年5月10日（评估专业人员实地查勘之日）</v>
      </c>
    </row>
    <row r="16" spans="1:1" ht="18">
      <c r="A16" s="1620" t="s">
        <v>1339</v>
      </c>
    </row>
    <row r="17" spans="1:1" ht="70">
      <c r="A17" s="1615" t="s">
        <v>1340</v>
      </c>
    </row>
    <row r="18" spans="1:1" ht="70">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15" t="str">
        <f>IF(项目基本情况!B9="房地产市场价值","——",IF(项目基本情况!E9="——","",定义!C57))</f>
        <v/>
      </c>
    </row>
    <row r="23" spans="1:1" ht="18">
      <c r="A23" s="1620" t="s">
        <v>1329</v>
      </c>
    </row>
    <row r="24" spans="1:1" ht="17.5">
      <c r="A24" s="1622" t="str">
        <f>"本次评估采用的主估价方法为"&amp;结果表!K4&amp;"和"&amp;结果表!L4&amp;"。"</f>
        <v>本次评估采用的主估价方法为成本法和收益法。</v>
      </c>
    </row>
    <row r="25" spans="1:1" ht="17.5">
      <c r="A25" s="1622"/>
    </row>
    <row r="26" spans="1:1" ht="17.5">
      <c r="A26" s="1623" t="s">
        <v>1330</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AJ512"/>
  <sheetViews>
    <sheetView view="pageBreakPreview" topLeftCell="A103" zoomScaleNormal="100" zoomScaleSheetLayoutView="100" zoomScalePageLayoutView="80" workbookViewId="0">
      <selection activeCell="D33" sqref="D33"/>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1098</v>
      </c>
      <c r="D1" s="1882"/>
      <c r="E1" s="1882"/>
      <c r="F1" s="1884" t="s">
        <v>1704</v>
      </c>
      <c r="G1" s="1696"/>
      <c r="H1" s="1885" t="str">
        <f>IF(G1="现房","——","估价对象范围")</f>
        <v>估价对象范围</v>
      </c>
      <c r="I1" s="1886"/>
    </row>
    <row r="2" spans="1:12" ht="21.75" customHeight="1" thickBot="1">
      <c r="A2" s="3479" t="str">
        <f>项目基本情况!S2</f>
        <v>北京市朝阳区朝阳门南大街10号房地产</v>
      </c>
      <c r="B2" s="3480"/>
      <c r="C2" s="3480"/>
      <c r="D2" s="3480"/>
      <c r="E2" s="3480"/>
      <c r="F2" s="3480"/>
      <c r="G2" s="3480"/>
      <c r="H2" s="3480"/>
      <c r="I2" s="3481"/>
    </row>
    <row r="3" spans="1:12" ht="13">
      <c r="A3" s="3483" t="s">
        <v>1705</v>
      </c>
      <c r="B3" s="3484"/>
      <c r="C3" s="3484"/>
      <c r="D3" s="3484"/>
      <c r="E3" s="3484"/>
      <c r="F3" s="3484"/>
      <c r="G3" s="3484"/>
      <c r="H3" s="3484"/>
      <c r="I3" s="3484"/>
    </row>
    <row r="4" spans="1:12" ht="14">
      <c r="A4" s="1889" t="s">
        <v>1706</v>
      </c>
      <c r="B4" s="1890" t="s">
        <v>1707</v>
      </c>
      <c r="C4" s="1891" t="s">
        <v>3732</v>
      </c>
      <c r="D4" s="1891" t="s">
        <v>3751</v>
      </c>
      <c r="E4" s="3485" t="s">
        <v>1708</v>
      </c>
      <c r="F4" s="3486"/>
      <c r="G4" s="3486"/>
      <c r="H4" s="3486"/>
      <c r="I4" s="3487"/>
      <c r="K4" s="151" t="str">
        <f>IF(ISNUMBER(FIND("比较法",'结果表(商业)'!C4)),"比较法",IF(ISNUMBER(FIND("成本法",'结果表(商业)'!C4)),"成本法",IF(ISNUMBER(FIND("假设开发法",'结果表(商业)'!C4)),"假设开发法",IF(ISNUMBER(FIND("收益法",'结果表(商业)'!C4)),"收益法","基准地价系数修正法"))))</f>
        <v>收益法</v>
      </c>
      <c r="L4" s="151"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3">
      <c r="A5" s="3459" t="s">
        <v>1709</v>
      </c>
      <c r="B5" s="3446">
        <v>25</v>
      </c>
      <c r="C5" s="3462"/>
      <c r="D5" s="3482"/>
      <c r="E5" s="136" t="s">
        <v>1710</v>
      </c>
      <c r="F5" s="1892"/>
      <c r="G5" s="1892"/>
      <c r="H5" s="1892"/>
      <c r="I5" s="1507"/>
    </row>
    <row r="6" spans="1:12" ht="13">
      <c r="A6" s="3459"/>
      <c r="B6" s="3446"/>
      <c r="C6" s="3463"/>
      <c r="D6" s="3482"/>
      <c r="E6" s="136" t="s">
        <v>1711</v>
      </c>
      <c r="F6" s="1892"/>
      <c r="G6" s="1892"/>
      <c r="H6" s="1892"/>
      <c r="I6" s="1507"/>
    </row>
    <row r="7" spans="1:12" ht="13">
      <c r="A7" s="3459"/>
      <c r="B7" s="3446"/>
      <c r="C7" s="3464"/>
      <c r="D7" s="3482"/>
      <c r="E7" s="136" t="s">
        <v>1712</v>
      </c>
      <c r="F7" s="1892"/>
      <c r="G7" s="1892"/>
      <c r="H7" s="1892"/>
      <c r="I7" s="1507"/>
    </row>
    <row r="8" spans="1:12" ht="13">
      <c r="A8" s="3459" t="s">
        <v>1713</v>
      </c>
      <c r="B8" s="3446">
        <v>15</v>
      </c>
      <c r="C8" s="3462"/>
      <c r="D8" s="3482"/>
      <c r="E8" s="136" t="s">
        <v>1714</v>
      </c>
      <c r="F8" s="1892"/>
      <c r="G8" s="1892"/>
      <c r="H8" s="1892"/>
      <c r="I8" s="1507"/>
    </row>
    <row r="9" spans="1:12" ht="13">
      <c r="A9" s="3459"/>
      <c r="B9" s="3446"/>
      <c r="C9" s="3464"/>
      <c r="D9" s="3482"/>
      <c r="E9" s="136" t="s">
        <v>1715</v>
      </c>
      <c r="F9" s="1892"/>
      <c r="G9" s="1892"/>
      <c r="H9" s="1892"/>
      <c r="I9" s="1507"/>
    </row>
    <row r="10" spans="1:12" ht="13">
      <c r="A10" s="3459" t="s">
        <v>1716</v>
      </c>
      <c r="B10" s="3446">
        <v>15</v>
      </c>
      <c r="C10" s="3462"/>
      <c r="D10" s="3482"/>
      <c r="E10" s="136" t="s">
        <v>1717</v>
      </c>
      <c r="F10" s="1892"/>
      <c r="G10" s="1892"/>
      <c r="H10" s="1892"/>
      <c r="I10" s="1507"/>
    </row>
    <row r="11" spans="1:12" ht="13">
      <c r="A11" s="3459"/>
      <c r="B11" s="3446"/>
      <c r="C11" s="3464"/>
      <c r="D11" s="3482"/>
      <c r="E11" s="136" t="s">
        <v>1718</v>
      </c>
      <c r="F11" s="1892"/>
      <c r="G11" s="1892"/>
      <c r="H11" s="1892"/>
      <c r="I11" s="1507"/>
    </row>
    <row r="12" spans="1:12" ht="13">
      <c r="A12" s="3459" t="s">
        <v>1719</v>
      </c>
      <c r="B12" s="3446">
        <v>15</v>
      </c>
      <c r="C12" s="3462"/>
      <c r="D12" s="3482"/>
      <c r="E12" s="136" t="s">
        <v>1720</v>
      </c>
      <c r="F12" s="1892"/>
      <c r="G12" s="1892"/>
      <c r="H12" s="1892"/>
      <c r="I12" s="1507"/>
    </row>
    <row r="13" spans="1:12" ht="13">
      <c r="A13" s="3459"/>
      <c r="B13" s="3446"/>
      <c r="C13" s="3464"/>
      <c r="D13" s="3482"/>
      <c r="E13" s="136" t="s">
        <v>1721</v>
      </c>
      <c r="F13" s="1892"/>
      <c r="G13" s="1892"/>
      <c r="H13" s="1892"/>
      <c r="I13" s="1507"/>
    </row>
    <row r="14" spans="1:12" ht="13">
      <c r="A14" s="3459" t="s">
        <v>1722</v>
      </c>
      <c r="B14" s="3446">
        <v>30</v>
      </c>
      <c r="C14" s="3462">
        <v>6</v>
      </c>
      <c r="D14" s="3482">
        <v>4</v>
      </c>
      <c r="E14" s="136" t="s">
        <v>1723</v>
      </c>
      <c r="F14" s="1892"/>
      <c r="G14" s="1892"/>
      <c r="H14" s="1892"/>
      <c r="I14" s="1507"/>
    </row>
    <row r="15" spans="1:12" ht="13">
      <c r="A15" s="3459"/>
      <c r="B15" s="3446"/>
      <c r="C15" s="3463"/>
      <c r="D15" s="3482"/>
      <c r="E15" s="136" t="s">
        <v>1724</v>
      </c>
      <c r="F15" s="1892"/>
      <c r="G15" s="1892"/>
      <c r="H15" s="1892"/>
      <c r="I15" s="1507"/>
    </row>
    <row r="16" spans="1:12" ht="13">
      <c r="A16" s="3459"/>
      <c r="B16" s="3446"/>
      <c r="C16" s="3464"/>
      <c r="D16" s="3482"/>
      <c r="E16" s="136" t="s">
        <v>1725</v>
      </c>
      <c r="F16" s="1892"/>
      <c r="G16" s="1892"/>
      <c r="H16" s="1892"/>
      <c r="I16" s="1507"/>
    </row>
    <row r="17" spans="1:36" ht="14">
      <c r="A17" s="1893" t="s">
        <v>1726</v>
      </c>
      <c r="B17" s="60"/>
      <c r="C17" s="137">
        <f>SUM(C5:C16)</f>
        <v>6</v>
      </c>
      <c r="D17" s="137">
        <f>SUM(D5:D16)</f>
        <v>4</v>
      </c>
      <c r="E17" s="134"/>
      <c r="F17" s="134"/>
      <c r="G17" s="134"/>
      <c r="H17" s="134"/>
      <c r="I17" s="134"/>
      <c r="K17" s="308"/>
      <c r="L17" s="308" t="s">
        <v>1727</v>
      </c>
      <c r="M17" s="308" t="s">
        <v>1728</v>
      </c>
    </row>
    <row r="18" spans="1:36" ht="32.15" customHeight="1" thickBot="1">
      <c r="A18" s="1894" t="s">
        <v>1729</v>
      </c>
      <c r="B18" s="1895"/>
      <c r="C18" s="138">
        <f>ROUND(C17/SUM(C17:D17),2)</f>
        <v>0.6</v>
      </c>
      <c r="D18" s="138">
        <f>1-C18</f>
        <v>0.4</v>
      </c>
      <c r="E18" s="3469" t="s">
        <v>2628</v>
      </c>
      <c r="F18" s="3470"/>
      <c r="G18" s="3470"/>
      <c r="H18" s="3470"/>
      <c r="I18" s="3470"/>
      <c r="K18" s="308" t="s">
        <v>1730</v>
      </c>
      <c r="L18" s="308">
        <f>IF(C1="",'数据-汇总表'!E3,SUMIF(项目类型,C1,'数据-汇总表'!E17:E26)+SUMIF(项目类型,C1,'数据-汇总表'!I17:I26))</f>
        <v>3431.64</v>
      </c>
      <c r="M18" s="308">
        <f>IF(C1="",'数据-汇总表'!E3,SUMIF(项目类型,C1,'数据-汇总表'!E17:E26))</f>
        <v>3431.64</v>
      </c>
    </row>
    <row r="19" spans="1:36" ht="14">
      <c r="A19" s="1896" t="s">
        <v>1731</v>
      </c>
      <c r="B19" s="1897" t="s">
        <v>1732</v>
      </c>
      <c r="C19" s="139">
        <f ca="1">SUMIF(INDIRECT("'"&amp;C4&amp;"'"&amp;"!A:A"),'结果表(商业)'!B19,INDIRECT("'"&amp;C4&amp;"'"&amp;"!B:B"))</f>
        <v>9956</v>
      </c>
      <c r="D19" s="140">
        <f ca="1">SUMIF(INDIRECT("'"&amp;D4&amp;"'"&amp;"!A:A"),'结果表(商业)'!B19,INDIRECT("'"&amp;D4&amp;"'"&amp;"!B:B"))</f>
        <v>14978</v>
      </c>
      <c r="E19" s="1896" t="s">
        <v>1733</v>
      </c>
      <c r="F19" s="1897" t="s">
        <v>1732</v>
      </c>
      <c r="G19" s="141">
        <f ca="1">ROUND(C19*$C$18+D19*$D$18,0)</f>
        <v>11965</v>
      </c>
      <c r="H19" s="1898" t="s">
        <v>1734</v>
      </c>
      <c r="I19" s="134"/>
      <c r="K19" s="308" t="s">
        <v>1735</v>
      </c>
      <c r="L19" s="308">
        <f>IF(C1="",'数据-汇总表'!D3,SUMIF(项目类型,C1,'数据-汇总表'!D17:D26)+SUMIF(项目类型,C1,'数据-汇总表'!H17:H27))</f>
        <v>197.55</v>
      </c>
      <c r="M19" s="308">
        <f>IF(C1="",'数据-汇总表'!D3,SUMIF(项目类型,C1,'数据-汇总表'!D17:D26))</f>
        <v>197.55</v>
      </c>
    </row>
    <row r="20" spans="1:36" ht="14">
      <c r="A20" s="1899"/>
      <c r="B20" s="1137" t="s">
        <v>1736</v>
      </c>
      <c r="C20" s="142">
        <f ca="1">SUMIF(INDIRECT("'"&amp;C4&amp;"'"&amp;"!A:A"),'结果表(商业)'!B20,INDIRECT("'"&amp;C4&amp;"'"&amp;"!B:B"))</f>
        <v>29012</v>
      </c>
      <c r="D20" s="143">
        <f ca="1">SUMIF(INDIRECT("'"&amp;D4&amp;"'"&amp;"!A:A"),'结果表(商业)'!B20,INDIRECT("'"&amp;D4&amp;"'"&amp;"!B:B"))</f>
        <v>43647</v>
      </c>
      <c r="E20" s="1899"/>
      <c r="F20" s="1137" t="s">
        <v>1736</v>
      </c>
      <c r="G20" s="144">
        <f ca="1">ROUND(C20*$C$18+D20*$D$18,0)</f>
        <v>34866</v>
      </c>
      <c r="H20" s="897" t="s">
        <v>1737</v>
      </c>
      <c r="I20" s="134"/>
    </row>
    <row r="21" spans="1:36" ht="15" customHeight="1" thickBot="1">
      <c r="A21" s="917"/>
      <c r="B21" s="1900" t="s">
        <v>1738</v>
      </c>
      <c r="C21" s="728">
        <f ca="1">ROUND(C19*10000/L19,0)</f>
        <v>503974</v>
      </c>
      <c r="D21" s="729">
        <f ca="1">ROUND(D19*10000/L19,0)</f>
        <v>758188</v>
      </c>
      <c r="E21" s="917"/>
      <c r="F21" s="1900" t="s">
        <v>1738</v>
      </c>
      <c r="G21" s="145">
        <f ca="1">ROUND(G19*10000/L19,0)</f>
        <v>605669</v>
      </c>
      <c r="H21" s="1901" t="s">
        <v>1737</v>
      </c>
      <c r="I21" s="134"/>
    </row>
    <row r="22" spans="1:36" ht="14.5" thickBot="1">
      <c r="A22" s="1823" t="s">
        <v>1739</v>
      </c>
      <c r="B22" s="1902"/>
      <c r="C22" s="1903"/>
      <c r="D22" s="730">
        <f ca="1">IF(C19&lt;D19,D19/C19-1,C19/D19-1)</f>
        <v>0.50441944556046603</v>
      </c>
      <c r="E22" s="134"/>
      <c r="F22" s="134"/>
      <c r="G22" s="134"/>
      <c r="H22" s="134"/>
      <c r="I22" s="134"/>
    </row>
    <row r="23" spans="1:36" ht="13" thickBot="1">
      <c r="A23" s="1882"/>
      <c r="B23" s="1882"/>
      <c r="C23" s="1882"/>
      <c r="D23" s="1882"/>
      <c r="E23" s="134"/>
      <c r="F23" s="134"/>
      <c r="G23" s="134"/>
      <c r="H23" s="134"/>
      <c r="I23" s="134"/>
    </row>
    <row r="24" spans="1:36" ht="14">
      <c r="A24" s="3453" t="s">
        <v>1740</v>
      </c>
      <c r="B24" s="1897" t="s">
        <v>1732</v>
      </c>
      <c r="C24" s="141">
        <f>IF(B30=0,0,D30)</f>
        <v>0</v>
      </c>
      <c r="D24" s="1904"/>
      <c r="E24" s="134"/>
      <c r="F24" s="134"/>
      <c r="G24" s="134"/>
      <c r="H24" s="134"/>
      <c r="I24" s="134"/>
    </row>
    <row r="25" spans="1:36" ht="14">
      <c r="A25" s="3454"/>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11965</v>
      </c>
      <c r="D32" s="1910" t="s">
        <v>3744</v>
      </c>
      <c r="E32" s="134"/>
      <c r="F32" s="134"/>
      <c r="G32" s="134"/>
      <c r="H32" s="134"/>
      <c r="I32" s="134"/>
    </row>
    <row r="33" spans="1:15" ht="14">
      <c r="A33" s="874" t="s">
        <v>1747</v>
      </c>
      <c r="B33" s="1911"/>
      <c r="C33" s="1912" t="s">
        <v>3745</v>
      </c>
      <c r="D33" s="1913" t="s">
        <v>3751</v>
      </c>
      <c r="E33" s="1914" t="s">
        <v>1748</v>
      </c>
      <c r="F33" s="1915" t="str">
        <f>IF(D32="楼面单价","取值（单价）","取值（总价）")</f>
        <v>取值（总价）</v>
      </c>
      <c r="G33" s="134"/>
      <c r="H33" s="134"/>
      <c r="I33" s="134"/>
    </row>
    <row r="34" spans="1:15" ht="14">
      <c r="A34" s="1916"/>
      <c r="B34" s="1917" t="s">
        <v>1749</v>
      </c>
      <c r="C34" s="153">
        <f ca="1">IF(C33="自定义",F34,C32-C35)</f>
        <v>9596</v>
      </c>
      <c r="D34" s="950">
        <f ca="1">IF(C33="自定义",ROUND(C34/C32,3),IF(C33="收益比率",SUMIF(INDIRECT("'"&amp;D33&amp;"'"&amp;"!b:b"),"土地收益比率",INDIRECT("'"&amp;D33&amp;"'"&amp;"!c:c")),SUMIF(INDIRECT("'"&amp;D33&amp;"'"&amp;"!b:b"),"土地成本比率",INDIRECT("'"&amp;D33&amp;"'"&amp;"!c:c"))))</f>
        <v>0.80200000000000005</v>
      </c>
      <c r="E34" s="1918" t="s">
        <v>1750</v>
      </c>
      <c r="F34" s="1450"/>
      <c r="G34" s="134"/>
      <c r="H34" s="134"/>
      <c r="I34" s="134"/>
    </row>
    <row r="35" spans="1:15" ht="14.5" thickBot="1">
      <c r="A35" s="1919"/>
      <c r="B35" s="1920" t="s">
        <v>1751</v>
      </c>
      <c r="C35" s="1284">
        <f ca="1">IF(C33="自定义",F35,ROUND(C32*D35,0))</f>
        <v>2369</v>
      </c>
      <c r="D35" s="1285">
        <f ca="1">IF(C33="自定义",ROUND(C35/C32,3),IF(C33="收益比率",SUMIF(INDIRECT("'"&amp;D33&amp;"'"&amp;"!b:b"),"建筑物收益比率",INDIRECT("'"&amp;D33&amp;"'"&amp;"!c:c")),SUMIF(INDIRECT("'"&amp;D33&amp;"'"&amp;"!b:b"),"建筑物成本比率",INDIRECT("'"&amp;D33&amp;"'"&amp;"!c:c"))))</f>
        <v>0.19800000000000001</v>
      </c>
      <c r="E35" s="1921" t="s">
        <v>1752</v>
      </c>
      <c r="F35" s="159"/>
      <c r="G35" s="134"/>
      <c r="H35" s="134"/>
      <c r="I35" s="134"/>
    </row>
    <row r="36" spans="1:15" ht="14.5" thickBot="1">
      <c r="A36" s="3473" t="s">
        <v>1753</v>
      </c>
      <c r="B36" s="1922" t="s">
        <v>1754</v>
      </c>
      <c r="C36" s="150"/>
      <c r="D36" s="1923"/>
      <c r="E36" s="1924"/>
      <c r="F36" s="1925"/>
      <c r="G36" s="134"/>
      <c r="H36" s="134"/>
      <c r="I36" s="134"/>
    </row>
    <row r="37" spans="1:15" ht="14.5" thickBot="1">
      <c r="A37" s="3474"/>
      <c r="B37" s="1809" t="s">
        <v>1755</v>
      </c>
      <c r="C37" s="152"/>
      <c r="D37" s="1253"/>
      <c r="E37" s="1253"/>
      <c r="F37" s="1925"/>
      <c r="G37" s="134"/>
      <c r="H37" s="134"/>
      <c r="I37" s="134"/>
    </row>
    <row r="38" spans="1:15" ht="14.5" thickBot="1">
      <c r="A38" s="3475"/>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0" t="s">
        <v>1767</v>
      </c>
      <c r="B45" s="3451"/>
      <c r="C45" s="3452"/>
      <c r="D45" s="160">
        <f ca="1">ROUND(H101*F45,0)</f>
        <v>11965</v>
      </c>
      <c r="E45" s="161" t="s">
        <v>1768</v>
      </c>
      <c r="F45" s="162">
        <v>1</v>
      </c>
      <c r="G45" s="163" t="s">
        <v>1769</v>
      </c>
      <c r="H45" s="134"/>
      <c r="I45" s="134"/>
      <c r="J45" s="3526" t="s">
        <v>1770</v>
      </c>
      <c r="K45" s="3526"/>
      <c r="L45" s="3526"/>
      <c r="M45" s="3526"/>
      <c r="N45" s="3526"/>
      <c r="O45" s="3526"/>
    </row>
    <row r="46" spans="1:15" ht="14.25" customHeight="1">
      <c r="A46" s="3447" t="s">
        <v>1771</v>
      </c>
      <c r="B46" s="3448"/>
      <c r="C46" s="3448"/>
      <c r="D46" s="3448"/>
      <c r="E46" s="3448"/>
      <c r="F46" s="3448"/>
      <c r="G46" s="3449"/>
      <c r="H46" s="1941"/>
      <c r="I46" s="164"/>
      <c r="J46" s="3314">
        <v>1</v>
      </c>
      <c r="K46" s="3507" t="s">
        <v>1772</v>
      </c>
      <c r="L46" s="3507"/>
      <c r="M46" s="3527"/>
      <c r="N46" s="3527"/>
      <c r="O46" s="3527"/>
    </row>
    <row r="47" spans="1:15" ht="12" customHeight="1">
      <c r="A47" s="165" t="s">
        <v>1773</v>
      </c>
      <c r="B47" s="166"/>
      <c r="C47" s="167"/>
      <c r="D47" s="1199" t="s">
        <v>1774</v>
      </c>
      <c r="E47" s="308" t="s">
        <v>1775</v>
      </c>
      <c r="F47" s="168" t="s">
        <v>1776</v>
      </c>
      <c r="G47" s="2718" t="s">
        <v>1777</v>
      </c>
      <c r="H47" s="2719"/>
      <c r="I47" s="164"/>
      <c r="J47" s="3314">
        <v>2</v>
      </c>
      <c r="K47" s="3507" t="s">
        <v>1778</v>
      </c>
      <c r="L47" s="3507"/>
      <c r="M47" s="3528">
        <f>'数据-取费表'!B2</f>
        <v>44691</v>
      </c>
      <c r="N47" s="3528"/>
      <c r="O47" s="3528"/>
    </row>
    <row r="48" spans="1:15" ht="26">
      <c r="A48" s="3478" t="s">
        <v>1779</v>
      </c>
      <c r="B48" s="3461"/>
      <c r="C48" s="3461"/>
      <c r="D48" s="3316" t="b">
        <f>IF(H48="情况1",0,IF(H48="情况2",D52,IF(H48="情况3",D53,IF(H48="情况4",D54))))</f>
        <v>0</v>
      </c>
      <c r="E48" s="3307" t="str">
        <f>IF(H48="情况4","(销售额-原购置价)×税（费）率","销售额×税（费）率")</f>
        <v>销售额×税（费）率</v>
      </c>
      <c r="F48" s="2720">
        <f>IF(H48="情况1","免征",'数据-取费表'!B41)</f>
        <v>5.6000000000000001E-2</v>
      </c>
      <c r="G48" s="2721" t="s">
        <v>1780</v>
      </c>
      <c r="H48" s="2722"/>
      <c r="I48" s="1941"/>
      <c r="J48" s="3314">
        <v>3</v>
      </c>
      <c r="K48" s="3507" t="s">
        <v>1781</v>
      </c>
      <c r="L48" s="3507"/>
      <c r="M48" s="3529">
        <f ca="1">H101</f>
        <v>11965</v>
      </c>
      <c r="N48" s="3529"/>
      <c r="O48" s="3529"/>
    </row>
    <row r="49" spans="1:35" ht="25.5" customHeight="1">
      <c r="A49" s="3311" t="s">
        <v>1782</v>
      </c>
      <c r="B49" s="3445" t="s">
        <v>1783</v>
      </c>
      <c r="C49" s="3445"/>
      <c r="D49" s="1725">
        <v>0</v>
      </c>
      <c r="E49" s="330" t="s">
        <v>1784</v>
      </c>
      <c r="F49" s="3301" t="s">
        <v>34</v>
      </c>
      <c r="G49" s="3513"/>
      <c r="H49" s="2477" t="s">
        <v>2631</v>
      </c>
      <c r="I49" s="2478"/>
      <c r="J49" s="3314">
        <v>4</v>
      </c>
      <c r="K49" s="3507" t="str">
        <f>IF(项目基本情况!E8="房地产抵押价值","房地产抵押价值","抵押担保权已注销时的房地产抵押价值")</f>
        <v>房地产抵押价值</v>
      </c>
      <c r="L49" s="3507"/>
      <c r="M49" s="3529">
        <f ca="1">IF(项目基本情况!E8="房地产抵押价值",H107,H109)</f>
        <v>11965</v>
      </c>
      <c r="N49" s="3529"/>
      <c r="O49" s="3529"/>
    </row>
    <row r="50" spans="1:35" ht="25.5" customHeight="1">
      <c r="A50" s="2723"/>
      <c r="B50" s="3445" t="s">
        <v>1785</v>
      </c>
      <c r="C50" s="3445"/>
      <c r="D50" s="2724"/>
      <c r="E50" s="338"/>
      <c r="F50" s="3301"/>
      <c r="G50" s="3514"/>
      <c r="H50" s="2479" t="s">
        <v>2632</v>
      </c>
      <c r="I50" s="2478"/>
      <c r="J50" s="3526" t="s">
        <v>1786</v>
      </c>
      <c r="K50" s="3526"/>
      <c r="L50" s="3526"/>
      <c r="M50" s="3526"/>
      <c r="N50" s="3526"/>
      <c r="O50" s="3526"/>
    </row>
    <row r="51" spans="1:35" ht="20.5" customHeight="1">
      <c r="A51" s="2725"/>
      <c r="B51" s="3445" t="s">
        <v>1787</v>
      </c>
      <c r="C51" s="3445"/>
      <c r="D51" s="1199"/>
      <c r="E51" s="333"/>
      <c r="F51" s="3301"/>
      <c r="G51" s="3515"/>
      <c r="H51" s="2479" t="s">
        <v>2633</v>
      </c>
      <c r="I51" s="2478"/>
      <c r="J51" s="3313" t="s">
        <v>1788</v>
      </c>
      <c r="K51" s="3507" t="s">
        <v>1789</v>
      </c>
      <c r="L51" s="3507"/>
      <c r="M51" s="3313" t="s">
        <v>1790</v>
      </c>
      <c r="N51" s="3313" t="s">
        <v>1791</v>
      </c>
      <c r="O51" s="3313" t="s">
        <v>1792</v>
      </c>
    </row>
    <row r="52" spans="1:35" ht="24" customHeight="1">
      <c r="A52" s="3306" t="s">
        <v>1793</v>
      </c>
      <c r="B52" s="3445" t="s">
        <v>1794</v>
      </c>
      <c r="C52" s="3445"/>
      <c r="D52" s="1199">
        <f ca="1">ROUND(D45*'数据-取费表'!B41/(1+'数据-取费表'!C42),0)</f>
        <v>638</v>
      </c>
      <c r="E52" s="3307" t="s">
        <v>1795</v>
      </c>
      <c r="F52" s="2726">
        <f>'数据-取费表'!B41</f>
        <v>5.6000000000000001E-2</v>
      </c>
      <c r="G52" s="2727"/>
      <c r="H52" s="2716"/>
      <c r="I52" s="1942"/>
      <c r="J52" s="3314">
        <v>1</v>
      </c>
      <c r="K52" s="3508" t="s">
        <v>1796</v>
      </c>
      <c r="L52" s="3508"/>
      <c r="M52" s="2697" t="b">
        <f>D48</f>
        <v>0</v>
      </c>
      <c r="N52" s="3314" t="str">
        <f>E48</f>
        <v>销售额×税（费）率</v>
      </c>
      <c r="O52" s="2698">
        <f>F48</f>
        <v>5.6000000000000001E-2</v>
      </c>
    </row>
    <row r="53" spans="1:35" ht="12" customHeight="1">
      <c r="A53" s="3306" t="s">
        <v>1797</v>
      </c>
      <c r="B53" s="3471" t="s">
        <v>2788</v>
      </c>
      <c r="C53" s="3472"/>
      <c r="D53" s="1199">
        <f ca="1">ROUND(D45*'数据-取费表'!B41/(1+'数据-取费表'!C42),0)</f>
        <v>638</v>
      </c>
      <c r="E53" s="3307" t="s">
        <v>1795</v>
      </c>
      <c r="F53" s="2726">
        <f>'数据-取费表'!B41</f>
        <v>5.6000000000000001E-2</v>
      </c>
      <c r="G53" s="2727"/>
      <c r="H53" s="2716"/>
      <c r="I53" s="1942"/>
      <c r="J53" s="3314">
        <v>2</v>
      </c>
      <c r="K53" s="3508" t="s">
        <v>1798</v>
      </c>
      <c r="L53" s="3508"/>
      <c r="M53" s="2697">
        <f t="shared" ref="M53:O54" ca="1" si="0">D55</f>
        <v>6</v>
      </c>
      <c r="N53" s="3314" t="str">
        <f t="shared" si="0"/>
        <v>销售额×税（费）率</v>
      </c>
      <c r="O53" s="2698" t="str">
        <f t="shared" si="0"/>
        <v>免征</v>
      </c>
    </row>
    <row r="54" spans="1:35" ht="12" customHeight="1">
      <c r="A54" s="3306" t="s">
        <v>1799</v>
      </c>
      <c r="B54" s="3471" t="s">
        <v>2789</v>
      </c>
      <c r="C54" s="3472"/>
      <c r="D54" s="1199">
        <f ca="1">C68</f>
        <v>638</v>
      </c>
      <c r="E54" s="333" t="s">
        <v>1800</v>
      </c>
      <c r="F54" s="2726">
        <f>'数据-取费表'!B41</f>
        <v>5.6000000000000001E-2</v>
      </c>
      <c r="G54" s="2727"/>
      <c r="H54" s="2728"/>
      <c r="I54" s="1942"/>
      <c r="J54" s="3314">
        <v>3</v>
      </c>
      <c r="K54" s="3508" t="s">
        <v>1801</v>
      </c>
      <c r="L54" s="3508"/>
      <c r="M54" s="2697">
        <f t="shared" ca="1" si="0"/>
        <v>6772</v>
      </c>
      <c r="N54" s="3314" t="str">
        <f t="shared" si="0"/>
        <v>增值额×税（费）率</v>
      </c>
      <c r="O54" s="2699" t="str">
        <f t="shared" si="0"/>
        <v>免征</v>
      </c>
    </row>
    <row r="55" spans="1:35" ht="24" customHeight="1">
      <c r="A55" s="3460" t="s">
        <v>1802</v>
      </c>
      <c r="B55" s="3461"/>
      <c r="C55" s="3461"/>
      <c r="D55" s="3316">
        <f ca="1">IF(H55="个人住宅",0,ROUND(D45*I55,0))</f>
        <v>6</v>
      </c>
      <c r="E55" s="3307" t="s">
        <v>1803</v>
      </c>
      <c r="F55" s="2726" t="str">
        <f>IF(H55="正常",I55,"免征")</f>
        <v>免征</v>
      </c>
      <c r="G55" s="2727"/>
      <c r="H55" s="2722"/>
      <c r="I55" s="170">
        <f>'数据-取费表'!B49</f>
        <v>5.0000000000000001E-4</v>
      </c>
      <c r="J55" s="3314">
        <f>IF(H59="非个人房产","",4)</f>
        <v>4</v>
      </c>
      <c r="K55" s="3508" t="str">
        <f>IF(H59="非个人房产","——","个人所得税")</f>
        <v>个人所得税</v>
      </c>
      <c r="L55" s="3508"/>
      <c r="M55" s="2700">
        <f ca="1">D59</f>
        <v>114</v>
      </c>
      <c r="N55" s="3315" t="str">
        <f>E59</f>
        <v>差额计税</v>
      </c>
      <c r="O55" s="2701">
        <f>F59</f>
        <v>0.01</v>
      </c>
    </row>
    <row r="56" spans="1:35" ht="26">
      <c r="A56" s="3460" t="s">
        <v>1804</v>
      </c>
      <c r="B56" s="3461"/>
      <c r="C56" s="3461"/>
      <c r="D56" s="3316">
        <f ca="1">IF(H56="个人住宅",D57,D58)</f>
        <v>6772</v>
      </c>
      <c r="E56" s="3307" t="s">
        <v>1805</v>
      </c>
      <c r="F56" s="2726" t="str">
        <f>IF(H56="正常",F58,"免征")</f>
        <v>免征</v>
      </c>
      <c r="G56" s="2729" t="s">
        <v>1806</v>
      </c>
      <c r="H56" s="2730"/>
      <c r="I56" s="1943"/>
      <c r="J56" s="3314" t="str">
        <f>IF(项目基本情况!K6="上海银行",IF(J55="",4,J55+1),"")</f>
        <v/>
      </c>
      <c r="K56" s="3531" t="str">
        <f>IF(项目基本情况!K6="上海银行","其他处置费用","")</f>
        <v/>
      </c>
      <c r="L56" s="3532"/>
      <c r="M56" s="2697" t="str">
        <f>IF(项目基本情况!K6="上海银行",M69,"")</f>
        <v/>
      </c>
      <c r="N56" s="3531" t="str">
        <f>IF(项目基本情况!K6="上海银行","包含处置中涉及的律师、诉讼、拍卖、评估等费用","")</f>
        <v/>
      </c>
      <c r="O56" s="3534"/>
    </row>
    <row r="57" spans="1:35" ht="13">
      <c r="A57" s="3306" t="s">
        <v>1782</v>
      </c>
      <c r="B57" s="3471" t="s">
        <v>1807</v>
      </c>
      <c r="C57" s="3472"/>
      <c r="D57" s="1725">
        <v>0</v>
      </c>
      <c r="E57" s="330" t="s">
        <v>1784</v>
      </c>
      <c r="F57" s="308"/>
      <c r="G57" s="2727"/>
      <c r="H57" s="2731"/>
      <c r="I57" s="1943"/>
      <c r="J57" s="3508">
        <f>IF(AND(J55="",J56=""),4,IF(项目基本情况!K6="上海银行",'结果表(商业)'!J56+1,'结果表(商业)'!J55+1))</f>
        <v>5</v>
      </c>
      <c r="K57" s="3508" t="s">
        <v>1808</v>
      </c>
      <c r="L57" s="2702" t="s">
        <v>1809</v>
      </c>
      <c r="M57" s="2703"/>
      <c r="N57" s="2704">
        <f ca="1">SUMIF(M52:M56,"&lt;9e307")</f>
        <v>6892</v>
      </c>
      <c r="O57" s="2705"/>
      <c r="P57" s="2864">
        <f ca="1">N57/M49</f>
        <v>0.57601337233597993</v>
      </c>
    </row>
    <row r="58" spans="1:35" ht="26">
      <c r="A58" s="3306" t="s">
        <v>1793</v>
      </c>
      <c r="B58" s="3471" t="s">
        <v>1810</v>
      </c>
      <c r="C58" s="3445"/>
      <c r="D58" s="3316">
        <f ca="1">IF(H58="转让取得",C81,C97)</f>
        <v>6772</v>
      </c>
      <c r="E58" s="3307" t="s">
        <v>1805</v>
      </c>
      <c r="F58" s="308" t="s">
        <v>34</v>
      </c>
      <c r="G58" s="2727"/>
      <c r="H58" s="2730"/>
      <c r="I58" s="1943"/>
      <c r="J58" s="3508"/>
      <c r="K58" s="3508"/>
      <c r="L58" s="2702" t="s">
        <v>1811</v>
      </c>
      <c r="M58" s="2706"/>
      <c r="N58" s="2707" t="str">
        <f ca="1">NUMBERSTRING(INT(N57*10000),2)&amp;"元整"</f>
        <v>陆仟捌佰玖拾贰万元整</v>
      </c>
      <c r="O58" s="2708"/>
    </row>
    <row r="59" spans="1:35" ht="26.5" thickBot="1">
      <c r="A59" s="3511" t="s">
        <v>1812</v>
      </c>
      <c r="B59" s="3512"/>
      <c r="C59" s="3512"/>
      <c r="D59" s="2732">
        <f ca="1">IF(H59="非个人房产","——",IF(H59="个人住宅（满五唯一有凭证）",0,IF(H59="个人其他（无凭证）",ROUND(D45*F59,0),ROUND(C67*F59,0))))</f>
        <v>114</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509">
        <f>J57+1</f>
        <v>6</v>
      </c>
      <c r="K59" s="3508" t="s">
        <v>1813</v>
      </c>
      <c r="L59" s="3314" t="s">
        <v>1809</v>
      </c>
      <c r="M59" s="2709"/>
      <c r="N59" s="2710">
        <f ca="1">M49-N57</f>
        <v>5073</v>
      </c>
      <c r="O59" s="2711"/>
    </row>
    <row r="60" spans="1:35" ht="12" customHeight="1">
      <c r="A60" s="1944"/>
      <c r="B60" s="1882"/>
      <c r="C60" s="1882"/>
      <c r="D60" s="1882"/>
      <c r="E60" s="1713"/>
      <c r="F60" s="1943"/>
      <c r="G60" s="1943"/>
      <c r="H60" s="1945"/>
      <c r="I60" s="134"/>
      <c r="J60" s="3510"/>
      <c r="K60" s="3508"/>
      <c r="L60" s="2702" t="s">
        <v>1811</v>
      </c>
      <c r="M60" s="2706"/>
      <c r="N60" s="2707" t="str">
        <f ca="1">NUMBERSTRING(INT(N59*10000),2)&amp;"元整"</f>
        <v>伍仟零柒拾叁万元整</v>
      </c>
      <c r="O60" s="2708"/>
    </row>
    <row r="61" spans="1:35" ht="13.5" thickBot="1">
      <c r="A61" s="3458" t="s">
        <v>1814</v>
      </c>
      <c r="B61" s="3458"/>
      <c r="C61" s="3458"/>
      <c r="D61" s="3458"/>
      <c r="E61" s="3458"/>
      <c r="F61" s="1943"/>
      <c r="G61" s="1943"/>
      <c r="H61" s="1945"/>
      <c r="I61" s="134"/>
      <c r="J61" s="3314">
        <f>J59+1</f>
        <v>7</v>
      </c>
      <c r="K61" s="3508" t="s">
        <v>1815</v>
      </c>
      <c r="L61" s="3508"/>
      <c r="M61" s="2712"/>
      <c r="N61" s="2713">
        <f ca="1">ROUND(N59*10000/'数据-汇总表'!E3,0)</f>
        <v>514</v>
      </c>
      <c r="O61" s="2714"/>
    </row>
    <row r="62" spans="1:35" ht="13">
      <c r="A62" s="3476" t="s">
        <v>1816</v>
      </c>
      <c r="B62" s="3477"/>
      <c r="C62" s="3310"/>
      <c r="D62" s="3310" t="s">
        <v>1817</v>
      </c>
      <c r="E62" s="171" t="s">
        <v>1818</v>
      </c>
      <c r="F62" s="1943"/>
      <c r="G62" s="1943"/>
      <c r="H62" s="1945"/>
      <c r="I62" s="134"/>
    </row>
    <row r="63" spans="1:35" ht="13">
      <c r="A63" s="178" t="s">
        <v>594</v>
      </c>
      <c r="B63" s="172" t="s">
        <v>1819</v>
      </c>
      <c r="C63" s="2736">
        <f ca="1">ROUND((C64+C65)/(1+'数据-取费表'!C42),0)</f>
        <v>11395</v>
      </c>
      <c r="D63" s="172"/>
      <c r="E63" s="173"/>
      <c r="F63" s="1943"/>
      <c r="G63" s="1943"/>
      <c r="H63" s="1945"/>
      <c r="I63" s="134"/>
      <c r="J63" s="3533" t="s">
        <v>1820</v>
      </c>
      <c r="K63" s="3317" t="s">
        <v>1821</v>
      </c>
      <c r="L63" s="3317">
        <f ca="1">IF(M49&gt;10000,M49*0.5%,IF(AND(M49&gt;1000,M49&lt;=10000),M49*1%,IF(AND(M49&gt;100,M49&lt;=1000),M49*3%,IF(AND(M49&gt;10,M49&lt;=100),M49*5%,M49*8%))))</f>
        <v>59.825000000000003</v>
      </c>
      <c r="M63" s="308">
        <f ca="1">ROUND(L63,1)</f>
        <v>59.8</v>
      </c>
      <c r="N63" s="2715"/>
      <c r="Z63" s="1887"/>
      <c r="AI63" s="1888"/>
    </row>
    <row r="64" spans="1:35" ht="14.25" customHeight="1">
      <c r="A64" s="174" t="s">
        <v>589</v>
      </c>
      <c r="B64" s="175" t="s">
        <v>1822</v>
      </c>
      <c r="C64" s="2737">
        <f ca="1">D45</f>
        <v>11965</v>
      </c>
      <c r="D64" s="175" t="s">
        <v>32</v>
      </c>
      <c r="E64" s="177"/>
      <c r="F64" s="1943"/>
      <c r="G64" s="1943"/>
      <c r="H64" s="1945"/>
      <c r="I64" s="134"/>
      <c r="J64" s="3533"/>
      <c r="K64" s="3317" t="s">
        <v>1823</v>
      </c>
      <c r="L64" s="3317">
        <f ca="1">IF(M49&gt;2000,M49*0.5%,IF(AND(M49&gt;1000,M49&lt;=2000),M49*0.6%,IF(AND(M49&gt;500,M49&lt;=1000),M49*0.7%,IF(AND(M49&gt;200,M49&lt;=500),M49*0.8%,IF(AND(M49&gt;100,M49&lt;=200),M49*0.9%,IF(AND(M49&gt;50,M49&lt;=100),M49*1%,IF(AND(M49&gt;20,M49&lt;=50),M49*1.5%,IF(AND(M49&gt;10,M49&lt;=20),M49*2%,IF(AND(M49&gt;1,M49&lt;=10),M49*2.5%)))))))))</f>
        <v>59.825000000000003</v>
      </c>
      <c r="M64" s="308">
        <f t="shared" ref="M64:M65" ca="1" si="1">ROUND(L64,1)</f>
        <v>59.8</v>
      </c>
      <c r="N64" s="2716" t="s">
        <v>1824</v>
      </c>
      <c r="Z64" s="1887"/>
      <c r="AI64" s="1888"/>
    </row>
    <row r="65" spans="1:35" ht="14.25" customHeight="1">
      <c r="A65" s="174" t="s">
        <v>590</v>
      </c>
      <c r="B65" s="175" t="s">
        <v>1825</v>
      </c>
      <c r="C65" s="2738"/>
      <c r="D65" s="175"/>
      <c r="E65" s="177"/>
      <c r="F65" s="1943"/>
      <c r="G65" s="1943"/>
      <c r="H65" s="1945"/>
      <c r="I65" s="134"/>
      <c r="J65" s="3533"/>
      <c r="K65" s="3317" t="s">
        <v>1826</v>
      </c>
      <c r="L65" s="3317">
        <f ca="1">IF(M49&gt;1000,M49*0.1%,IF(AND(M49&gt;500,M49&lt;=1000),M49*0.5%,IF(AND(M49&gt;50,M49&lt;=500),M49*1%,IF(AND(M49&gt;1,M49&lt;=50),M49*1.5%))))</f>
        <v>11.965</v>
      </c>
      <c r="M65" s="308">
        <f t="shared" ca="1" si="1"/>
        <v>12</v>
      </c>
      <c r="N65" s="2716" t="s">
        <v>1824</v>
      </c>
      <c r="Z65" s="1887"/>
      <c r="AI65" s="1888"/>
    </row>
    <row r="66" spans="1:35" ht="14.25" customHeight="1">
      <c r="A66" s="178" t="s">
        <v>591</v>
      </c>
      <c r="B66" s="179" t="s">
        <v>1827</v>
      </c>
      <c r="C66" s="2739"/>
      <c r="D66" s="179" t="s">
        <v>32</v>
      </c>
      <c r="E66" s="1459" t="s">
        <v>1092</v>
      </c>
      <c r="F66" s="1943"/>
      <c r="G66" s="1943"/>
      <c r="H66" s="1945"/>
      <c r="I66" s="134"/>
      <c r="J66" s="3533"/>
      <c r="K66" s="3317" t="s">
        <v>1828</v>
      </c>
      <c r="L66" s="3317">
        <f ca="1">M49*0.5%</f>
        <v>59.825000000000003</v>
      </c>
      <c r="M66" s="308">
        <f ca="1">IF(L66&gt;0.5,0.5,ROUND(L66,0))</f>
        <v>0.5</v>
      </c>
      <c r="N66" s="2716" t="s">
        <v>1829</v>
      </c>
      <c r="Z66" s="1887"/>
      <c r="AI66" s="1888"/>
    </row>
    <row r="67" spans="1:35" ht="14.25" customHeight="1">
      <c r="A67" s="178" t="s">
        <v>592</v>
      </c>
      <c r="B67" s="179" t="s">
        <v>1830</v>
      </c>
      <c r="C67" s="2740">
        <f ca="1">C63-C66</f>
        <v>11395</v>
      </c>
      <c r="D67" s="175" t="s">
        <v>32</v>
      </c>
      <c r="E67" s="177"/>
      <c r="F67" s="1943"/>
      <c r="G67" s="1943"/>
      <c r="H67" s="1945"/>
      <c r="I67" s="134"/>
      <c r="J67" s="3533"/>
      <c r="K67" s="3317" t="s">
        <v>1831</v>
      </c>
      <c r="L67" s="3317">
        <f ca="1">IF(M49&gt;=10000,(8.25+(M49-10000)*0.01%),IF(AND(M49&gt;=8000,M49&lt;10000),(7.85+(M49-8000)*0.02%),IF(AND(M49&gt;=5000,M49&lt;8000),(6.65+(M49-5000)*0.04%),IF(AND(M49&gt;=2000,M49&lt;5000),(4.25+(PM49-2000)*0.08%),IF(AND(M49&gt;=1000,M49&lt;2000),(2.75+(M49-1000)*0.15%),IF(AND(M49&gt;=100,M49&lt;1000),(0.5+(M49-100)*0.25%),IF(AND(M49&gt;0,M49&lt;100),M49*0.5%)))))))</f>
        <v>8.4465000000000003</v>
      </c>
      <c r="M67" s="308">
        <f ca="1">ROUND(L67*0.9,1)</f>
        <v>7.6</v>
      </c>
      <c r="N67" s="2715"/>
      <c r="Z67" s="1887"/>
      <c r="AI67" s="1888"/>
    </row>
    <row r="68" spans="1:35" ht="14.25" customHeight="1" thickBot="1">
      <c r="A68" s="181" t="s">
        <v>593</v>
      </c>
      <c r="B68" s="182" t="s">
        <v>1832</v>
      </c>
      <c r="C68" s="2741">
        <f ca="1">IF(C67&lt;=0,0,ROUND(C67*D68,0))</f>
        <v>638</v>
      </c>
      <c r="D68" s="2742">
        <f>'数据-取费表'!B41</f>
        <v>5.6000000000000001E-2</v>
      </c>
      <c r="E68" s="184"/>
      <c r="F68" s="1943"/>
      <c r="G68" s="1943"/>
      <c r="H68" s="1945"/>
      <c r="I68" s="134"/>
      <c r="J68" s="3533"/>
      <c r="K68" s="3317" t="s">
        <v>1833</v>
      </c>
      <c r="L68" s="3317">
        <f ca="1">IF(M49&gt;10000,M49*0.5%,IF(AND(M49&gt;5000,M49&lt;=10000),M49*1%,IF(AND(M49&gt;1000,M49&lt;=5000),M49*2%,IF(AND(M49&gt;200,M49&lt;=1000),M49*3%,M49*5%))))</f>
        <v>59.825000000000003</v>
      </c>
      <c r="M68" s="308">
        <f ca="1">ROUND(L68,1)</f>
        <v>59.8</v>
      </c>
      <c r="N68" s="2715"/>
      <c r="Z68" s="1887"/>
      <c r="AI68" s="1888"/>
    </row>
    <row r="69" spans="1:35" s="1907" customFormat="1" ht="16.5" customHeight="1">
      <c r="A69" s="1946"/>
      <c r="B69" s="1947"/>
      <c r="C69" s="1948"/>
      <c r="D69" s="1949"/>
      <c r="E69" s="1950"/>
      <c r="F69" s="1713"/>
      <c r="G69" s="1713"/>
      <c r="H69" s="1712"/>
      <c r="I69" s="1882"/>
      <c r="J69" s="3533"/>
      <c r="K69" s="3317" t="s">
        <v>1834</v>
      </c>
      <c r="L69" s="3317"/>
      <c r="M69" s="308">
        <f ca="1">ROUND(SUM(M63:M68),0)</f>
        <v>200</v>
      </c>
      <c r="N69" s="2717">
        <f ca="1">M69/M49</f>
        <v>1.6715419974926871E-2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5" t="s">
        <v>1835</v>
      </c>
      <c r="B70" s="3496"/>
      <c r="C70" s="3496"/>
      <c r="D70" s="3496"/>
      <c r="E70" s="3496"/>
      <c r="F70" s="3496"/>
      <c r="G70" s="3496"/>
      <c r="H70" s="3496"/>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76" t="s">
        <v>1816</v>
      </c>
      <c r="B71" s="3477"/>
      <c r="C71" s="3310"/>
      <c r="D71" s="3310"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11395</v>
      </c>
      <c r="D72" s="175" t="s">
        <v>32</v>
      </c>
      <c r="E72" s="3309"/>
      <c r="F72" s="3302"/>
      <c r="G72" s="3302"/>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68</v>
      </c>
      <c r="D73" s="175" t="s">
        <v>32</v>
      </c>
      <c r="E73" s="3309"/>
      <c r="F73" s="3302"/>
      <c r="G73" s="33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309"/>
      <c r="F74" s="3302"/>
      <c r="G74" s="33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71" t="s">
        <v>1843</v>
      </c>
      <c r="F76" s="3445"/>
      <c r="G76" s="3445"/>
      <c r="H76" s="349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316" t="s">
        <v>1845</v>
      </c>
      <c r="F77" s="192"/>
      <c r="G77" s="1957"/>
      <c r="H77" s="3312"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68</v>
      </c>
      <c r="D78" s="2749">
        <f>'数据-取费表'!B43</f>
        <v>6.000000000000001E-3</v>
      </c>
      <c r="E78" s="3455" t="s">
        <v>1847</v>
      </c>
      <c r="F78" s="3456"/>
      <c r="G78" s="3456"/>
      <c r="H78" s="3465"/>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11327</v>
      </c>
      <c r="D79" s="175" t="s">
        <v>32</v>
      </c>
      <c r="E79" s="3309"/>
      <c r="F79" s="3302"/>
      <c r="G79" s="33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166.5735294117647</v>
      </c>
      <c r="D80" s="175" t="s">
        <v>32</v>
      </c>
      <c r="E80" s="3316" t="str">
        <f ca="1">IF(C80&gt;=200%,"增值额超过扣除项目金额200%",IF(C80&gt;=100%,"增值额超过扣除项目金额100%，未超过200%",IF(C80&gt;=50%,"增值额超过扣除项目金额50%，未超过100%",IF(C80&lt;50%,"增值额未超过扣除项目金额50%"))))</f>
        <v>增值额超过扣除项目金额200%</v>
      </c>
      <c r="F80" s="3302"/>
      <c r="G80" s="33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6772</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5" t="s">
        <v>1851</v>
      </c>
      <c r="B83" s="3496"/>
      <c r="C83" s="3496"/>
      <c r="D83" s="3496"/>
      <c r="E83" s="3496"/>
      <c r="F83" s="3496"/>
      <c r="G83" s="3496"/>
      <c r="H83" s="349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76" t="s">
        <v>1816</v>
      </c>
      <c r="B84" s="3477"/>
      <c r="C84" s="3310"/>
      <c r="D84" s="3310"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11395</v>
      </c>
      <c r="D85" s="175" t="s">
        <v>32</v>
      </c>
      <c r="E85" s="3309"/>
      <c r="F85" s="3302"/>
      <c r="G85" s="33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68</v>
      </c>
      <c r="D86" s="2753"/>
      <c r="E86" s="3309"/>
      <c r="F86" s="3302"/>
      <c r="G86" s="33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303"/>
      <c r="F87" s="3304"/>
      <c r="G87" s="3304"/>
      <c r="H87" s="3308"/>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304"/>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304"/>
      <c r="G89" s="3304"/>
      <c r="H89" s="3308"/>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304"/>
      <c r="G90" s="3535" t="s">
        <v>2626</v>
      </c>
      <c r="H90" s="3536"/>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55" t="s">
        <v>1860</v>
      </c>
      <c r="F91" s="3456"/>
      <c r="G91" s="3456"/>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55" t="s">
        <v>1863</v>
      </c>
      <c r="F92" s="3456"/>
      <c r="G92" s="3456"/>
      <c r="H92" s="3465"/>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68</v>
      </c>
      <c r="D93" s="2749">
        <f>'数据-取费表'!B43</f>
        <v>6.000000000000001E-3</v>
      </c>
      <c r="E93" s="3455" t="s">
        <v>1847</v>
      </c>
      <c r="F93" s="3456"/>
      <c r="G93" s="3456"/>
      <c r="H93" s="3465"/>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466" t="s">
        <v>1867</v>
      </c>
      <c r="F94" s="3467"/>
      <c r="G94" s="3467"/>
      <c r="H94" s="3468"/>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11327</v>
      </c>
      <c r="D95" s="175" t="s">
        <v>32</v>
      </c>
      <c r="E95" s="3309"/>
      <c r="F95" s="3302"/>
      <c r="G95" s="33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166.5735294117647</v>
      </c>
      <c r="D96" s="175" t="s">
        <v>32</v>
      </c>
      <c r="E96" s="3316" t="str">
        <f ca="1">IF(C96&gt;=200%,"增值额超过扣除项目金额200%",IF(C96&gt;=100%,"增值额超过扣除项目金额100%，未超过200%",IF(C96&gt;=50%,"增值额超过扣除项目金额50%，未超过100%",IF(C96&lt;50%,"增值额未超过扣除项目金额50%"))))</f>
        <v>增值额超过扣除项目金额200%</v>
      </c>
      <c r="F96" s="3302"/>
      <c r="G96" s="33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6772</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28" t="s">
        <v>1869</v>
      </c>
      <c r="B100" s="3429"/>
      <c r="C100" s="3429"/>
      <c r="D100" s="3457"/>
      <c r="E100" s="3429" t="s">
        <v>1870</v>
      </c>
      <c r="F100" s="3429"/>
      <c r="G100" s="3429"/>
      <c r="H100" s="3457"/>
      <c r="I100" s="134"/>
    </row>
    <row r="101" spans="1:35" ht="18.75" customHeight="1">
      <c r="A101" s="3516" t="s">
        <v>1871</v>
      </c>
      <c r="B101" s="3517"/>
      <c r="C101" s="2757" t="str">
        <f>C4</f>
        <v>收益法(商业)</v>
      </c>
      <c r="D101" s="2758" t="str">
        <f>D4</f>
        <v>成本法 (商业)</v>
      </c>
      <c r="E101" s="3530" t="s">
        <v>1872</v>
      </c>
      <c r="F101" s="3489"/>
      <c r="G101" s="1962" t="s">
        <v>1873</v>
      </c>
      <c r="H101" s="2767">
        <f ca="1">H118</f>
        <v>11965</v>
      </c>
      <c r="I101" s="134"/>
    </row>
    <row r="102" spans="1:35" ht="18.75" customHeight="1">
      <c r="A102" s="3491" t="s">
        <v>1874</v>
      </c>
      <c r="B102" s="2756" t="s">
        <v>1873</v>
      </c>
      <c r="C102" s="2757">
        <f ca="1">C19</f>
        <v>9956</v>
      </c>
      <c r="D102" s="2758">
        <f ca="1">D19</f>
        <v>14978</v>
      </c>
      <c r="E102" s="3530"/>
      <c r="F102" s="3489"/>
      <c r="G102" s="1962" t="s">
        <v>1875</v>
      </c>
      <c r="H102" s="2727">
        <f ca="1">I118</f>
        <v>34867</v>
      </c>
      <c r="I102" s="134"/>
    </row>
    <row r="103" spans="1:35" ht="42.75" customHeight="1">
      <c r="A103" s="3491"/>
      <c r="B103" s="2756" t="s">
        <v>1875</v>
      </c>
      <c r="C103" s="2759">
        <f ca="1">C20</f>
        <v>29012</v>
      </c>
      <c r="D103" s="2760">
        <f ca="1">D20</f>
        <v>43647</v>
      </c>
      <c r="E103" s="3524" t="s">
        <v>1876</v>
      </c>
      <c r="F103" s="3525"/>
      <c r="G103" s="1963" t="s">
        <v>1877</v>
      </c>
      <c r="H103" s="2767">
        <f>IF(D36="正常操作",H104+H105+H106,H105+H106)</f>
        <v>0</v>
      </c>
      <c r="I103" s="134"/>
    </row>
    <row r="104" spans="1:35" ht="18.75" customHeight="1">
      <c r="A104" s="3491" t="s">
        <v>1878</v>
      </c>
      <c r="B104" s="2761" t="s">
        <v>1873</v>
      </c>
      <c r="C104" s="2762">
        <f ca="1">H118</f>
        <v>11965</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34867</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8" t="str">
        <f>IF(项目基本情况!E8="已注销","——","3.房地产抵押价值")</f>
        <v>3.房地产抵押价值</v>
      </c>
      <c r="F107" s="3489"/>
      <c r="G107" s="1962" t="s">
        <v>1873</v>
      </c>
      <c r="H107" s="2767">
        <f ca="1">IF(E107="——","——",H101-H103)</f>
        <v>11965</v>
      </c>
      <c r="I107" s="134"/>
    </row>
    <row r="108" spans="1:35" ht="18.75" customHeight="1">
      <c r="A108" s="134"/>
      <c r="B108" s="134"/>
      <c r="C108" s="134"/>
      <c r="D108" s="134"/>
      <c r="E108" s="3488"/>
      <c r="F108" s="3489"/>
      <c r="G108" s="1962" t="s">
        <v>1875</v>
      </c>
      <c r="H108" s="2727">
        <f ca="1">ROUND(H107*10000/'数据-汇总表'!E3,0)</f>
        <v>1213</v>
      </c>
      <c r="I108" s="134"/>
    </row>
    <row r="109" spans="1:35" ht="18.75" customHeight="1">
      <c r="A109" s="134"/>
      <c r="B109" s="134"/>
      <c r="C109" s="134"/>
      <c r="D109" s="134"/>
      <c r="E109" s="3488" t="str">
        <f>IF(项目基本情况!E8="已注销及未注销","4.抵押担保权已注销时的房地产抵押价值",IF(项目基本情况!E8="已注销","3.抵押担保权已注销时的房地产抵押价值","——"))</f>
        <v>——</v>
      </c>
      <c r="F109" s="3489"/>
      <c r="G109" s="1962" t="s">
        <v>1873</v>
      </c>
      <c r="H109" s="2770" t="str">
        <f>IF(E109="——","——",H101-H105-H106)</f>
        <v>——</v>
      </c>
      <c r="I109" s="134"/>
    </row>
    <row r="110" spans="1:35" ht="18.75" customHeight="1">
      <c r="A110" s="134"/>
      <c r="B110" s="134"/>
      <c r="C110" s="134"/>
      <c r="D110" s="134"/>
      <c r="E110" s="3488"/>
      <c r="F110" s="3489"/>
      <c r="G110" s="1962" t="s">
        <v>1875</v>
      </c>
      <c r="H110" s="2727" t="str">
        <f>IF(H109="——","——",ROUND(H109*10000/'数据-汇总表'!E3,0))</f>
        <v>——</v>
      </c>
      <c r="I110" s="134"/>
    </row>
    <row r="111" spans="1:35" ht="18.75" customHeight="1">
      <c r="A111" s="134"/>
      <c r="B111" s="134"/>
      <c r="C111" s="134"/>
      <c r="D111" s="134"/>
      <c r="E111" s="3518" t="str">
        <f>IF(项目基本情况!E9="抵押净值",IF(OR(项目基本情况!E8="已注销",项目基本情况!E8="房地产抵押价值"),"4.抵押净值","5.抵押净值"),"——")</f>
        <v>——</v>
      </c>
      <c r="F111" s="3490"/>
      <c r="G111" s="1962" t="s">
        <v>1873</v>
      </c>
      <c r="H111" s="2767" t="str">
        <f>IF(E111="——","——",N59)</f>
        <v>——</v>
      </c>
      <c r="I111" s="134"/>
    </row>
    <row r="112" spans="1:35" ht="18.75" customHeight="1" thickBot="1">
      <c r="A112" s="134"/>
      <c r="B112" s="134"/>
      <c r="C112" s="134"/>
      <c r="D112" s="134"/>
      <c r="E112" s="3519"/>
      <c r="F112" s="3520"/>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59" t="s">
        <v>1884</v>
      </c>
      <c r="B116" s="3440" t="s">
        <v>1885</v>
      </c>
      <c r="C116" s="3440" t="s">
        <v>1886</v>
      </c>
      <c r="D116" s="3442" t="s">
        <v>1887</v>
      </c>
      <c r="E116" s="3443"/>
      <c r="F116" s="3444" t="s">
        <v>1888</v>
      </c>
      <c r="G116" s="3444"/>
      <c r="H116" s="3459" t="s">
        <v>1889</v>
      </c>
      <c r="I116" s="3459"/>
    </row>
    <row r="117" spans="1:27" ht="18.75" customHeight="1">
      <c r="A117" s="3459"/>
      <c r="B117" s="3441"/>
      <c r="C117" s="3441"/>
      <c r="D117" s="3305" t="s">
        <v>1890</v>
      </c>
      <c r="E117" s="3305" t="s">
        <v>1891</v>
      </c>
      <c r="F117" s="3305" t="s">
        <v>1890</v>
      </c>
      <c r="G117" s="3305" t="s">
        <v>1892</v>
      </c>
      <c r="H117" s="3305" t="s">
        <v>1890</v>
      </c>
      <c r="I117" s="3305" t="s">
        <v>1892</v>
      </c>
    </row>
    <row r="118" spans="1:27" ht="24.75" customHeight="1">
      <c r="A118" s="2772" t="str">
        <f>项目基本情况!S2</f>
        <v>北京市朝阳区朝阳门南大街10号房地产</v>
      </c>
      <c r="B118" s="3305">
        <f>M18</f>
        <v>3431.64</v>
      </c>
      <c r="C118" s="3305">
        <f>M19</f>
        <v>197.55</v>
      </c>
      <c r="D118" s="3305">
        <f ca="1">ROUND(IF(D32="总价",C34,E118*B118/10000),0)</f>
        <v>9596</v>
      </c>
      <c r="E118" s="3305">
        <f ca="1">ROUND(IF(C33="自定义",IF(D32="楼面单价",C34,D118*10000/B118),I118-G118),0)</f>
        <v>27964</v>
      </c>
      <c r="F118" s="3305">
        <f ca="1">ROUND(IF(D32="总价",C35,G118*B118/10000),0)</f>
        <v>2369</v>
      </c>
      <c r="G118" s="3305">
        <f ca="1">ROUND(IF(D32="楼面单价",C35,F118*10000/B118),0)</f>
        <v>6903</v>
      </c>
      <c r="H118" s="3305">
        <f ca="1">ROUND(IF(D32="总价",C32,I118*B118/10000),0)</f>
        <v>11965</v>
      </c>
      <c r="I118" s="3305">
        <f ca="1">ROUND(IF(D32="楼面单价",C32,H118*10000/B118),0)</f>
        <v>34867</v>
      </c>
    </row>
    <row r="119" spans="1:27" ht="18.75" customHeight="1">
      <c r="A119" s="3459" t="s">
        <v>1893</v>
      </c>
      <c r="B119" s="3459"/>
      <c r="C119" s="3459"/>
      <c r="D119" s="3497" t="str">
        <f ca="1">NUMBERSTRING(INT(D118*10000),2)&amp;"元整"</f>
        <v>玖仟伍佰玖拾陆万元整</v>
      </c>
      <c r="E119" s="3499"/>
      <c r="F119" s="3497" t="str">
        <f ca="1">NUMBERSTRING(INT(F118*10000),2)&amp;"元整"</f>
        <v>贰仟叁佰陆拾玖万元整</v>
      </c>
      <c r="G119" s="3499"/>
      <c r="H119" s="3497" t="str">
        <f ca="1">NUMBERSTRING(INT(H118*10000),2)&amp;"元整"</f>
        <v>壹亿壹仟玖佰陆拾伍万元整</v>
      </c>
      <c r="I119" s="3499"/>
    </row>
    <row r="120" spans="1:27" ht="18.75" customHeight="1">
      <c r="A120" s="3521" t="str">
        <f>IF(项目基本情况!B9="房地产市场价值","",MID(E103,3,LEN(E103)-2))</f>
        <v>估价师知悉的法定优先受偿款</v>
      </c>
      <c r="B120" s="3522"/>
      <c r="C120" s="3523"/>
      <c r="D120" s="3521">
        <f>H103</f>
        <v>0</v>
      </c>
      <c r="E120" s="3522"/>
      <c r="F120" s="3522"/>
      <c r="G120" s="3522"/>
      <c r="H120" s="3522"/>
      <c r="I120" s="352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97" t="str">
        <f>IF(D120=0,"零元整",NUMBERSTRING(INT(D120*10000),2)&amp;"元整")</f>
        <v>零元整</v>
      </c>
      <c r="E121" s="3498"/>
      <c r="F121" s="3498"/>
      <c r="G121" s="3498"/>
      <c r="H121" s="3498"/>
      <c r="I121" s="3499"/>
      <c r="AA121" s="734"/>
    </row>
    <row r="122" spans="1:27" ht="18.75" customHeight="1">
      <c r="A122" s="3490" t="str">
        <f>IF(项目基本情况!B9="房地产市场价值","",MID(E107,3,LEN(E107)-2))</f>
        <v>房地产抵押价值</v>
      </c>
      <c r="B122" s="3490"/>
      <c r="C122" s="3490"/>
      <c r="D122" s="3521">
        <f ca="1">H107</f>
        <v>11965</v>
      </c>
      <c r="E122" s="3522"/>
      <c r="F122" s="3522"/>
      <c r="G122" s="3522"/>
      <c r="H122" s="3522"/>
      <c r="I122" s="3523"/>
      <c r="AA122" s="734"/>
    </row>
    <row r="123" spans="1:27" ht="18.75" customHeight="1">
      <c r="A123" s="3459" t="s">
        <v>1893</v>
      </c>
      <c r="B123" s="3459"/>
      <c r="C123" s="3459"/>
      <c r="D123" s="3497" t="str">
        <f ca="1">NUMBERSTRING(INT(D122*10000),2)&amp;"元整"</f>
        <v>壹亿壹仟玖佰陆拾伍万元整</v>
      </c>
      <c r="E123" s="3498"/>
      <c r="F123" s="3498"/>
      <c r="G123" s="3498"/>
      <c r="H123" s="3498"/>
      <c r="I123" s="3499"/>
      <c r="AA123" s="734"/>
    </row>
    <row r="124" spans="1:27" ht="18.75" customHeight="1">
      <c r="A124" s="3490" t="str">
        <f>IF(项目基本情况!B9="房地产市场价值","",MID(E109,3,LEN(E109)-2))</f>
        <v/>
      </c>
      <c r="B124" s="3490"/>
      <c r="C124" s="3490"/>
      <c r="D124" s="3521" t="str">
        <f>H109</f>
        <v>——</v>
      </c>
      <c r="E124" s="3522"/>
      <c r="F124" s="3522"/>
      <c r="G124" s="3522"/>
      <c r="H124" s="3522"/>
      <c r="I124" s="3523"/>
      <c r="AA124" s="734"/>
    </row>
    <row r="125" spans="1:27" ht="18.75" customHeight="1">
      <c r="A125" s="3459" t="s">
        <v>1893</v>
      </c>
      <c r="B125" s="3459"/>
      <c r="C125" s="3459"/>
      <c r="D125" s="3497" t="e">
        <f>NUMBERSTRING(INT(D124*10000),2)&amp;"元整"</f>
        <v>#VALUE!</v>
      </c>
      <c r="E125" s="3498"/>
      <c r="F125" s="3498"/>
      <c r="G125" s="3498"/>
      <c r="H125" s="3498"/>
      <c r="I125" s="3499"/>
      <c r="AA125" s="734"/>
    </row>
    <row r="126" spans="1:27" ht="18.75" customHeight="1">
      <c r="A126" s="3490" t="str">
        <f>IF(项目基本情况!B9="房地产市场价值","",MID(E111,3,LEN(E111)-2))</f>
        <v/>
      </c>
      <c r="B126" s="3490"/>
      <c r="C126" s="3490"/>
      <c r="D126" s="3521" t="str">
        <f>H111</f>
        <v>——</v>
      </c>
      <c r="E126" s="3522"/>
      <c r="F126" s="3522"/>
      <c r="G126" s="3522"/>
      <c r="H126" s="3522"/>
      <c r="I126" s="3523"/>
      <c r="AA126" s="734"/>
    </row>
    <row r="127" spans="1:27" ht="18.75" customHeight="1">
      <c r="A127" s="3459" t="s">
        <v>1893</v>
      </c>
      <c r="B127" s="3459"/>
      <c r="C127" s="3459"/>
      <c r="D127" s="3497" t="e">
        <f>NUMBERSTRING(INT(D126*10000),2)&amp;"元整"</f>
        <v>#VALUE!</v>
      </c>
      <c r="E127" s="3498"/>
      <c r="F127" s="3498"/>
      <c r="G127" s="3498"/>
      <c r="H127" s="3498"/>
      <c r="I127" s="3499"/>
      <c r="AA127" s="734"/>
    </row>
    <row r="128" spans="1:27" ht="21.75" customHeight="1">
      <c r="A128" s="3506" t="s">
        <v>1894</v>
      </c>
      <c r="B128" s="3506"/>
      <c r="C128" s="3506"/>
      <c r="D128" s="3506"/>
      <c r="E128" s="3506"/>
      <c r="F128" s="3506"/>
      <c r="G128" s="3506"/>
      <c r="H128" s="3506"/>
      <c r="I128" s="3506"/>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C00-000000000000}">
      <formula1>估价方法</formula1>
    </dataValidation>
    <dataValidation type="list" allowBlank="1" showInputMessage="1" showErrorMessage="1" sqref="H55:H56" xr:uid="{00000000-0002-0000-1C00-000001000000}">
      <formula1>"个人住宅,正常"</formula1>
    </dataValidation>
    <dataValidation type="list" allowBlank="1" showInputMessage="1" showErrorMessage="1" sqref="H48" xr:uid="{00000000-0002-0000-1C00-000002000000}">
      <formula1>"情况1,情况2,情况3,情况4"</formula1>
    </dataValidation>
    <dataValidation type="list" allowBlank="1" showInputMessage="1" showErrorMessage="1" sqref="H58" xr:uid="{00000000-0002-0000-1C00-000003000000}">
      <formula1>"转让取得,自行开发建设"</formula1>
    </dataValidation>
    <dataValidation type="list" allowBlank="1" showInputMessage="1" showErrorMessage="1" sqref="D32" xr:uid="{00000000-0002-0000-1C00-000004000000}">
      <formula1>"总价,楼面单价"</formula1>
    </dataValidation>
    <dataValidation type="list" allowBlank="1" showInputMessage="1" showErrorMessage="1" sqref="F45" xr:uid="{00000000-0002-0000-1C00-000005000000}">
      <formula1>"100%,70%,56%"</formula1>
    </dataValidation>
    <dataValidation type="list" allowBlank="1" showInputMessage="1" showErrorMessage="1" sqref="C33" xr:uid="{00000000-0002-0000-1C00-000006000000}">
      <formula1>"成本比率,收益比率,自定义"</formula1>
    </dataValidation>
    <dataValidation type="list" allowBlank="1" showInputMessage="1" showErrorMessage="1" sqref="H91" xr:uid="{00000000-0002-0000-1C00-000007000000}">
      <formula1>"企业提供（在右侧录入）,——"</formula1>
    </dataValidation>
    <dataValidation type="list" allowBlank="1" showInputMessage="1" showErrorMessage="1" sqref="H88" xr:uid="{00000000-0002-0000-1C00-000008000000}">
      <formula1>"仅含出让金,出让金+开发费"</formula1>
    </dataValidation>
    <dataValidation type="list" allowBlank="1" showInputMessage="1" showErrorMessage="1" sqref="F75" xr:uid="{00000000-0002-0000-1C00-000009000000}">
      <formula1>"买卖合同,购房发票"</formula1>
    </dataValidation>
    <dataValidation type="list" allowBlank="1" showInputMessage="1" showErrorMessage="1" sqref="D36" xr:uid="{00000000-0002-0000-1C00-00000A000000}">
      <formula1>"同一抵押权人同一抵押物续贷,注销后放款,正常操作"</formula1>
    </dataValidation>
    <dataValidation type="list" allowBlank="1" showInputMessage="1" showErrorMessage="1" sqref="B116:B117" xr:uid="{00000000-0002-0000-1C00-00000B000000}">
      <formula1>"建筑面积,规划建筑面积,（规划）建筑面积"</formula1>
    </dataValidation>
    <dataValidation type="list" allowBlank="1" showInputMessage="1" showErrorMessage="1" sqref="C116:C117" xr:uid="{00000000-0002-0000-1C00-00000C000000}">
      <formula1>"土地面积,分摊土地面积,（分摊）土地面积"</formula1>
    </dataValidation>
    <dataValidation type="list" allowBlank="1" showInputMessage="1" showErrorMessage="1" sqref="D116:E116" xr:uid="{00000000-0002-0000-1C00-00000D000000}">
      <formula1>"出让国有建设用地使用权价值,划拨国有建设用地使用权价值"</formula1>
    </dataValidation>
    <dataValidation type="list" allowBlank="1" showInputMessage="1" showErrorMessage="1" sqref="F116:G116" xr:uid="{00000000-0002-0000-1C00-00000E000000}">
      <formula1>"建筑物价值,在建建筑物价值,建筑物/在建建筑物价值"</formula1>
    </dataValidation>
    <dataValidation type="list" allowBlank="1" showInputMessage="1" showErrorMessage="1" sqref="C129" xr:uid="{00000000-0002-0000-1C00-00000F000000}">
      <formula1>"无,有"</formula1>
    </dataValidation>
    <dataValidation type="list" showInputMessage="1" showErrorMessage="1" sqref="G1" xr:uid="{00000000-0002-0000-1C00-000010000000}">
      <formula1>"现房,在建,土地,-"</formula1>
    </dataValidation>
    <dataValidation type="list" allowBlank="1" showInputMessage="1" showErrorMessage="1" sqref="I1" xr:uid="{00000000-0002-0000-1C00-000011000000}">
      <formula1>"项目局部,项目全部,——"</formula1>
    </dataValidation>
    <dataValidation type="list" allowBlank="1" showInputMessage="1" showErrorMessage="1" sqref="C1" xr:uid="{00000000-0002-0000-1C00-000012000000}">
      <formula1>项目类型</formula1>
    </dataValidation>
    <dataValidation type="list" allowBlank="1" showInputMessage="1" showErrorMessage="1" sqref="G77" xr:uid="{00000000-0002-0000-1C00-000013000000}">
      <formula1>"个人住宅,2016年5月1日前购买,2016年5月1日后购买"</formula1>
    </dataValidation>
    <dataValidation type="list" allowBlank="1" showInputMessage="1" showErrorMessage="1" sqref="E103" xr:uid="{00000000-0002-0000-1C00-000014000000}">
      <formula1>"2.估价师知悉的法定优先受偿款,2.估价师知悉的除抵押担保权以外的法定优先受偿款"</formula1>
    </dataValidation>
    <dataValidation type="list" allowBlank="1" showInputMessage="1" showErrorMessage="1" sqref="H59" xr:uid="{00000000-0002-0000-1C00-000015000000}">
      <formula1>"非个人房产,个人住宅（满五唯一有凭证）,个人其他（有凭证）,个人其他（无凭证）"</formula1>
    </dataValidation>
    <dataValidation type="list" allowBlank="1" showInputMessage="1" showErrorMessage="1" sqref="D92" xr:uid="{00000000-0002-0000-1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I57"/>
  <sheetViews>
    <sheetView view="pageBreakPreview" zoomScaleNormal="70" zoomScaleSheetLayoutView="100" workbookViewId="0">
      <selection activeCell="H23" sqref="H23"/>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1098</v>
      </c>
      <c r="C1" s="204"/>
      <c r="D1" s="204"/>
      <c r="E1" s="204"/>
      <c r="F1" s="204"/>
      <c r="G1" s="1240">
        <f>MATCH(B1,'数据-取费表'!A6:A16,0)+5</f>
        <v>7</v>
      </c>
    </row>
    <row r="2" spans="1:9" s="206" customFormat="1" ht="18" customHeight="1">
      <c r="A2" s="207" t="s">
        <v>1114</v>
      </c>
      <c r="B2" s="208">
        <f ca="1">IF(D2="——",C52,C52-E2)</f>
        <v>14978</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ROUND(B2*10000/(IF(B1="",'数据-汇总表'!E3,INDIRECT("'数据-取费表'!k"&amp;$G$1))),0)</f>
        <v>43647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7855</v>
      </c>
      <c r="D5" s="217" t="s">
        <v>1910</v>
      </c>
      <c r="E5" s="218" t="s">
        <v>1911</v>
      </c>
      <c r="F5" s="218" t="s">
        <v>1912</v>
      </c>
      <c r="G5" s="219"/>
    </row>
    <row r="6" spans="1:9" s="220" customFormat="1" ht="13.5" customHeight="1">
      <c r="A6" s="866" t="s">
        <v>610</v>
      </c>
      <c r="B6" s="221" t="s">
        <v>1914</v>
      </c>
      <c r="C6" s="222">
        <f>'[4]基准地价修正(商业)'!$B$2</f>
        <v>7556</v>
      </c>
      <c r="D6" s="223"/>
      <c r="E6" s="224"/>
      <c r="F6" s="224"/>
      <c r="G6" s="225"/>
    </row>
    <row r="7" spans="1:9" s="220" customFormat="1" ht="13.5" customHeight="1">
      <c r="A7" s="866" t="s">
        <v>611</v>
      </c>
      <c r="B7" s="221" t="s">
        <v>1916</v>
      </c>
      <c r="C7" s="226">
        <f>ROUND(C6*F7,0)</f>
        <v>230</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69</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69</v>
      </c>
      <c r="D10" s="934">
        <f ca="1">IF(B1="",'数据-汇总表'!E6,IF(INDIRECT("'数据-取费表'!c"&amp;$G$1)="住宅",INDIRECT("'数据-取费表'!s"&amp;$G$1),INDIRECT("'数据-取费表'!k"&amp;$G$1)+INDIRECT("'数据-取费表'!s"&amp;$G$1)))</f>
        <v>3431.64</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3431.64</v>
      </c>
      <c r="E19" s="217">
        <f>'数据-取费表'!B31</f>
        <v>200</v>
      </c>
      <c r="F19" s="237"/>
      <c r="G19" s="1991" t="s">
        <v>3741</v>
      </c>
    </row>
    <row r="20" spans="1:7" s="220" customFormat="1" ht="13.5" customHeight="1">
      <c r="A20" s="261" t="s">
        <v>1934</v>
      </c>
      <c r="B20" s="216" t="s">
        <v>1935</v>
      </c>
      <c r="C20" s="238">
        <f ca="1">ROUND((C5+C19)*F20,0)</f>
        <v>157</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1042</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1032</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10</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2003</v>
      </c>
      <c r="D27" s="241">
        <f ca="1">C29</f>
        <v>5.0000000000000001E-3</v>
      </c>
      <c r="E27" s="242" t="s">
        <v>1939</v>
      </c>
      <c r="F27" s="252">
        <f ca="1">IF(B1="",'数据-取费表'!Q16,INDIRECT("'数据-取费表'!q"&amp;$G$1))</f>
        <v>0.25</v>
      </c>
      <c r="G27" s="253" t="s">
        <v>1956</v>
      </c>
    </row>
    <row r="28" spans="1:7" s="220" customFormat="1" ht="13.5" customHeight="1">
      <c r="A28" s="868" t="s">
        <v>610</v>
      </c>
      <c r="B28" s="254" t="s">
        <v>1957</v>
      </c>
      <c r="C28" s="255">
        <f ca="1">ROUND((C5+C19+C20)*F27*'数据-取费表'!B21/'数据-取费表'!B20,0)</f>
        <v>2003</v>
      </c>
      <c r="D28" s="241"/>
      <c r="E28" s="242"/>
      <c r="F28" s="252"/>
      <c r="G28" s="253"/>
    </row>
    <row r="29" spans="1:7" s="220" customFormat="1" ht="13.5" customHeight="1">
      <c r="A29" s="868" t="s">
        <v>611</v>
      </c>
      <c r="B29" s="254" t="s">
        <v>1958</v>
      </c>
      <c r="C29" s="244">
        <f ca="1">ROUND(C21*F27*'数据-取费表'!B21/'数据-取费表'!B20,4)</f>
        <v>5.0000000000000001E-3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12013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2078</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1887</v>
      </c>
      <c r="D34" s="223"/>
      <c r="E34" s="226"/>
      <c r="F34" s="263">
        <f ca="1">IF('数据-取费表'!B24=0,1,IF(B1="",'数据-取费表'!N16,INDIRECT("'数据-取费表'!n"&amp;$G$1)))</f>
        <v>1</v>
      </c>
      <c r="G34" s="225" t="s">
        <v>1967</v>
      </c>
    </row>
    <row r="35" spans="1:7" ht="13.5" customHeight="1">
      <c r="A35" s="868" t="s">
        <v>615</v>
      </c>
      <c r="B35" s="221" t="s">
        <v>1968</v>
      </c>
      <c r="C35" s="226">
        <f ca="1">ROUND(C34*F35,0)</f>
        <v>94</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69</v>
      </c>
      <c r="D37" s="223">
        <f ca="1">D19</f>
        <v>3431.64</v>
      </c>
      <c r="E37" s="255">
        <f>'数据-取费表'!B35</f>
        <v>200</v>
      </c>
      <c r="F37" s="265"/>
      <c r="G37" s="267" t="s">
        <v>1973</v>
      </c>
    </row>
    <row r="38" spans="1:7" ht="13.5" customHeight="1">
      <c r="A38" s="868" t="s">
        <v>618</v>
      </c>
      <c r="B38" s="221" t="s">
        <v>1974</v>
      </c>
      <c r="C38" s="226">
        <f ca="1">ROUND(C34*F38,0)</f>
        <v>28</v>
      </c>
      <c r="D38" s="226"/>
      <c r="E38" s="226"/>
      <c r="F38" s="265">
        <f>'数据-取费表'!B36</f>
        <v>1.4999999999999999E-2</v>
      </c>
      <c r="G38" s="225" t="s">
        <v>1969</v>
      </c>
    </row>
    <row r="39" spans="1:7" s="220" customFormat="1" ht="13.5" customHeight="1">
      <c r="A39" s="261" t="s">
        <v>1932</v>
      </c>
      <c r="B39" s="216" t="s">
        <v>1935</v>
      </c>
      <c r="C39" s="238">
        <f ca="1">ROUND(C33*F20,0)</f>
        <v>42</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135</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132</v>
      </c>
      <c r="D42" s="244"/>
      <c r="E42" s="244"/>
      <c r="F42" s="245"/>
      <c r="G42" s="3371" t="s">
        <v>1985</v>
      </c>
    </row>
    <row r="43" spans="1:7" ht="13.5" customHeight="1">
      <c r="A43" s="868" t="s">
        <v>611</v>
      </c>
      <c r="B43" s="221" t="s">
        <v>1947</v>
      </c>
      <c r="C43" s="244">
        <f ca="1">ROUND(IF('数据-取费表'!B22&lt;=1,C39*F22*'数据-取费表'!B21/2,C39*(POWER((1+F22),'数据-取费表'!B21/2)-1)),0)</f>
        <v>3</v>
      </c>
      <c r="D43" s="244"/>
      <c r="E43" s="244"/>
      <c r="F43" s="245"/>
      <c r="G43" s="3372"/>
    </row>
    <row r="44" spans="1:7" ht="13.5" customHeight="1">
      <c r="A44" s="868" t="s">
        <v>612</v>
      </c>
      <c r="B44" s="221" t="s">
        <v>1950</v>
      </c>
      <c r="C44" s="244">
        <f ca="1">ROUND(IF('数据-取费表'!B22&lt;=1,C40*F22*'数据-取费表'!B21/2,C40*(POWER((1+F22),'数据-取费表'!B21/2)-1)),4)</f>
        <v>1.2999999999999999E-3</v>
      </c>
      <c r="D44" s="244"/>
      <c r="E44" s="244"/>
      <c r="F44" s="245"/>
      <c r="G44" s="3373"/>
    </row>
    <row r="45" spans="1:7" s="220" customFormat="1" ht="13.5" customHeight="1">
      <c r="A45" s="261" t="s">
        <v>1941</v>
      </c>
      <c r="B45" s="250" t="s">
        <v>1954</v>
      </c>
      <c r="C45" s="251">
        <f ca="1">C46</f>
        <v>530</v>
      </c>
      <c r="D45" s="241">
        <f ca="1">C47</f>
        <v>5.0000000000000001E-3</v>
      </c>
      <c r="E45" s="242" t="s">
        <v>1980</v>
      </c>
      <c r="F45" s="2486">
        <f ca="1">F27</f>
        <v>0.25</v>
      </c>
      <c r="G45" s="253" t="s">
        <v>1989</v>
      </c>
    </row>
    <row r="46" spans="1:7" s="220" customFormat="1" ht="13.5" customHeight="1">
      <c r="A46" s="868" t="s">
        <v>610</v>
      </c>
      <c r="B46" s="254" t="s">
        <v>1990</v>
      </c>
      <c r="C46" s="255">
        <f ca="1">ROUND((C33+C39)*F27,0)</f>
        <v>530</v>
      </c>
      <c r="D46" s="269"/>
      <c r="E46" s="242"/>
      <c r="F46" s="252"/>
      <c r="G46" s="253"/>
    </row>
    <row r="47" spans="1:7" s="220" customFormat="1" ht="13.5" customHeight="1">
      <c r="A47" s="868" t="s">
        <v>611</v>
      </c>
      <c r="B47" s="254" t="s">
        <v>1991</v>
      </c>
      <c r="C47" s="244">
        <f ca="1">ROUND(C40*F27,4)</f>
        <v>5.0000000000000001E-3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3026</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2965</v>
      </c>
      <c r="D51" s="238"/>
      <c r="E51" s="238"/>
      <c r="F51" s="270"/>
      <c r="G51" s="240" t="s">
        <v>2001</v>
      </c>
    </row>
    <row r="52" spans="1:7" s="214" customFormat="1" ht="16.5" thickBot="1">
      <c r="A52" s="271" t="s">
        <v>2002</v>
      </c>
      <c r="B52" s="272"/>
      <c r="C52" s="273">
        <f ca="1">C31+C51</f>
        <v>14978</v>
      </c>
      <c r="D52" s="272"/>
      <c r="E52" s="272"/>
      <c r="F52" s="272"/>
      <c r="G52" s="274"/>
    </row>
    <row r="55" spans="1:7" ht="15.5">
      <c r="B55" s="276" t="s">
        <v>2003</v>
      </c>
      <c r="C55" s="277"/>
    </row>
    <row r="56" spans="1:7" ht="13">
      <c r="B56" s="279" t="s">
        <v>1233</v>
      </c>
      <c r="C56" s="281">
        <f ca="1">1-C57</f>
        <v>0.80200000000000005</v>
      </c>
    </row>
    <row r="57" spans="1:7" ht="13">
      <c r="B57" s="279" t="s">
        <v>1234</v>
      </c>
      <c r="C57" s="280">
        <f ca="1">ROUND(C51/C52,3)</f>
        <v>0.19800000000000001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D00-000000000000}">
      <formula1>"需扣减承租人权益,——"</formula1>
    </dataValidation>
    <dataValidation type="list" allowBlank="1" showInputMessage="1" showErrorMessage="1" sqref="G2" xr:uid="{00000000-0002-0000-1D00-000001000000}">
      <formula1>估价方法</formula1>
    </dataValidation>
    <dataValidation type="list" allowBlank="1" showInputMessage="1" showErrorMessage="1" sqref="G9" xr:uid="{00000000-0002-0000-1D00-000002000000}">
      <formula1>"部分缴纳,全部缴纳"</formula1>
    </dataValidation>
    <dataValidation type="list" allowBlank="1" showInputMessage="1" showErrorMessage="1" sqref="B1" xr:uid="{00000000-0002-0000-1D00-000003000000}">
      <formula1>项目类型</formula1>
    </dataValidation>
    <dataValidation type="list" allowBlank="1" showInputMessage="1" showErrorMessage="1" sqref="G19" xr:uid="{00000000-0002-0000-1D00-000004000000}">
      <formula1>"已包含在土地取得成本中,未包含在土地取得成本中"</formula1>
    </dataValidation>
    <dataValidation type="list" allowBlank="1" showInputMessage="1" showErrorMessage="1" sqref="G8" xr:uid="{00000000-0002-0000-1D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0.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c r="D1" s="1496"/>
      <c r="E1" s="1497" t="s">
        <v>1107</v>
      </c>
      <c r="F1" s="1173">
        <f ca="1">J53</f>
        <v>0</v>
      </c>
      <c r="G1" s="1512">
        <f>MATCH(C1,'数据-取费表'!A6:A16,0)+5</f>
        <v>10</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1310</v>
      </c>
      <c r="B2" s="1520" t="e">
        <f ca="1">ROUND(D2/10000,0)</f>
        <v>#DIV/0!</v>
      </c>
      <c r="C2" s="1521" t="s">
        <v>1311</v>
      </c>
      <c r="D2" s="1605" t="e">
        <f ca="1">C40+J29+L46</f>
        <v>#DIV/0!</v>
      </c>
      <c r="E2" s="1522" t="s">
        <v>1312</v>
      </c>
      <c r="F2" s="1523"/>
      <c r="G2" s="2880"/>
      <c r="H2" s="2869"/>
      <c r="I2" s="2869"/>
      <c r="J2" s="2869"/>
      <c r="K2" s="2870"/>
      <c r="L2" s="2869"/>
      <c r="M2" s="2869"/>
    </row>
    <row r="3" spans="1:37" ht="18" customHeight="1" thickBot="1">
      <c r="A3" s="1524" t="s">
        <v>1313</v>
      </c>
      <c r="B3" s="1525">
        <f ca="1">IF(ISERROR(D2/F43),0,ROUND(D2/F43,0))</f>
        <v>0</v>
      </c>
      <c r="C3" s="1521" t="s">
        <v>1314</v>
      </c>
      <c r="D3" s="1521"/>
      <c r="E3" s="1522"/>
      <c r="F3" s="1523"/>
      <c r="G3" s="2880"/>
      <c r="H3" s="692" t="s">
        <v>1308</v>
      </c>
      <c r="I3" s="1516"/>
      <c r="J3" s="1516"/>
      <c r="K3" s="1517"/>
      <c r="L3" s="1516"/>
      <c r="M3" s="1516"/>
    </row>
    <row r="4" spans="1:37" ht="18" customHeight="1">
      <c r="A4" s="301" t="s">
        <v>1315</v>
      </c>
      <c r="B4" s="302" t="s">
        <v>1316</v>
      </c>
      <c r="C4" s="302" t="s">
        <v>1317</v>
      </c>
      <c r="D4" s="302" t="s">
        <v>1318</v>
      </c>
      <c r="E4" s="303" t="s">
        <v>1319</v>
      </c>
      <c r="F4" s="304"/>
      <c r="G4" s="1518"/>
      <c r="H4" s="301" t="s">
        <v>1315</v>
      </c>
      <c r="I4" s="302" t="s">
        <v>1316</v>
      </c>
      <c r="J4" s="302" t="s">
        <v>1317</v>
      </c>
      <c r="K4" s="302" t="s">
        <v>1318</v>
      </c>
      <c r="L4" s="303" t="s">
        <v>1319</v>
      </c>
      <c r="M4" s="304"/>
    </row>
    <row r="5" spans="1:37" ht="18" customHeight="1">
      <c r="A5" s="305">
        <v>1</v>
      </c>
      <c r="B5" s="306" t="s">
        <v>1320</v>
      </c>
      <c r="C5" s="1182">
        <f ca="1">C6+C10+C12</f>
        <v>0</v>
      </c>
      <c r="D5" s="1498" t="s">
        <v>1321</v>
      </c>
      <c r="E5" s="1183"/>
      <c r="F5" s="1184"/>
      <c r="G5" s="1518"/>
      <c r="H5" s="305">
        <v>1</v>
      </c>
      <c r="I5" s="306" t="s">
        <v>1320</v>
      </c>
      <c r="J5" s="1182">
        <f ca="1">J6+J10+J12</f>
        <v>0</v>
      </c>
      <c r="K5" s="1498" t="s">
        <v>1321</v>
      </c>
      <c r="L5" s="1183"/>
      <c r="M5" s="1184"/>
    </row>
    <row r="6" spans="1:37" ht="18" customHeight="1">
      <c r="A6" s="1181" t="s">
        <v>822</v>
      </c>
      <c r="B6" s="3591" t="s">
        <v>1123</v>
      </c>
      <c r="C6" s="1186">
        <f ca="1">ROUND(F6*F8*F7*(1-F9),0)</f>
        <v>0</v>
      </c>
      <c r="D6" s="160" t="s">
        <v>2602</v>
      </c>
      <c r="E6" s="308" t="s">
        <v>1125</v>
      </c>
      <c r="F6" s="309">
        <f ca="1">INDIRECT("'数据-取费表'!u"&amp;$G$1)</f>
        <v>0</v>
      </c>
      <c r="G6" s="1518"/>
      <c r="H6" s="1181" t="s">
        <v>822</v>
      </c>
      <c r="I6" s="3591" t="s">
        <v>1123</v>
      </c>
      <c r="J6" s="307">
        <f ca="1">ROUND(M6*M8*M7*(1-M9),0)</f>
        <v>0</v>
      </c>
      <c r="K6" s="1510" t="s">
        <v>2603</v>
      </c>
      <c r="L6" s="308" t="s">
        <v>1125</v>
      </c>
      <c r="M6" s="309">
        <f ca="1">INDIRECT("'数据-取费表'!z"&amp;$G$1)</f>
        <v>0</v>
      </c>
    </row>
    <row r="7" spans="1:37" ht="18" customHeight="1">
      <c r="A7" s="1185"/>
      <c r="B7" s="3592"/>
      <c r="C7" s="1187"/>
      <c r="D7" s="313"/>
      <c r="E7" s="1188" t="s">
        <v>1126</v>
      </c>
      <c r="F7" s="309">
        <f ca="1">IF(INDIRECT("'数据-取费表'!ah"&amp;$G$1)="",INDIRECT("'数据-取费表'!k"&amp;$G$1),INDIRECT("'数据-取费表'!ah"&amp;$G$1))</f>
        <v>0</v>
      </c>
      <c r="G7" s="1518"/>
      <c r="H7" s="310"/>
      <c r="I7" s="3592"/>
      <c r="J7" s="312"/>
      <c r="K7" s="313"/>
      <c r="L7" s="308" t="s">
        <v>1126</v>
      </c>
      <c r="M7" s="309">
        <f ca="1">F7</f>
        <v>0</v>
      </c>
    </row>
    <row r="8" spans="1:37" ht="18" customHeight="1">
      <c r="A8" s="310"/>
      <c r="B8" s="3592"/>
      <c r="C8" s="312"/>
      <c r="D8" s="313"/>
      <c r="E8" s="308" t="s">
        <v>1127</v>
      </c>
      <c r="F8" s="309">
        <f ca="1">INDIRECT("'数据-取费表'!ai"&amp;$G$1)</f>
        <v>0</v>
      </c>
      <c r="G8" s="1518"/>
      <c r="H8" s="310"/>
      <c r="I8" s="3592"/>
      <c r="J8" s="312"/>
      <c r="K8" s="313"/>
      <c r="L8" s="308" t="s">
        <v>1127</v>
      </c>
      <c r="M8" s="309">
        <f ca="1">INDIRECT("'数据-取费表'!ai"&amp;$G$1)</f>
        <v>0</v>
      </c>
    </row>
    <row r="9" spans="1:37" ht="18" customHeight="1">
      <c r="A9" s="310"/>
      <c r="B9" s="3593"/>
      <c r="C9" s="312"/>
      <c r="D9" s="313"/>
      <c r="E9" s="308" t="s">
        <v>1128</v>
      </c>
      <c r="F9" s="318">
        <f ca="1">INDIRECT("'数据-取费表'!w"&amp;$G$1)</f>
        <v>0</v>
      </c>
      <c r="G9" s="1518"/>
      <c r="H9" s="310"/>
      <c r="I9" s="3593"/>
      <c r="J9" s="312"/>
      <c r="K9" s="313"/>
      <c r="L9" s="319" t="s">
        <v>1128</v>
      </c>
      <c r="M9" s="320">
        <f ca="1">INDIRECT("'数据-取费表'!ab"&amp;$G$1)</f>
        <v>0</v>
      </c>
    </row>
    <row r="10" spans="1:37" ht="18" customHeight="1">
      <c r="A10" s="1181" t="s">
        <v>826</v>
      </c>
      <c r="B10" s="1499" t="s">
        <v>1129</v>
      </c>
      <c r="C10" s="322">
        <f ca="1">ROUND(IF(F10="押一",C6/12*F11,IF(F10="押二",C6/12*2*F11,IF(F10="押三",C6/12*3*F11,C11*F11))),0)</f>
        <v>0</v>
      </c>
      <c r="D10" s="1500" t="s">
        <v>2612</v>
      </c>
      <c r="E10" s="319" t="s">
        <v>1130</v>
      </c>
      <c r="F10" s="1228"/>
      <c r="G10" s="1518"/>
      <c r="H10" s="1181" t="s">
        <v>826</v>
      </c>
      <c r="I10" s="1499" t="s">
        <v>1129</v>
      </c>
      <c r="J10" s="307">
        <f ca="1">ROUND(IF(M10="押一",J6/12*M11,IF(M10="押二",J6/12*2*M11,IF(M10="押三",J6/12*3*M11,J11*M11))),0)</f>
        <v>0</v>
      </c>
      <c r="K10" s="1511" t="s">
        <v>2614</v>
      </c>
      <c r="L10" s="319" t="s">
        <v>1130</v>
      </c>
      <c r="M10" s="1228"/>
    </row>
    <row r="11" spans="1:37" ht="18" customHeight="1">
      <c r="A11" s="314"/>
      <c r="B11" s="1501" t="s">
        <v>1322</v>
      </c>
      <c r="C11" s="1070"/>
      <c r="D11" s="313"/>
      <c r="E11" s="319" t="s">
        <v>1132</v>
      </c>
      <c r="F11" s="320">
        <f ca="1">'数据-取费表'!B39</f>
        <v>1.4999999999999999E-2</v>
      </c>
      <c r="G11" s="1518"/>
      <c r="H11" s="1189"/>
      <c r="I11" s="1501" t="s">
        <v>1323</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0</v>
      </c>
      <c r="D13" s="1193" t="s">
        <v>1135</v>
      </c>
      <c r="E13" s="1193" t="s">
        <v>1136</v>
      </c>
      <c r="F13" s="1194">
        <f ca="1">INDIRECT("'数据-取费表'!y"&amp;$G$1)</f>
        <v>0</v>
      </c>
      <c r="G13" s="1518"/>
      <c r="H13" s="1191">
        <v>2</v>
      </c>
      <c r="I13" s="1192" t="s">
        <v>1134</v>
      </c>
      <c r="J13" s="1180">
        <f ca="1">ROUND(J14*J15,0)</f>
        <v>0</v>
      </c>
      <c r="K13" s="1199" t="s">
        <v>1135</v>
      </c>
      <c r="L13" s="1526"/>
      <c r="M13" s="1527"/>
    </row>
    <row r="14" spans="1:37" ht="18" customHeight="1">
      <c r="A14" s="1093" t="s">
        <v>821</v>
      </c>
      <c r="B14" s="308" t="s">
        <v>1137</v>
      </c>
      <c r="C14" s="324">
        <f ca="1">ROUND(INDIRECT("'数据-取费表'!l"&amp;$G$1)*F43+'数据-取费表'!L14*INDIRECT("'数据-取费表'!S"&amp;$G$1),0)</f>
        <v>0</v>
      </c>
      <c r="D14" s="1479" t="s">
        <v>1138</v>
      </c>
      <c r="E14" s="1476"/>
      <c r="F14" s="325"/>
      <c r="G14" s="1518"/>
      <c r="H14" s="1093" t="s">
        <v>822</v>
      </c>
      <c r="I14" s="308" t="s">
        <v>1139</v>
      </c>
      <c r="J14" s="24">
        <f ca="1">C29</f>
        <v>0</v>
      </c>
      <c r="K14" s="15"/>
      <c r="L14" s="896"/>
      <c r="M14" s="897"/>
    </row>
    <row r="15" spans="1:37" s="1531" customFormat="1" ht="18" customHeight="1" thickBot="1">
      <c r="A15" s="1093" t="s">
        <v>823</v>
      </c>
      <c r="B15" s="308" t="s">
        <v>1140</v>
      </c>
      <c r="C15" s="24">
        <f ca="1">ROUND(C14*F15,0)</f>
        <v>0</v>
      </c>
      <c r="D15" s="326" t="s">
        <v>1141</v>
      </c>
      <c r="E15" s="326"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ROUND(INDIRECT("'数据-取费表'!l"&amp;$G$1)*F43*F16,0)</f>
        <v>0</v>
      </c>
      <c r="D16" s="308" t="s">
        <v>1141</v>
      </c>
      <c r="E16" s="308" t="s">
        <v>1142</v>
      </c>
      <c r="F16" s="328">
        <f ca="1">IF(INDIRECT("'数据-取费表'!c"&amp;$G$1)="住宅",'数据-取费表'!B34,0)</f>
        <v>0</v>
      </c>
      <c r="G16" s="1518"/>
      <c r="H16" s="1191" t="s">
        <v>817</v>
      </c>
      <c r="I16" s="1192" t="s">
        <v>1144</v>
      </c>
      <c r="J16" s="316">
        <f ca="1">ROUND(J17+J22+J23+J24,0)</f>
        <v>0</v>
      </c>
      <c r="K16" s="1199" t="s">
        <v>1145</v>
      </c>
      <c r="L16" s="1200"/>
      <c r="M16" s="1184"/>
    </row>
    <row r="17" spans="1:37" s="1531" customFormat="1" ht="18" customHeight="1">
      <c r="A17" s="1093" t="s">
        <v>1110</v>
      </c>
      <c r="B17" s="308" t="s">
        <v>1146</v>
      </c>
      <c r="C17" s="24">
        <f ca="1">ROUND(F17*(F43+INDIRECT("'数据-取费表'!S"&amp;$G$1)),0)</f>
        <v>0</v>
      </c>
      <c r="D17" s="308" t="s">
        <v>1147</v>
      </c>
      <c r="E17" s="308" t="s">
        <v>1148</v>
      </c>
      <c r="F17" s="26">
        <f>'数据-取费表'!B35</f>
        <v>200</v>
      </c>
      <c r="G17" s="1530"/>
      <c r="H17" s="1093" t="s">
        <v>822</v>
      </c>
      <c r="I17" s="308" t="s">
        <v>1149</v>
      </c>
      <c r="J17" s="2483">
        <f ca="1">ROUND(IF(AND(项目基本情况!B11="自然人",项目基本情况!B10="北京市"),J6*M17/(1+'数据-取费表'!C42),J18+J19+J20),0)</f>
        <v>0</v>
      </c>
      <c r="K17" s="1479" t="s">
        <v>1150</v>
      </c>
      <c r="L17" s="1478"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0</v>
      </c>
      <c r="D18" s="308" t="s">
        <v>1141</v>
      </c>
      <c r="E18" s="308" t="s">
        <v>1142</v>
      </c>
      <c r="F18" s="328">
        <f>'数据-取费表'!B36</f>
        <v>1.4999999999999999E-2</v>
      </c>
      <c r="G18" s="1530"/>
      <c r="H18" s="1093" t="s">
        <v>821</v>
      </c>
      <c r="I18" s="308" t="s">
        <v>1153</v>
      </c>
      <c r="J18" s="24">
        <f ca="1">ROUND(J6*M18/(1+'数据-取费表'!C42),0)</f>
        <v>0</v>
      </c>
      <c r="K18" s="1478"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0</v>
      </c>
      <c r="D19" s="136" t="s">
        <v>1156</v>
      </c>
      <c r="E19" s="1494"/>
      <c r="F19" s="26"/>
      <c r="G19" s="1518"/>
      <c r="H19" s="1093" t="s">
        <v>823</v>
      </c>
      <c r="I19" s="308" t="s">
        <v>1157</v>
      </c>
      <c r="J19" s="24">
        <f ca="1">IF(K19="按租金收入计税",ROUND(J6*M19/(1+'数据-取费表'!C42),0),ROUND(C29*M19*0.7,0))</f>
        <v>0</v>
      </c>
      <c r="K19" s="1504" t="s">
        <v>1158</v>
      </c>
      <c r="L19" s="308" t="s">
        <v>1142</v>
      </c>
      <c r="M19" s="328">
        <f>IF(K19="按租金收入计税",'数据-取费表'!B51,'数据-取费表'!B50)</f>
        <v>1.2E-2</v>
      </c>
    </row>
    <row r="20" spans="1:37" s="1531" customFormat="1" ht="18" customHeight="1">
      <c r="A20" s="1093" t="s">
        <v>826</v>
      </c>
      <c r="B20" s="308" t="s">
        <v>1159</v>
      </c>
      <c r="C20" s="24">
        <f ca="1">ROUND(C19*F20,0)</f>
        <v>0</v>
      </c>
      <c r="D20" s="329" t="s">
        <v>1160</v>
      </c>
      <c r="E20" s="308" t="s">
        <v>1142</v>
      </c>
      <c r="F20" s="328">
        <f>'数据-取费表'!B37</f>
        <v>0.02</v>
      </c>
      <c r="G20" s="1530"/>
      <c r="H20" s="1093" t="s">
        <v>1109</v>
      </c>
      <c r="I20" s="160" t="s">
        <v>1161</v>
      </c>
      <c r="J20" s="25">
        <f ca="1">ROUND(M20*M21,0)</f>
        <v>0</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1494"/>
      <c r="F22" s="26"/>
      <c r="G22" s="1518"/>
      <c r="H22" s="1093" t="s">
        <v>826</v>
      </c>
      <c r="I22" s="308" t="s">
        <v>1169</v>
      </c>
      <c r="J22" s="24">
        <f ca="1">ROUND(J14*M22,0)</f>
        <v>0</v>
      </c>
      <c r="K22" s="1478" t="s">
        <v>1170</v>
      </c>
      <c r="L22" s="308" t="s">
        <v>1142</v>
      </c>
      <c r="M22" s="334">
        <f ca="1">INDIRECT("'数据-取费表'!Ak"&amp;$G$1)</f>
        <v>0</v>
      </c>
    </row>
    <row r="23" spans="1:37" s="1531" customFormat="1" ht="18" customHeight="1">
      <c r="A23" s="1093"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ROUND(J13*M23,0)</f>
        <v>0</v>
      </c>
      <c r="K23" s="1478" t="s">
        <v>1174</v>
      </c>
      <c r="L23" s="308" t="s">
        <v>1175</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1176</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1113</v>
      </c>
      <c r="I24" s="1202" t="s">
        <v>1159</v>
      </c>
      <c r="J24" s="1203">
        <f ca="1">ROUND(J5*M24,0)</f>
        <v>0</v>
      </c>
      <c r="K24" s="1204" t="s">
        <v>1179</v>
      </c>
      <c r="L24" s="1202" t="s">
        <v>1175</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1180</v>
      </c>
      <c r="B25" s="308" t="s">
        <v>1181</v>
      </c>
      <c r="C25" s="24"/>
      <c r="D25" s="136" t="s">
        <v>1182</v>
      </c>
      <c r="E25" s="1494"/>
      <c r="F25" s="26"/>
      <c r="G25" s="1518"/>
      <c r="H25" s="1191" t="s">
        <v>818</v>
      </c>
      <c r="I25" s="1206" t="s">
        <v>1183</v>
      </c>
      <c r="J25" s="316">
        <f ca="1">J5-J16</f>
        <v>0</v>
      </c>
      <c r="K25" s="1207" t="s">
        <v>1184</v>
      </c>
      <c r="L25" s="1208"/>
      <c r="M25" s="1209"/>
    </row>
    <row r="26" spans="1:37" ht="18" customHeight="1">
      <c r="A26" s="1093" t="s">
        <v>821</v>
      </c>
      <c r="B26" s="308" t="s">
        <v>1185</v>
      </c>
      <c r="C26" s="24">
        <f ca="1">ROUND((C19+C20)*F26,0)</f>
        <v>0</v>
      </c>
      <c r="D26" s="329" t="s">
        <v>1186</v>
      </c>
      <c r="E26" s="319" t="s">
        <v>1187</v>
      </c>
      <c r="F26" s="318">
        <f ca="1">INDIRECT("'数据-取费表'!q"&amp;$G$1)</f>
        <v>0</v>
      </c>
      <c r="G26" s="1518"/>
      <c r="H26" s="305" t="s">
        <v>819</v>
      </c>
      <c r="I26" s="306" t="s">
        <v>1188</v>
      </c>
      <c r="J26" s="307">
        <f ca="1">IF(J5&lt;&gt;0,ROUND(J25*(1-((1+M28)/(1+M26))^M27)/(M26-M28),0),0)</f>
        <v>0</v>
      </c>
      <c r="K26" s="330" t="s">
        <v>1189</v>
      </c>
      <c r="L26" s="308" t="s">
        <v>1190</v>
      </c>
      <c r="M26" s="318">
        <f ca="1">INDIRECT("'数据-取费表'!I"&amp;$G$1)</f>
        <v>0</v>
      </c>
    </row>
    <row r="27" spans="1:37" ht="18" customHeight="1">
      <c r="A27" s="1093" t="s">
        <v>823</v>
      </c>
      <c r="B27" s="308" t="s">
        <v>1191</v>
      </c>
      <c r="C27" s="24">
        <f ca="1">ROUND(F21*F26,4)</f>
        <v>0</v>
      </c>
      <c r="D27" s="329" t="s">
        <v>1192</v>
      </c>
      <c r="E27" s="326"/>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0</v>
      </c>
      <c r="D29" s="1204"/>
      <c r="E29" s="1202"/>
      <c r="F29" s="1205"/>
      <c r="G29" s="1530"/>
      <c r="H29" s="340" t="s">
        <v>820</v>
      </c>
      <c r="I29" s="341" t="s">
        <v>1199</v>
      </c>
      <c r="J29" s="342">
        <f ca="1">ROUND(J26/(1+F40)^F41,0)</f>
        <v>0</v>
      </c>
      <c r="K29" s="343" t="s">
        <v>1200</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0</v>
      </c>
      <c r="D30" s="1199" t="s">
        <v>1145</v>
      </c>
      <c r="E30" s="120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0</v>
      </c>
      <c r="D31" s="1479" t="s">
        <v>1150</v>
      </c>
      <c r="E31" s="1478"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IF(项目基本情况!B11="自然人","——",ROUND(C6*F32/(1+'数据-取费表'!C42),0))</f>
        <v>0</v>
      </c>
      <c r="D32" s="1478"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IF(项目基本情况!B11="自然人","——",IF(D33="按租金收入计税",ROUND(C6*F33/(1+'数据-取费表'!C42),0),IF(D33="按房产原值计税",ROUND(C29*F33*0.7,0),INDIRECT("'数据-取费表'!Aj"&amp;$G$1))))</f>
        <v>0</v>
      </c>
      <c r="D33" s="1504" t="s">
        <v>1158</v>
      </c>
      <c r="E33" s="308" t="s">
        <v>1142</v>
      </c>
      <c r="F33" s="328">
        <f>IF(D33="按票据","——",IF(D33="按租金收入计税",'数据-取费表'!B51,'数据-取费表'!B50))</f>
        <v>1.2E-2</v>
      </c>
      <c r="G33" s="1518"/>
      <c r="H33" s="2874"/>
      <c r="I33" s="1532"/>
      <c r="J33" s="1533"/>
      <c r="K33" s="2875"/>
      <c r="L33" s="2874"/>
      <c r="M33" s="2874"/>
    </row>
    <row r="34" spans="1:18" ht="18" customHeight="1">
      <c r="A34" s="1181" t="s">
        <v>1109</v>
      </c>
      <c r="B34" s="160" t="s">
        <v>1161</v>
      </c>
      <c r="C34" s="25">
        <f ca="1">IF(项目基本情况!B11="自然人","——",ROUND(F34*F35,))</f>
        <v>0</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0</v>
      </c>
      <c r="G35" s="1518"/>
      <c r="H35" s="2871"/>
      <c r="I35" s="1532"/>
      <c r="J35" s="1533"/>
      <c r="K35" s="2875"/>
      <c r="L35" s="2874"/>
      <c r="M35" s="2874"/>
    </row>
    <row r="36" spans="1:18" ht="18" customHeight="1">
      <c r="A36" s="1214" t="s">
        <v>826</v>
      </c>
      <c r="B36" s="308" t="s">
        <v>1169</v>
      </c>
      <c r="C36" s="24">
        <f ca="1">ROUND(C29*F36,0)</f>
        <v>0</v>
      </c>
      <c r="D36" s="1478" t="s">
        <v>1202</v>
      </c>
      <c r="E36" s="308" t="s">
        <v>1142</v>
      </c>
      <c r="F36" s="334">
        <f ca="1">INDIRECT("'数据-取费表'!Ak"&amp;$G$1)</f>
        <v>0</v>
      </c>
      <c r="G36" s="1518"/>
      <c r="H36" s="2874"/>
      <c r="I36" s="1532"/>
      <c r="J36" s="1533"/>
      <c r="K36" s="2716"/>
      <c r="L36" s="2874"/>
      <c r="M36" s="2874"/>
    </row>
    <row r="37" spans="1:18" ht="18" customHeight="1">
      <c r="A37" s="1093" t="s">
        <v>862</v>
      </c>
      <c r="B37" s="308" t="s">
        <v>1173</v>
      </c>
      <c r="C37" s="24">
        <f ca="1">ROUND(C13*F37,0)</f>
        <v>0</v>
      </c>
      <c r="D37" s="1478" t="s">
        <v>1174</v>
      </c>
      <c r="E37" s="308" t="s">
        <v>1175</v>
      </c>
      <c r="F37" s="336">
        <f ca="1">INDIRECT("'数据-取费表'!Al"&amp;$G$1)</f>
        <v>0</v>
      </c>
      <c r="G37" s="1518"/>
      <c r="H37" s="2874"/>
      <c r="I37" s="1532"/>
      <c r="J37" s="1533"/>
      <c r="K37" s="2716"/>
      <c r="L37" s="2874"/>
      <c r="M37" s="2874"/>
    </row>
    <row r="38" spans="1:18" ht="18" customHeight="1" thickBot="1">
      <c r="A38" s="1201" t="s">
        <v>1113</v>
      </c>
      <c r="B38" s="1202" t="s">
        <v>1159</v>
      </c>
      <c r="C38" s="1203">
        <f ca="1">ROUND(C5*F38,1)</f>
        <v>0</v>
      </c>
      <c r="D38" s="1204" t="s">
        <v>1179</v>
      </c>
      <c r="E38" s="1202" t="s">
        <v>1175</v>
      </c>
      <c r="F38" s="1198">
        <f ca="1">INDIRECT("'数据-取费表'!Am"&amp;$G$1)</f>
        <v>0</v>
      </c>
      <c r="G38" s="1518"/>
      <c r="H38" s="2874"/>
      <c r="I38" s="1532"/>
      <c r="J38" s="1533"/>
      <c r="K38" s="2878"/>
      <c r="L38" s="2874"/>
      <c r="M38" s="2874"/>
    </row>
    <row r="39" spans="1:18" ht="24.65" customHeight="1" thickTop="1">
      <c r="A39" s="1191" t="s">
        <v>818</v>
      </c>
      <c r="B39" s="1206" t="s">
        <v>1203</v>
      </c>
      <c r="C39" s="316">
        <f ca="1">C5-C30</f>
        <v>0</v>
      </c>
      <c r="D39" s="1207" t="s">
        <v>1204</v>
      </c>
      <c r="E39" s="1208"/>
      <c r="F39" s="1209"/>
      <c r="G39" s="1518"/>
      <c r="H39" s="2874"/>
      <c r="I39" s="1532"/>
      <c r="J39" s="1533"/>
      <c r="K39" s="2878"/>
      <c r="L39" s="2874"/>
      <c r="M39" s="2874"/>
    </row>
    <row r="40" spans="1:18" ht="18" customHeight="1">
      <c r="A40" s="305" t="s">
        <v>819</v>
      </c>
      <c r="B40" s="306" t="s">
        <v>1205</v>
      </c>
      <c r="C40" s="307" t="e">
        <f ca="1">ROUND(C39*(1-((1+F42)/(1+F40))^F41)/(F40-F42),0)</f>
        <v>#DIV/0!</v>
      </c>
      <c r="D40" s="330" t="s">
        <v>1189</v>
      </c>
      <c r="E40" s="308" t="s">
        <v>1190</v>
      </c>
      <c r="F40" s="318">
        <f ca="1">INDIRECT("'数据-取费表'!I"&amp;$G$1)</f>
        <v>0</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1197</v>
      </c>
      <c r="F42" s="318">
        <f ca="1">INDIRECT("'数据-取费表'!v"&amp;$G$1)</f>
        <v>0</v>
      </c>
      <c r="G42" s="1518"/>
      <c r="H42" s="1305"/>
      <c r="I42" s="1532"/>
      <c r="J42" s="1533"/>
      <c r="K42" s="2716"/>
      <c r="L42" s="1305"/>
      <c r="M42" s="1305"/>
    </row>
    <row r="43" spans="1:18" ht="18" customHeight="1" thickBot="1">
      <c r="A43" s="340" t="s">
        <v>820</v>
      </c>
      <c r="B43" s="341" t="s">
        <v>1207</v>
      </c>
      <c r="C43" s="342" t="e">
        <f ca="1">ROUND(C40/F43,0)</f>
        <v>#DIV/0!</v>
      </c>
      <c r="D43" s="343" t="s">
        <v>1208</v>
      </c>
      <c r="E43" s="344" t="s">
        <v>1209</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1324</v>
      </c>
      <c r="E45" s="1534"/>
      <c r="F45" s="1534"/>
      <c r="O45" s="1537" t="s">
        <v>1239</v>
      </c>
      <c r="P45" s="1595"/>
      <c r="Q45" s="1595"/>
      <c r="R45" s="1595"/>
    </row>
    <row r="46" spans="1:18" s="1518" customFormat="1" ht="14" thickBot="1">
      <c r="A46" s="1538" t="s">
        <v>1240</v>
      </c>
      <c r="C46" s="1539" t="e">
        <f ca="1">ROUND(C45/10000,0)</f>
        <v>#DIV/0!</v>
      </c>
      <c r="D46" s="1540" t="str">
        <f>C2</f>
        <v>万元</v>
      </c>
      <c r="I46" s="1541" t="s">
        <v>1241</v>
      </c>
      <c r="J46" s="1542"/>
      <c r="K46" s="1543"/>
      <c r="L46" s="1544" t="e">
        <f ca="1">IF(M47="住宅",0,IF(L48&gt;J51,L60,J60))</f>
        <v>#DIV/0!</v>
      </c>
      <c r="O46" s="1545" t="s">
        <v>1242</v>
      </c>
      <c r="P46" s="1546" t="s">
        <v>1243</v>
      </c>
      <c r="Q46" s="1547" t="s">
        <v>1244</v>
      </c>
      <c r="R46" s="1547" t="s">
        <v>1245</v>
      </c>
    </row>
    <row r="47" spans="1:18" s="1518" customFormat="1" ht="13.5" thickBot="1">
      <c r="A47" s="1057" t="s">
        <v>1116</v>
      </c>
      <c r="B47" s="1089" t="s">
        <v>1117</v>
      </c>
      <c r="C47" s="1089" t="s">
        <v>1118</v>
      </c>
      <c r="D47" s="1089" t="s">
        <v>1119</v>
      </c>
      <c r="E47" s="1169" t="s">
        <v>1120</v>
      </c>
      <c r="F47" s="1170"/>
      <c r="G47" s="731"/>
      <c r="I47" s="1548" t="s">
        <v>1246</v>
      </c>
      <c r="J47" s="1549"/>
      <c r="K47" s="1550" t="s">
        <v>1247</v>
      </c>
      <c r="L47" s="1551">
        <f ca="1">INDIRECT("'数据-取费表'!d"&amp;$G$1)</f>
        <v>0</v>
      </c>
      <c r="M47" s="1514" t="str">
        <f>IF(ISNUMBER(FIND("住宅",C1)),"住宅","非住宅")</f>
        <v>非住宅</v>
      </c>
      <c r="O47" s="1552" t="s">
        <v>827</v>
      </c>
      <c r="P47" s="1553" t="s">
        <v>1248</v>
      </c>
      <c r="Q47" s="1554" t="e">
        <f ca="1">C40+J29</f>
        <v>#DIV/0!</v>
      </c>
      <c r="R47" s="1554" t="s">
        <v>1249</v>
      </c>
    </row>
    <row r="48" spans="1:18" s="1518" customFormat="1" ht="43.5" thickBot="1">
      <c r="A48" s="1222" t="s">
        <v>863</v>
      </c>
      <c r="B48" s="306" t="s">
        <v>1121</v>
      </c>
      <c r="C48" s="1493">
        <f ca="1">C49+C53+C55</f>
        <v>0</v>
      </c>
      <c r="D48" s="1224"/>
      <c r="E48" s="1225"/>
      <c r="F48" s="1073"/>
      <c r="G48" s="731"/>
      <c r="H48" s="732"/>
      <c r="I48" s="1555" t="s">
        <v>1250</v>
      </c>
      <c r="J48" s="1556"/>
      <c r="K48" s="1557" t="s">
        <v>1251</v>
      </c>
      <c r="L48" s="1558">
        <f ca="1">INDIRECT("'数据-取费表'!f"&amp;$G$1)</f>
        <v>0</v>
      </c>
      <c r="O48" s="1552" t="s">
        <v>828</v>
      </c>
      <c r="P48" s="1553" t="s">
        <v>1252</v>
      </c>
      <c r="Q48" s="1554" t="e">
        <f ca="1">J60</f>
        <v>#DIV/0!</v>
      </c>
      <c r="R48" s="1554" t="s">
        <v>1253</v>
      </c>
    </row>
    <row r="49" spans="1:18" s="1518" customFormat="1" ht="13.5" thickBot="1">
      <c r="A49" s="1086" t="s">
        <v>864</v>
      </c>
      <c r="B49" s="1505" t="s">
        <v>1210</v>
      </c>
      <c r="C49" s="1226">
        <f ca="1">ROUND(F49*F51*F50*(1-F52),0)</f>
        <v>0</v>
      </c>
      <c r="D49" s="1166" t="s">
        <v>1124</v>
      </c>
      <c r="E49" s="1506" t="s">
        <v>1211</v>
      </c>
      <c r="F49" s="1171"/>
      <c r="G49" s="1559"/>
      <c r="H49" s="732"/>
      <c r="I49" s="1555" t="s">
        <v>1254</v>
      </c>
      <c r="J49" s="1560"/>
      <c r="K49" s="1557" t="s">
        <v>1255</v>
      </c>
      <c r="L49" s="1561"/>
      <c r="O49" s="1562" t="s">
        <v>829</v>
      </c>
      <c r="P49" s="1553" t="s">
        <v>1256</v>
      </c>
      <c r="Q49" s="1554">
        <f ca="1">C29</f>
        <v>0</v>
      </c>
      <c r="R49" s="1554" t="s">
        <v>1249</v>
      </c>
    </row>
    <row r="50" spans="1:18" s="1518" customFormat="1" ht="13.5" thickBot="1">
      <c r="A50" s="1087"/>
      <c r="B50" s="1090"/>
      <c r="C50" s="1091"/>
      <c r="D50" s="1064"/>
      <c r="E50" s="1167" t="s">
        <v>1126</v>
      </c>
      <c r="F50" s="1168">
        <f ca="1">F7</f>
        <v>0</v>
      </c>
      <c r="H50" s="732"/>
      <c r="I50" s="1555" t="s">
        <v>1257</v>
      </c>
      <c r="J50" s="1563">
        <f>SUMPRODUCT((I63:I65=J47)*(J62:L62=J48)*(J63:L65))</f>
        <v>0</v>
      </c>
      <c r="K50" s="1557" t="s">
        <v>1258</v>
      </c>
      <c r="L50" s="1561"/>
      <c r="M50" s="1564"/>
      <c r="O50" s="1562" t="s">
        <v>830</v>
      </c>
      <c r="P50" s="1553" t="s">
        <v>1259</v>
      </c>
      <c r="Q50" s="1565" t="e">
        <f ca="1">J58</f>
        <v>#DIV/0!</v>
      </c>
      <c r="R50" s="1554"/>
    </row>
    <row r="51" spans="1:18" s="1518" customFormat="1" ht="13.5" thickBot="1">
      <c r="A51" s="1088"/>
      <c r="B51" s="1090"/>
      <c r="C51" s="1091"/>
      <c r="D51" s="1064"/>
      <c r="E51" s="1092" t="s">
        <v>1127</v>
      </c>
      <c r="F51" s="309">
        <f ca="1">F8</f>
        <v>0</v>
      </c>
      <c r="I51" s="1566" t="s">
        <v>1260</v>
      </c>
      <c r="J51" s="1567">
        <f>IF(J49="",J50,J49+J50-YEAR('数据-取费表'!B2))</f>
        <v>0</v>
      </c>
      <c r="K51" s="1568" t="s">
        <v>1261</v>
      </c>
      <c r="L51" s="1569">
        <f ca="1">ROUND(-PV(INDIRECT("'数据-取费表'!h"&amp;$G$1),J51,(C39-C13*C76),0),0)</f>
        <v>0</v>
      </c>
      <c r="M51" s="1570"/>
      <c r="O51" s="1562" t="s">
        <v>831</v>
      </c>
      <c r="P51" s="1553" t="s">
        <v>1262</v>
      </c>
      <c r="Q51" s="1565">
        <f>J52</f>
        <v>0</v>
      </c>
      <c r="R51" s="1554"/>
    </row>
    <row r="52" spans="1:18" s="1518" customFormat="1" ht="13.5" thickBot="1">
      <c r="A52" s="1088"/>
      <c r="B52" s="1090"/>
      <c r="C52" s="1091"/>
      <c r="D52" s="1064"/>
      <c r="E52" s="1092" t="s">
        <v>1128</v>
      </c>
      <c r="F52" s="1165"/>
      <c r="I52" s="1571" t="s">
        <v>1263</v>
      </c>
      <c r="J52" s="1572"/>
      <c r="K52" s="1571" t="s">
        <v>1264</v>
      </c>
      <c r="L52" s="1572"/>
      <c r="O52" s="1562" t="s">
        <v>832</v>
      </c>
      <c r="P52" s="1553" t="s">
        <v>1265</v>
      </c>
      <c r="Q52" s="1554">
        <f ca="1">J53</f>
        <v>0</v>
      </c>
      <c r="R52" s="1554" t="s">
        <v>1266</v>
      </c>
    </row>
    <row r="53" spans="1:18" s="1518" customFormat="1" ht="30.75" customHeight="1" thickBot="1">
      <c r="A53" s="1223" t="s">
        <v>865</v>
      </c>
      <c r="B53" s="329" t="s">
        <v>1129</v>
      </c>
      <c r="C53" s="322">
        <f ca="1">ROUND(IF(F53="押一",C49/12*F11,IF(F53="押二",C49/12*2*F11,IF(F53="押三",C49/12*3*F11,C54*F11))),0)</f>
        <v>0</v>
      </c>
      <c r="D53" s="1500" t="s">
        <v>2615</v>
      </c>
      <c r="E53" s="319" t="s">
        <v>1130</v>
      </c>
      <c r="F53" s="1228"/>
      <c r="I53" s="1573" t="s">
        <v>1267</v>
      </c>
      <c r="J53" s="2335">
        <f ca="1">IF(M47="住宅",IF(D1="——",MAX(J51,L48),MAX(J51,L48-'数据-取费表'!B24)),IF(D1="——",MIN(J51,L48),MIN(J51,L48-'数据-取费表'!B24)))</f>
        <v>0</v>
      </c>
      <c r="K53" s="3589" t="s">
        <v>1268</v>
      </c>
      <c r="L53" s="3590"/>
      <c r="O53" s="1552" t="s">
        <v>833</v>
      </c>
      <c r="P53" s="1553" t="s">
        <v>1269</v>
      </c>
      <c r="Q53" s="1554" t="e">
        <f ca="1">Q47+Q48</f>
        <v>#DIV/0!</v>
      </c>
      <c r="R53" s="1554" t="s">
        <v>834</v>
      </c>
    </row>
    <row r="54" spans="1:18" s="1518" customFormat="1" ht="13.5" thickBot="1">
      <c r="A54" s="1086"/>
      <c r="B54" s="1608" t="s">
        <v>1323</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1270</v>
      </c>
      <c r="P54" s="1515"/>
      <c r="Q54" s="1515"/>
      <c r="R54" s="1515"/>
    </row>
    <row r="55" spans="1:18" s="1518" customFormat="1" ht="13.5" thickBot="1">
      <c r="A55" s="1195" t="s">
        <v>862</v>
      </c>
      <c r="B55" s="1503" t="s">
        <v>1133</v>
      </c>
      <c r="C55" s="1196"/>
      <c r="D55" s="1500"/>
      <c r="E55" s="1508"/>
      <c r="F55" s="1574"/>
      <c r="I55" s="1577" t="s">
        <v>1271</v>
      </c>
      <c r="J55" s="1578" t="e">
        <f ca="1">ROUND(IF(J47="钢混",J57/J50,1-(1-2%)*(J50-J57)/J50),3)</f>
        <v>#DIV/0!</v>
      </c>
      <c r="K55" s="1579" t="s">
        <v>1272</v>
      </c>
      <c r="L55" s="1580"/>
      <c r="O55" s="1545" t="s">
        <v>1242</v>
      </c>
      <c r="P55" s="1546" t="s">
        <v>1243</v>
      </c>
      <c r="Q55" s="1547" t="s">
        <v>1244</v>
      </c>
      <c r="R55" s="1547" t="s">
        <v>1245</v>
      </c>
    </row>
    <row r="56" spans="1:18" s="1518" customFormat="1" ht="36" customHeight="1" thickTop="1" thickBot="1">
      <c r="A56" s="1068">
        <v>2</v>
      </c>
      <c r="B56" s="1069" t="s">
        <v>1134</v>
      </c>
      <c r="C56" s="238">
        <f ca="1">C13</f>
        <v>0</v>
      </c>
      <c r="D56" s="1581"/>
      <c r="E56" s="1582"/>
      <c r="F56" s="1574"/>
      <c r="I56" s="1583" t="s">
        <v>1274</v>
      </c>
      <c r="J56" s="1584"/>
      <c r="K56" s="1555" t="s">
        <v>1275</v>
      </c>
      <c r="L56" s="1558">
        <f ca="1">IF(L48&lt;J51,"——",L48-J51)</f>
        <v>0</v>
      </c>
      <c r="O56" s="1552" t="s">
        <v>827</v>
      </c>
      <c r="P56" s="1553" t="s">
        <v>1248</v>
      </c>
      <c r="Q56" s="1554" t="e">
        <f ca="1">C40+J29</f>
        <v>#DIV/0!</v>
      </c>
      <c r="R56" s="1554" t="s">
        <v>1249</v>
      </c>
    </row>
    <row r="57" spans="1:18" s="1518" customFormat="1" ht="26.5" thickBot="1">
      <c r="A57" s="1585"/>
      <c r="B57" s="1061" t="s">
        <v>1198</v>
      </c>
      <c r="C57" s="244">
        <f ca="1">C29</f>
        <v>0</v>
      </c>
      <c r="D57" s="1586"/>
      <c r="E57" s="1587"/>
      <c r="F57" s="1588"/>
      <c r="I57" s="1589" t="s">
        <v>1276</v>
      </c>
      <c r="J57" s="1590">
        <f ca="1">IF(OR(M47="住宅",J51&lt;L48,J56="是"),"——",J51-L48)</f>
        <v>0</v>
      </c>
      <c r="K57" s="1555" t="s">
        <v>1325</v>
      </c>
      <c r="L57" s="1558">
        <f ca="1">IF(L48&lt;J51,"——",IF(L55="比较法",L49,IF(L55="基准地价",L50,L51)))</f>
        <v>0</v>
      </c>
      <c r="O57" s="1552" t="s">
        <v>828</v>
      </c>
      <c r="P57" s="1553" t="s">
        <v>1326</v>
      </c>
      <c r="Q57" s="1554" t="e">
        <f ca="1">L60</f>
        <v>#DIV/0!</v>
      </c>
      <c r="R57" s="1554" t="s">
        <v>1327</v>
      </c>
    </row>
    <row r="58" spans="1:18" s="1518" customFormat="1" ht="26.5" thickBot="1">
      <c r="A58" s="321" t="s">
        <v>817</v>
      </c>
      <c r="B58" s="1069" t="s">
        <v>1144</v>
      </c>
      <c r="C58" s="322">
        <f ca="1">ROUND(C59+C64+C65+C66,0)</f>
        <v>0</v>
      </c>
      <c r="D58" s="1071" t="s">
        <v>1145</v>
      </c>
      <c r="E58" s="1072"/>
      <c r="F58" s="1073"/>
      <c r="I58" s="1589" t="s">
        <v>1280</v>
      </c>
      <c r="J58" s="1591" t="e">
        <f ca="1">IF(J55&lt;0.4,0.4,J55)</f>
        <v>#DIV/0!</v>
      </c>
      <c r="K58" s="1568" t="s">
        <v>1328</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0</v>
      </c>
      <c r="D59" s="1074" t="s">
        <v>1150</v>
      </c>
      <c r="E59" s="1075" t="s">
        <v>1151</v>
      </c>
      <c r="F59" s="2482" t="str">
        <f>IF(项目基本情况!B11="企业","——",IF('数据-取费表'!B10="住宅",IF(F49*F50*F51/12/(1+'数据-取费表'!F30)&gt;100000,4%,2.5%),IF(F49*F50*F51/12/(1+'数据-取费表'!F30)&gt;100000,12%,7%)))</f>
        <v>——</v>
      </c>
      <c r="I59" s="1589" t="s">
        <v>1283</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IF(项目基本情况!B11="自然人","——",ROUND(C48*F60/(1+'数据-取费表'!C42),0))</f>
        <v>0</v>
      </c>
      <c r="D60" s="1075" t="s">
        <v>1154</v>
      </c>
      <c r="E60" s="1061" t="s">
        <v>1142</v>
      </c>
      <c r="F60" s="337">
        <f t="shared" ref="F60:F66" si="0">F32</f>
        <v>5.6000000000000001E-2</v>
      </c>
      <c r="I60" s="1592" t="s">
        <v>1285</v>
      </c>
      <c r="J60" s="1593" t="e">
        <f ca="1">IF(OR(M47="住宅",J51&lt;L48,J56="是"),"0",ROUND(J59/(1+J52)^J53,0))</f>
        <v>#DIV/0!</v>
      </c>
      <c r="K60" s="1594" t="s">
        <v>1286</v>
      </c>
      <c r="L60" s="1593" t="e">
        <f ca="1">IF(OR(M47="住宅",L48&lt;J51),0,ROUND(L57*(L58/L59-1),0))</f>
        <v>#DIV/0!</v>
      </c>
      <c r="O60" s="1562" t="s">
        <v>831</v>
      </c>
      <c r="P60" s="1553" t="s">
        <v>1287</v>
      </c>
      <c r="Q60" s="1554" t="e">
        <f ca="1">L58</f>
        <v>#DIV/0!</v>
      </c>
      <c r="R60" s="1554" t="s">
        <v>1288</v>
      </c>
    </row>
    <row r="61" spans="1:18" s="1518" customFormat="1" ht="13.5" thickBot="1">
      <c r="A61" s="1093" t="s">
        <v>1212</v>
      </c>
      <c r="B61" s="1061" t="s">
        <v>1213</v>
      </c>
      <c r="C61" s="24">
        <f ca="1">IF(项目基本情况!B11="自然人","——",IF(D61="按租金收入计税",ROUND(C49*F61/(1+'数据-取费表'!C42),0),IF(D61="按房产原值计税",ROUND(C57*F61*0.7,0),INDIRECT("'数据-取费表'!Aj"&amp;$G$1))))</f>
        <v>0</v>
      </c>
      <c r="D61" s="1504" t="s">
        <v>1158</v>
      </c>
      <c r="E61" s="1061" t="s">
        <v>1214</v>
      </c>
      <c r="F61" s="328">
        <f t="shared" si="0"/>
        <v>1.2E-2</v>
      </c>
      <c r="I61" s="1595"/>
      <c r="J61" s="1595"/>
      <c r="K61" s="1595"/>
      <c r="L61" s="1595"/>
      <c r="O61" s="1562" t="s">
        <v>832</v>
      </c>
      <c r="P61" s="1553" t="str">
        <f>K59</f>
        <v>建设期及建筑物耐用年限下的土地年期修正系数Kn</v>
      </c>
      <c r="Q61" s="1554" t="e">
        <f ca="1">L59</f>
        <v>#DIV/0!</v>
      </c>
      <c r="R61" s="1554" t="s">
        <v>1289</v>
      </c>
    </row>
    <row r="62" spans="1:18" s="1518" customFormat="1" ht="13.5" thickBot="1">
      <c r="A62" s="1093" t="s">
        <v>1215</v>
      </c>
      <c r="B62" s="1060" t="s">
        <v>1216</v>
      </c>
      <c r="C62" s="25">
        <f ca="1">IF(项目基本情况!B11="自然人","——",ROUND(F62*F63,0))</f>
        <v>0</v>
      </c>
      <c r="D62" s="1076" t="s">
        <v>1217</v>
      </c>
      <c r="E62" s="1061" t="s">
        <v>1218</v>
      </c>
      <c r="F62" s="331">
        <f t="shared" si="0"/>
        <v>24</v>
      </c>
      <c r="I62" s="1596" t="s">
        <v>1290</v>
      </c>
      <c r="J62" s="1597" t="s">
        <v>1291</v>
      </c>
      <c r="K62" s="1597" t="s">
        <v>1292</v>
      </c>
      <c r="L62" s="1597" t="s">
        <v>1293</v>
      </c>
      <c r="M62" s="1598" t="s">
        <v>1294</v>
      </c>
      <c r="O62" s="1552" t="s">
        <v>833</v>
      </c>
      <c r="P62" s="1553" t="s">
        <v>1295</v>
      </c>
      <c r="Q62" s="1554" t="e">
        <f ca="1">Q56+Q57</f>
        <v>#DIV/0!</v>
      </c>
      <c r="R62" s="1554" t="s">
        <v>834</v>
      </c>
    </row>
    <row r="63" spans="1:18" s="1518" customFormat="1" ht="13.5" thickBot="1">
      <c r="A63" s="332"/>
      <c r="B63" s="1067"/>
      <c r="C63" s="29"/>
      <c r="D63" s="1077"/>
      <c r="E63" s="1061" t="s">
        <v>1219</v>
      </c>
      <c r="F63" s="309">
        <f t="shared" ca="1" si="0"/>
        <v>0</v>
      </c>
      <c r="I63" s="1596" t="s">
        <v>1296</v>
      </c>
      <c r="J63" s="1597">
        <v>70</v>
      </c>
      <c r="K63" s="1597">
        <v>50</v>
      </c>
      <c r="L63" s="1597">
        <v>80</v>
      </c>
      <c r="M63" s="1599">
        <v>0.02</v>
      </c>
      <c r="O63" s="1537" t="s">
        <v>1297</v>
      </c>
      <c r="P63" s="1515"/>
      <c r="Q63" s="1515"/>
      <c r="R63" s="1515"/>
    </row>
    <row r="64" spans="1:18" s="1518" customFormat="1" ht="13.5" thickBot="1">
      <c r="A64" s="1093" t="s">
        <v>1220</v>
      </c>
      <c r="B64" s="1061" t="s">
        <v>1221</v>
      </c>
      <c r="C64" s="24">
        <f ca="1">ROUND(C57*F64,0)</f>
        <v>0</v>
      </c>
      <c r="D64" s="1075" t="s">
        <v>1222</v>
      </c>
      <c r="E64" s="1061" t="s">
        <v>1214</v>
      </c>
      <c r="F64" s="334">
        <f t="shared" ca="1" si="0"/>
        <v>0</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ROUND(C56*F65,0)</f>
        <v>0</v>
      </c>
      <c r="D65" s="1075" t="s">
        <v>1174</v>
      </c>
      <c r="E65" s="1061" t="s">
        <v>1175</v>
      </c>
      <c r="F65" s="336">
        <f t="shared" ca="1" si="0"/>
        <v>0</v>
      </c>
      <c r="I65" s="1596" t="s">
        <v>1299</v>
      </c>
      <c r="J65" s="1597">
        <v>40</v>
      </c>
      <c r="K65" s="1597">
        <v>30</v>
      </c>
      <c r="L65" s="1597">
        <v>50</v>
      </c>
      <c r="M65" s="1599">
        <v>0.02</v>
      </c>
      <c r="O65" s="1552" t="s">
        <v>827</v>
      </c>
      <c r="P65" s="1553" t="s">
        <v>1300</v>
      </c>
      <c r="Q65" s="1554" t="e">
        <f ca="1">C40+J29</f>
        <v>#DIV/0!</v>
      </c>
      <c r="R65" s="1554" t="s">
        <v>1249</v>
      </c>
    </row>
    <row r="66" spans="1:18" s="1518" customFormat="1" ht="16" thickBot="1">
      <c r="A66" s="1093" t="s">
        <v>1224</v>
      </c>
      <c r="B66" s="1061" t="s">
        <v>1159</v>
      </c>
      <c r="C66" s="24">
        <f ca="1">ROUND(C48*F66,0)</f>
        <v>0</v>
      </c>
      <c r="D66" s="1075" t="s">
        <v>1225</v>
      </c>
      <c r="E66" s="1061" t="s">
        <v>1142</v>
      </c>
      <c r="F66" s="318">
        <f t="shared" ca="1" si="0"/>
        <v>0</v>
      </c>
      <c r="O66" s="1552" t="s">
        <v>828</v>
      </c>
      <c r="P66" s="1553" t="s">
        <v>1278</v>
      </c>
      <c r="Q66" s="1554" t="e">
        <f ca="1">L60</f>
        <v>#DIV/0!</v>
      </c>
      <c r="R66" s="1554" t="s">
        <v>1301</v>
      </c>
    </row>
    <row r="67" spans="1:18" s="1518" customFormat="1" ht="26.5" thickBot="1">
      <c r="A67" s="1068" t="s">
        <v>818</v>
      </c>
      <c r="B67" s="1078" t="s">
        <v>1183</v>
      </c>
      <c r="C67" s="322">
        <f ca="1">C48-C58</f>
        <v>0</v>
      </c>
      <c r="D67" s="1074" t="s">
        <v>1184</v>
      </c>
      <c r="E67" s="1079"/>
      <c r="F67" s="1080"/>
      <c r="O67" s="1562" t="s">
        <v>829</v>
      </c>
      <c r="P67" s="1553" t="s">
        <v>1282</v>
      </c>
      <c r="Q67" s="1600">
        <f ca="1">L51</f>
        <v>0</v>
      </c>
      <c r="R67" s="1554" t="s">
        <v>1302</v>
      </c>
    </row>
    <row r="68" spans="1:18" s="1518" customFormat="1" ht="16" thickBot="1">
      <c r="A68" s="1058" t="s">
        <v>819</v>
      </c>
      <c r="B68" s="1059" t="s">
        <v>1205</v>
      </c>
      <c r="C68" s="307" t="e">
        <f ca="1">ROUND(C67*(1-((1+F70)/(1+F68))^F69)/(F68-F70),0)</f>
        <v>#DIV/0!</v>
      </c>
      <c r="D68" s="1076" t="s">
        <v>1189</v>
      </c>
      <c r="E68" s="1061" t="s">
        <v>1190</v>
      </c>
      <c r="F68" s="318">
        <f ca="1">F40</f>
        <v>0</v>
      </c>
      <c r="O68" s="1562" t="s">
        <v>830</v>
      </c>
      <c r="P68" s="1601" t="s">
        <v>1303</v>
      </c>
      <c r="Q68" s="1554">
        <f ca="1">ROUND(Q69-Q70*Q71,0)</f>
        <v>0</v>
      </c>
      <c r="R68" s="1554" t="s">
        <v>838</v>
      </c>
    </row>
    <row r="69" spans="1:18" s="1518" customFormat="1" ht="13.5" thickBot="1">
      <c r="A69" s="1062"/>
      <c r="B69" s="1063"/>
      <c r="C69" s="312"/>
      <c r="D69" s="1081" t="s">
        <v>1193</v>
      </c>
      <c r="E69" s="1061" t="s">
        <v>1194</v>
      </c>
      <c r="F69" s="339">
        <f ca="1">F41</f>
        <v>0</v>
      </c>
      <c r="O69" s="1562" t="s">
        <v>835</v>
      </c>
      <c r="P69" s="1601" t="s">
        <v>1304</v>
      </c>
      <c r="Q69" s="1554">
        <f ca="1">C39</f>
        <v>0</v>
      </c>
      <c r="R69" s="1554" t="s">
        <v>1249</v>
      </c>
    </row>
    <row r="70" spans="1:18" s="1518" customFormat="1" ht="13.5" thickBot="1">
      <c r="A70" s="1065"/>
      <c r="B70" s="1066"/>
      <c r="C70" s="316"/>
      <c r="D70" s="1077"/>
      <c r="E70" s="1061" t="s">
        <v>1197</v>
      </c>
      <c r="F70" s="1165">
        <f ca="1">F42</f>
        <v>0</v>
      </c>
      <c r="O70" s="1562" t="s">
        <v>836</v>
      </c>
      <c r="P70" s="1601" t="s">
        <v>1305</v>
      </c>
      <c r="Q70" s="1554">
        <f ca="1">C13</f>
        <v>0</v>
      </c>
      <c r="R70" s="1554" t="s">
        <v>1249</v>
      </c>
    </row>
    <row r="71" spans="1:18" s="1518" customFormat="1" ht="13.5" thickBot="1">
      <c r="A71" s="1082" t="s">
        <v>820</v>
      </c>
      <c r="B71" s="1083" t="s">
        <v>1207</v>
      </c>
      <c r="C71" s="342" t="e">
        <f ca="1">ROUND(C68/F71,0)</f>
        <v>#DIV/0!</v>
      </c>
      <c r="D71" s="1084" t="s">
        <v>1208</v>
      </c>
      <c r="E71" s="1085" t="s">
        <v>1209</v>
      </c>
      <c r="F71" s="345">
        <f ca="1">F43</f>
        <v>0</v>
      </c>
      <c r="O71" s="1562" t="s">
        <v>837</v>
      </c>
      <c r="P71" s="1601" t="s">
        <v>1306</v>
      </c>
      <c r="Q71" s="1565">
        <f ca="1">C76</f>
        <v>0</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建设期及建筑物耐用年限下的土地年期修正系数Kn</v>
      </c>
      <c r="Q74" s="1554" t="e">
        <f ca="1">L59</f>
        <v>#DIV/0!</v>
      </c>
      <c r="R74" s="1554" t="s">
        <v>1289</v>
      </c>
    </row>
    <row r="75" spans="1:18" ht="13.5" thickBot="1">
      <c r="A75" s="1518"/>
      <c r="B75" s="346" t="s">
        <v>1226</v>
      </c>
      <c r="C75" s="347">
        <f ca="1">ROUND(C13*C76,0)</f>
        <v>0</v>
      </c>
      <c r="D75" s="1518"/>
      <c r="E75" s="1518"/>
      <c r="F75" s="1518"/>
      <c r="K75" s="1536"/>
      <c r="L75" s="1518"/>
      <c r="O75" s="1552" t="s">
        <v>833</v>
      </c>
      <c r="P75" s="1553" t="s">
        <v>1269</v>
      </c>
      <c r="Q75" s="1554" t="e">
        <f ca="1">Q65+Q66</f>
        <v>#DIV/0!</v>
      </c>
      <c r="R75" s="1554" t="s">
        <v>834</v>
      </c>
    </row>
    <row r="76" spans="1:18" ht="13">
      <c r="B76" s="348" t="s">
        <v>1227</v>
      </c>
      <c r="C76" s="349">
        <f ca="1">INDIRECT("'数据-取费表'!j"&amp;$G$1)</f>
        <v>0</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t="e">
        <f ca="1">1-C80</f>
        <v>#DIV/0!</v>
      </c>
    </row>
    <row r="80" spans="1:18" ht="13">
      <c r="B80" s="346" t="s">
        <v>1231</v>
      </c>
      <c r="C80" s="280" t="e">
        <f ca="1">ROUND(C75/C39,3)</f>
        <v>#DIV/0!</v>
      </c>
    </row>
    <row r="81" spans="2:3" ht="13.5">
      <c r="B81" s="276" t="s">
        <v>1232</v>
      </c>
      <c r="C81" s="244"/>
    </row>
    <row r="82" spans="2:3" ht="13">
      <c r="B82" s="279" t="s">
        <v>1233</v>
      </c>
      <c r="C82" s="281" t="e">
        <f ca="1">1-C83</f>
        <v>#DIV/0!</v>
      </c>
    </row>
    <row r="83" spans="2:3" ht="13">
      <c r="B83" s="279" t="s">
        <v>1234</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19" zoomScale="70" zoomScaleNormal="70" zoomScaleSheetLayoutView="70" workbookViewId="0">
      <selection activeCell="H50" sqref="H50"/>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1098</v>
      </c>
      <c r="D1" s="1496" t="s">
        <v>70</v>
      </c>
      <c r="E1" s="1497" t="s">
        <v>1107</v>
      </c>
      <c r="F1" s="1173">
        <f ca="1">J53</f>
        <v>22.32</v>
      </c>
      <c r="G1" s="1512">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9956</v>
      </c>
      <c r="C2" s="1521" t="s">
        <v>1236</v>
      </c>
      <c r="D2" s="1521"/>
      <c r="E2" s="1522"/>
      <c r="F2" s="1523"/>
      <c r="G2" s="2880"/>
      <c r="H2" s="2869"/>
      <c r="I2" s="2869"/>
      <c r="J2" s="2869"/>
      <c r="K2" s="2870"/>
      <c r="L2" s="2869"/>
      <c r="M2" s="2869"/>
    </row>
    <row r="3" spans="1:37" ht="18" customHeight="1" thickBot="1">
      <c r="A3" s="1524" t="s">
        <v>1237</v>
      </c>
      <c r="B3" s="1525">
        <f ca="1">IF(ISERROR(B2*10000/F43),0,ROUND(B2*10000/F43,0))</f>
        <v>29012</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774</v>
      </c>
      <c r="D5" s="1498" t="s">
        <v>1122</v>
      </c>
      <c r="E5" s="1183"/>
      <c r="F5" s="1184"/>
      <c r="G5" s="1518"/>
      <c r="H5" s="305">
        <v>1</v>
      </c>
      <c r="I5" s="306" t="s">
        <v>1121</v>
      </c>
      <c r="J5" s="1182">
        <f ca="1">J6+J10+J12</f>
        <v>0</v>
      </c>
      <c r="K5" s="1498" t="s">
        <v>1122</v>
      </c>
      <c r="L5" s="1183"/>
      <c r="M5" s="1184"/>
    </row>
    <row r="6" spans="1:37" ht="18" customHeight="1">
      <c r="A6" s="1181" t="s">
        <v>822</v>
      </c>
      <c r="B6" s="3591" t="s">
        <v>1123</v>
      </c>
      <c r="C6" s="1186">
        <f ca="1">ROUND(F6*F8*F7*(1-F9)/10000,0)</f>
        <v>773</v>
      </c>
      <c r="D6" s="160" t="s">
        <v>2605</v>
      </c>
      <c r="E6" s="308" t="s">
        <v>1125</v>
      </c>
      <c r="F6" s="309">
        <f ca="1">INDIRECT("'数据-取费表'!u"&amp;$G$1)</f>
        <v>6.5</v>
      </c>
      <c r="G6" s="1518"/>
      <c r="H6" s="1181" t="s">
        <v>822</v>
      </c>
      <c r="I6" s="3591" t="s">
        <v>1123</v>
      </c>
      <c r="J6" s="307">
        <f ca="1">ROUND(M6*M8*M7*(1-M9)/10000,0)</f>
        <v>0</v>
      </c>
      <c r="K6" s="160" t="s">
        <v>2604</v>
      </c>
      <c r="L6" s="308" t="s">
        <v>1125</v>
      </c>
      <c r="M6" s="309">
        <f ca="1">INDIRECT("'数据-取费表'!z"&amp;$G$1)</f>
        <v>0</v>
      </c>
    </row>
    <row r="7" spans="1:37" ht="18" customHeight="1">
      <c r="A7" s="1185"/>
      <c r="B7" s="3592"/>
      <c r="C7" s="1187"/>
      <c r="D7" s="313"/>
      <c r="E7" s="3185" t="s">
        <v>1126</v>
      </c>
      <c r="F7" s="309">
        <f ca="1">IF(INDIRECT("'数据-取费表'!ah"&amp;$G$1)="",INDIRECT("'数据-取费表'!k"&amp;$G$1),INDIRECT("'数据-取费表'!ah"&amp;$G$1))</f>
        <v>3431.64</v>
      </c>
      <c r="G7" s="1518"/>
      <c r="H7" s="310"/>
      <c r="I7" s="3592"/>
      <c r="J7" s="312"/>
      <c r="K7" s="313"/>
      <c r="L7" s="308" t="s">
        <v>1126</v>
      </c>
      <c r="M7" s="309">
        <f ca="1">F7</f>
        <v>3431.64</v>
      </c>
    </row>
    <row r="8" spans="1:37" ht="18" customHeight="1">
      <c r="A8" s="310"/>
      <c r="B8" s="3592"/>
      <c r="C8" s="312"/>
      <c r="D8" s="313"/>
      <c r="E8" s="308" t="s">
        <v>1127</v>
      </c>
      <c r="F8" s="309">
        <f ca="1">INDIRECT("'数据-取费表'!ai"&amp;$G$1)</f>
        <v>365</v>
      </c>
      <c r="G8" s="1518"/>
      <c r="H8" s="310"/>
      <c r="I8" s="3592"/>
      <c r="J8" s="312"/>
      <c r="K8" s="313"/>
      <c r="L8" s="308" t="s">
        <v>1127</v>
      </c>
      <c r="M8" s="309">
        <f ca="1">INDIRECT("'数据-取费表'!ai"&amp;$G$1)</f>
        <v>365</v>
      </c>
    </row>
    <row r="9" spans="1:37" ht="18" customHeight="1">
      <c r="A9" s="310"/>
      <c r="B9" s="3593"/>
      <c r="C9" s="312"/>
      <c r="D9" s="313"/>
      <c r="E9" s="308" t="s">
        <v>1128</v>
      </c>
      <c r="F9" s="318">
        <f ca="1">INDIRECT("'数据-取费表'!w"&amp;$G$1)</f>
        <v>0.05</v>
      </c>
      <c r="G9" s="1518"/>
      <c r="H9" s="310"/>
      <c r="I9" s="3593"/>
      <c r="J9" s="312"/>
      <c r="K9" s="313"/>
      <c r="L9" s="319" t="s">
        <v>1128</v>
      </c>
      <c r="M9" s="320">
        <f ca="1">INDIRECT("'数据-取费表'!ab"&amp;$G$1)</f>
        <v>0</v>
      </c>
    </row>
    <row r="10" spans="1:37" ht="18" customHeight="1">
      <c r="A10" s="1181" t="s">
        <v>826</v>
      </c>
      <c r="B10" s="1499" t="s">
        <v>1129</v>
      </c>
      <c r="C10" s="322">
        <f ca="1">ROUND(IF(F10="押一",C6/12*F11,IF(F10="押二",C6/12*2*F11,IF(F10="押三",C6/12*3*F11,C11*F11))),0)</f>
        <v>1</v>
      </c>
      <c r="D10" s="1500" t="s">
        <v>2612</v>
      </c>
      <c r="E10" s="319" t="s">
        <v>1130</v>
      </c>
      <c r="F10" s="1228" t="s">
        <v>3727</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2965</v>
      </c>
      <c r="D13" s="3182" t="s">
        <v>1135</v>
      </c>
      <c r="E13" s="3182"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1887</v>
      </c>
      <c r="D14" s="3188" t="s">
        <v>1138</v>
      </c>
      <c r="E14" s="3187"/>
      <c r="F14" s="325"/>
      <c r="G14" s="1518"/>
      <c r="H14" s="1093" t="s">
        <v>822</v>
      </c>
      <c r="I14" s="308" t="s">
        <v>1139</v>
      </c>
      <c r="J14" s="24">
        <f ca="1">C29</f>
        <v>3026</v>
      </c>
      <c r="K14" s="3184"/>
      <c r="L14" s="896"/>
      <c r="M14" s="897"/>
    </row>
    <row r="15" spans="1:37" s="1531" customFormat="1" ht="18" customHeight="1" thickBot="1">
      <c r="A15" s="1093" t="s">
        <v>823</v>
      </c>
      <c r="B15" s="308" t="s">
        <v>1140</v>
      </c>
      <c r="C15" s="24">
        <f ca="1">ROUND(C14*F15,0)</f>
        <v>94</v>
      </c>
      <c r="D15" s="3183" t="s">
        <v>1141</v>
      </c>
      <c r="E15" s="3183"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56</v>
      </c>
      <c r="K16" s="1199" t="s">
        <v>1145</v>
      </c>
      <c r="L16" s="3190"/>
      <c r="M16" s="1184"/>
    </row>
    <row r="17" spans="1:37" s="1531" customFormat="1" ht="18" customHeight="1">
      <c r="A17" s="1093" t="s">
        <v>1110</v>
      </c>
      <c r="B17" s="308" t="s">
        <v>1146</v>
      </c>
      <c r="C17" s="24">
        <f ca="1">ROUND(F17*(F43+INDIRECT("'数据-取费表'!S"&amp;$G$1))/10000,0)</f>
        <v>69</v>
      </c>
      <c r="D17" s="308" t="s">
        <v>1147</v>
      </c>
      <c r="E17" s="308" t="s">
        <v>1148</v>
      </c>
      <c r="F17" s="26">
        <f>'数据-取费表'!B35</f>
        <v>200</v>
      </c>
      <c r="G17" s="1530"/>
      <c r="H17" s="1093" t="s">
        <v>822</v>
      </c>
      <c r="I17" s="308" t="s">
        <v>1149</v>
      </c>
      <c r="J17" s="2483">
        <f ca="1">ROUND(IF(AND(项目基本情况!B11="自然人",项目基本情况!B10="北京市"),J6*M17/(1+'数据-取费表'!C42),J18+J19+J20),0)</f>
        <v>26</v>
      </c>
      <c r="K17" s="3188" t="s">
        <v>1150</v>
      </c>
      <c r="L17" s="3189"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28</v>
      </c>
      <c r="D18" s="308" t="s">
        <v>1141</v>
      </c>
      <c r="E18" s="308" t="s">
        <v>1142</v>
      </c>
      <c r="F18" s="328">
        <f>'数据-取费表'!B36</f>
        <v>1.4999999999999999E-2</v>
      </c>
      <c r="G18" s="1530"/>
      <c r="H18" s="1093" t="s">
        <v>821</v>
      </c>
      <c r="I18" s="308" t="s">
        <v>1153</v>
      </c>
      <c r="J18" s="24">
        <f ca="1">ROUND(J6*M18/(1+'数据-取费表'!C42),2)</f>
        <v>0</v>
      </c>
      <c r="K18" s="3189"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2078</v>
      </c>
      <c r="D19" s="136" t="s">
        <v>1156</v>
      </c>
      <c r="E19" s="3192"/>
      <c r="F19" s="26"/>
      <c r="G19" s="1518"/>
      <c r="H19" s="1093" t="s">
        <v>823</v>
      </c>
      <c r="I19" s="308" t="s">
        <v>1157</v>
      </c>
      <c r="J19" s="24">
        <f ca="1">IF(K19="按租金收入计税",ROUND(J6*M19/(1+'数据-取费表'!C42),2),ROUND(C29*M19*0.7,2))</f>
        <v>25.42</v>
      </c>
      <c r="K19" s="1504" t="s">
        <v>1158</v>
      </c>
      <c r="L19" s="308" t="s">
        <v>1142</v>
      </c>
      <c r="M19" s="328">
        <f>IF(K19="按租金收入计税",'数据-取费表'!B51,'数据-取费表'!B50)</f>
        <v>1.2E-2</v>
      </c>
    </row>
    <row r="20" spans="1:37" s="1531" customFormat="1" ht="18" customHeight="1">
      <c r="A20" s="1093" t="s">
        <v>826</v>
      </c>
      <c r="B20" s="308" t="s">
        <v>1159</v>
      </c>
      <c r="C20" s="24">
        <f ca="1">ROUND(C19*F20,0)</f>
        <v>42</v>
      </c>
      <c r="D20" s="329" t="s">
        <v>1160</v>
      </c>
      <c r="E20" s="308" t="s">
        <v>1142</v>
      </c>
      <c r="F20" s="328">
        <f>'数据-取费表'!B37</f>
        <v>0.02</v>
      </c>
      <c r="G20" s="1530"/>
      <c r="H20" s="1093" t="s">
        <v>1109</v>
      </c>
      <c r="I20" s="160" t="s">
        <v>1161</v>
      </c>
      <c r="J20" s="25">
        <f ca="1">ROUND(M20*M21/10000,2)</f>
        <v>0.47</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197.55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3192"/>
      <c r="F22" s="26"/>
      <c r="G22" s="1518"/>
      <c r="H22" s="1093" t="s">
        <v>826</v>
      </c>
      <c r="I22" s="308" t="s">
        <v>1169</v>
      </c>
      <c r="J22" s="24">
        <f ca="1">ROUND(J14*M22,1)</f>
        <v>30.3</v>
      </c>
      <c r="K22" s="3189" t="s">
        <v>1170</v>
      </c>
      <c r="L22" s="308" t="s">
        <v>1142</v>
      </c>
      <c r="M22" s="334">
        <f ca="1">INDIRECT("'数据-取费表'!Ak"&amp;$G$1)</f>
        <v>0.01</v>
      </c>
    </row>
    <row r="23" spans="1:37" s="1531" customFormat="1" ht="18" customHeight="1">
      <c r="A23" s="1093" t="s">
        <v>821</v>
      </c>
      <c r="B23" s="308" t="s">
        <v>1171</v>
      </c>
      <c r="C23" s="24">
        <f ca="1">IF('数据-取费表'!B22&lt;=1,ROUND(C19*F24*F23/2,0)+ROUND(C20*F24*F23/2,0),ROUND(C19*(POWER((1+F24),F23/2)-1),0)+ROUND(C20*(POWER((1+F24),F23/2)-1),0))</f>
        <v>135</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3189" t="s">
        <v>1174</v>
      </c>
      <c r="L23" s="308" t="s">
        <v>1142</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1112</v>
      </c>
      <c r="I24" s="1202" t="s">
        <v>1159</v>
      </c>
      <c r="J24" s="1203">
        <f ca="1">ROUND(J5*M24,1)</f>
        <v>0</v>
      </c>
      <c r="K24" s="1204" t="s">
        <v>1179</v>
      </c>
      <c r="L24" s="1202" t="s">
        <v>1142</v>
      </c>
      <c r="M24" s="1198">
        <f ca="1">INDIRECT("'数据-取费表'!Am"&amp;$G$1)</f>
        <v>2.5000000000000001E-2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3192"/>
      <c r="F25" s="26"/>
      <c r="G25" s="1518"/>
      <c r="H25" s="1191" t="s">
        <v>818</v>
      </c>
      <c r="I25" s="1206" t="s">
        <v>1183</v>
      </c>
      <c r="J25" s="316">
        <f ca="1">J5-J16</f>
        <v>-56</v>
      </c>
      <c r="K25" s="1207" t="s">
        <v>1184</v>
      </c>
      <c r="L25" s="1208"/>
      <c r="M25" s="1209"/>
    </row>
    <row r="26" spans="1:37" ht="13">
      <c r="A26" s="1093" t="s">
        <v>821</v>
      </c>
      <c r="B26" s="308" t="s">
        <v>1185</v>
      </c>
      <c r="C26" s="24">
        <f ca="1">ROUND((C19+C20)*F26,0)</f>
        <v>530</v>
      </c>
      <c r="D26" s="329" t="s">
        <v>1186</v>
      </c>
      <c r="E26" s="319" t="s">
        <v>1187</v>
      </c>
      <c r="F26" s="318">
        <f ca="1">INDIRECT("'数据-取费表'!q"&amp;$G$1)</f>
        <v>0.25</v>
      </c>
      <c r="G26" s="1518"/>
      <c r="H26" s="305" t="s">
        <v>819</v>
      </c>
      <c r="I26" s="306" t="s">
        <v>1188</v>
      </c>
      <c r="J26" s="307">
        <f ca="1">IF(J5&lt;&gt;0,ROUND(J25*(1-((1+M28)/(1+M26))^M27)/(M26-M28),0),0)</f>
        <v>0</v>
      </c>
      <c r="K26" s="330" t="s">
        <v>1189</v>
      </c>
      <c r="L26" s="308" t="s">
        <v>1190</v>
      </c>
      <c r="M26" s="318">
        <f ca="1">INDIRECT("'数据-取费表'!I"&amp;$G$1)</f>
        <v>5.7000000000000002E-2</v>
      </c>
    </row>
    <row r="27" spans="1:37" ht="18" customHeight="1">
      <c r="A27" s="1093" t="s">
        <v>823</v>
      </c>
      <c r="B27" s="308" t="s">
        <v>1191</v>
      </c>
      <c r="C27" s="24">
        <f ca="1">ROUND(F21*F26,4)</f>
        <v>5.0000000000000001E-3</v>
      </c>
      <c r="D27" s="329" t="s">
        <v>1192</v>
      </c>
      <c r="E27" s="3183"/>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3026</v>
      </c>
      <c r="D29" s="1204"/>
      <c r="E29" s="1202"/>
      <c r="F29" s="1205"/>
      <c r="G29" s="1530"/>
      <c r="H29" s="340" t="s">
        <v>820</v>
      </c>
      <c r="I29" s="341" t="s">
        <v>1199</v>
      </c>
      <c r="J29" s="342">
        <f ca="1">ROUND(J26/(1+F40)^F41,0)</f>
        <v>0</v>
      </c>
      <c r="K29" s="343" t="s">
        <v>1200</v>
      </c>
      <c r="L29" s="344"/>
      <c r="M29" s="345">
        <f ca="1">INDIRECT("'数据-取费表'!k"&amp;$G$1)</f>
        <v>3431.64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183</v>
      </c>
      <c r="D30" s="1199" t="s">
        <v>1145</v>
      </c>
      <c r="E30" s="319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130</v>
      </c>
      <c r="D31" s="3188" t="s">
        <v>1150</v>
      </c>
      <c r="E31" s="3189"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41.23</v>
      </c>
      <c r="D32" s="3189"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88.34</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0.47</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197.55</v>
      </c>
      <c r="G35" s="1518"/>
      <c r="H35" s="2871"/>
      <c r="I35" s="1532"/>
      <c r="J35" s="1533"/>
      <c r="K35" s="2875"/>
      <c r="L35" s="2874"/>
      <c r="M35" s="2874"/>
    </row>
    <row r="36" spans="1:18" ht="18" customHeight="1">
      <c r="A36" s="1214" t="s">
        <v>826</v>
      </c>
      <c r="B36" s="308" t="s">
        <v>1169</v>
      </c>
      <c r="C36" s="24">
        <f ca="1">ROUND(C29*F36,1)</f>
        <v>30.3</v>
      </c>
      <c r="D36" s="3189" t="s">
        <v>1202</v>
      </c>
      <c r="E36" s="308" t="s">
        <v>1142</v>
      </c>
      <c r="F36" s="334">
        <f ca="1">INDIRECT("'数据-取费表'!Ak"&amp;$G$1)</f>
        <v>0.01</v>
      </c>
      <c r="G36" s="1518"/>
      <c r="H36" s="2874"/>
      <c r="I36" s="1532"/>
      <c r="J36" s="1533"/>
      <c r="K36" s="2716"/>
      <c r="L36" s="2874"/>
      <c r="M36" s="2874"/>
    </row>
    <row r="37" spans="1:18" ht="18" customHeight="1">
      <c r="A37" s="1093" t="s">
        <v>862</v>
      </c>
      <c r="B37" s="308" t="s">
        <v>1173</v>
      </c>
      <c r="C37" s="24">
        <f ca="1">ROUND(C13*F37,1)</f>
        <v>3</v>
      </c>
      <c r="D37" s="3189" t="s">
        <v>1174</v>
      </c>
      <c r="E37" s="308" t="s">
        <v>1142</v>
      </c>
      <c r="F37" s="336">
        <f ca="1">INDIRECT("'数据-取费表'!Al"&amp;$G$1)</f>
        <v>1E-3</v>
      </c>
      <c r="G37" s="1518"/>
      <c r="H37" s="2874"/>
      <c r="I37" s="1532"/>
      <c r="J37" s="1533"/>
      <c r="K37" s="2716"/>
      <c r="L37" s="2874"/>
      <c r="M37" s="2874"/>
    </row>
    <row r="38" spans="1:18" ht="18" customHeight="1" thickBot="1">
      <c r="A38" s="1201" t="s">
        <v>1112</v>
      </c>
      <c r="B38" s="1202" t="s">
        <v>1159</v>
      </c>
      <c r="C38" s="1203">
        <f ca="1">ROUND(C5*F38,1)</f>
        <v>19.399999999999999</v>
      </c>
      <c r="D38" s="1204" t="s">
        <v>1179</v>
      </c>
      <c r="E38" s="1202" t="s">
        <v>1142</v>
      </c>
      <c r="F38" s="1198">
        <f ca="1">INDIRECT("'数据-取费表'!Am"&amp;$G$1)</f>
        <v>2.5000000000000001E-2</v>
      </c>
      <c r="G38" s="1518"/>
      <c r="H38" s="2874"/>
      <c r="I38" s="1532"/>
      <c r="J38" s="1533"/>
      <c r="K38" s="2878"/>
      <c r="L38" s="2874"/>
      <c r="M38" s="2874"/>
    </row>
    <row r="39" spans="1:18" ht="24.65" customHeight="1" thickTop="1">
      <c r="A39" s="1191" t="s">
        <v>818</v>
      </c>
      <c r="B39" s="1206" t="s">
        <v>1183</v>
      </c>
      <c r="C39" s="316">
        <f ca="1">C5-C30</f>
        <v>591</v>
      </c>
      <c r="D39" s="1207" t="s">
        <v>1184</v>
      </c>
      <c r="E39" s="1208"/>
      <c r="F39" s="1209"/>
      <c r="G39" s="1518"/>
      <c r="H39" s="2874"/>
      <c r="I39" s="1532"/>
      <c r="J39" s="1533"/>
      <c r="K39" s="2878"/>
      <c r="L39" s="2874"/>
      <c r="M39" s="2874"/>
    </row>
    <row r="40" spans="1:18" ht="18" customHeight="1">
      <c r="A40" s="305" t="s">
        <v>819</v>
      </c>
      <c r="B40" s="306" t="s">
        <v>1205</v>
      </c>
      <c r="C40" s="307">
        <f ca="1">ROUND(C39*(1-((1+F42)/(1+F40))^F41)/(F40-F42),0)</f>
        <v>9603</v>
      </c>
      <c r="D40" s="330" t="s">
        <v>1189</v>
      </c>
      <c r="E40" s="308" t="s">
        <v>1190</v>
      </c>
      <c r="F40" s="318">
        <f ca="1">INDIRECT("'数据-取费表'!I"&amp;$G$1)</f>
        <v>5.7000000000000002E-2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22.32</v>
      </c>
      <c r="G41" s="1518"/>
      <c r="H41" s="1305"/>
      <c r="I41" s="1532"/>
      <c r="J41" s="1533"/>
      <c r="K41" s="2716"/>
      <c r="L41" s="1305"/>
      <c r="M41" s="1305"/>
    </row>
    <row r="42" spans="1:18" ht="18" customHeight="1">
      <c r="A42" s="314"/>
      <c r="B42" s="315"/>
      <c r="C42" s="316"/>
      <c r="D42" s="333"/>
      <c r="E42" s="308" t="s">
        <v>1197</v>
      </c>
      <c r="F42" s="318">
        <f ca="1">INDIRECT("'数据-取费表'!v"&amp;$G$1)</f>
        <v>0.03</v>
      </c>
      <c r="G42" s="1518"/>
      <c r="H42" s="1305"/>
      <c r="I42" s="1532"/>
      <c r="J42" s="1533"/>
      <c r="K42" s="2716"/>
      <c r="L42" s="1305"/>
      <c r="M42" s="1305"/>
    </row>
    <row r="43" spans="1:18" ht="18" customHeight="1" thickBot="1">
      <c r="A43" s="340" t="s">
        <v>820</v>
      </c>
      <c r="B43" s="341" t="s">
        <v>1207</v>
      </c>
      <c r="C43" s="342">
        <f ca="1">ROUND(C40*10000/F43,0)</f>
        <v>27984</v>
      </c>
      <c r="D43" s="343" t="s">
        <v>1208</v>
      </c>
      <c r="E43" s="344" t="s">
        <v>1209</v>
      </c>
      <c r="F43" s="345">
        <f ca="1">INDIRECT("'数据-取费表'!k"&amp;$G$1)</f>
        <v>3431.64</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-13190</v>
      </c>
      <c r="D46" s="1540" t="str">
        <f>C2</f>
        <v>万元</v>
      </c>
      <c r="E46" s="1534"/>
      <c r="F46" s="1534"/>
      <c r="I46" s="1541" t="s">
        <v>1241</v>
      </c>
      <c r="J46" s="1542"/>
      <c r="K46" s="1543"/>
      <c r="L46" s="1544">
        <f ca="1">IF(M47="住宅",0,IF(L48&gt;J51,L60,J60))</f>
        <v>353</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40</v>
      </c>
      <c r="M47" s="1514" t="str">
        <f>IF(ISNUMBER(FIND("住宅",C1)),"住宅","非住宅")</f>
        <v>非住宅</v>
      </c>
      <c r="O47" s="1552" t="s">
        <v>827</v>
      </c>
      <c r="P47" s="1553" t="s">
        <v>1248</v>
      </c>
      <c r="Q47" s="1554">
        <f ca="1">C40+J29</f>
        <v>9603</v>
      </c>
      <c r="R47" s="1554" t="s">
        <v>1249</v>
      </c>
    </row>
    <row r="48" spans="1:18" s="1518" customFormat="1" ht="43.5" thickBot="1">
      <c r="A48" s="1222" t="s">
        <v>863</v>
      </c>
      <c r="B48" s="306" t="s">
        <v>1121</v>
      </c>
      <c r="C48" s="3191">
        <f ca="1">C49+C53+C55</f>
        <v>0</v>
      </c>
      <c r="D48" s="1224"/>
      <c r="E48" s="1225"/>
      <c r="F48" s="1073"/>
      <c r="G48" s="731"/>
      <c r="H48" s="732"/>
      <c r="I48" s="1555" t="s">
        <v>1250</v>
      </c>
      <c r="J48" s="1556" t="s">
        <v>3730</v>
      </c>
      <c r="K48" s="1557" t="s">
        <v>1251</v>
      </c>
      <c r="L48" s="1558">
        <f ca="1">INDIRECT("'数据-取费表'!f"&amp;$G$1)</f>
        <v>22.32</v>
      </c>
      <c r="O48" s="1552" t="s">
        <v>828</v>
      </c>
      <c r="P48" s="1553" t="s">
        <v>1252</v>
      </c>
      <c r="Q48" s="1554">
        <f ca="1">J60</f>
        <v>353</v>
      </c>
      <c r="R48" s="1554" t="s">
        <v>1253</v>
      </c>
    </row>
    <row r="49" spans="1:18" s="1518" customFormat="1" ht="13.5" thickBot="1">
      <c r="A49" s="1086" t="s">
        <v>864</v>
      </c>
      <c r="B49" s="1505" t="s">
        <v>1210</v>
      </c>
      <c r="C49" s="1226">
        <f ca="1">ROUND(F49*F51*F50*(1-F52)/10000,0)</f>
        <v>0</v>
      </c>
      <c r="D49" s="1166" t="s">
        <v>2604</v>
      </c>
      <c r="E49" s="1506" t="s">
        <v>1211</v>
      </c>
      <c r="F49" s="1171"/>
      <c r="G49" s="1559"/>
      <c r="H49" s="732"/>
      <c r="I49" s="1555" t="s">
        <v>1254</v>
      </c>
      <c r="J49" s="1560">
        <v>2021</v>
      </c>
      <c r="K49" s="1557" t="s">
        <v>1255</v>
      </c>
      <c r="L49" s="1561"/>
      <c r="O49" s="1562" t="s">
        <v>829</v>
      </c>
      <c r="P49" s="1553" t="s">
        <v>1256</v>
      </c>
      <c r="Q49" s="1554">
        <f ca="1">C29</f>
        <v>3026</v>
      </c>
      <c r="R49" s="1554" t="s">
        <v>1249</v>
      </c>
    </row>
    <row r="50" spans="1:18" s="1518" customFormat="1" ht="13.5" thickBot="1">
      <c r="A50" s="1087"/>
      <c r="B50" s="1090"/>
      <c r="C50" s="1230"/>
      <c r="D50" s="1064"/>
      <c r="E50" s="1167" t="s">
        <v>1126</v>
      </c>
      <c r="F50" s="1168">
        <f ca="1">F7</f>
        <v>3431.64</v>
      </c>
      <c r="H50" s="732"/>
      <c r="I50" s="1555" t="s">
        <v>1257</v>
      </c>
      <c r="J50" s="1563">
        <f>SUMPRODUCT((I63:I65=J47)*(J62:L62=J48)*(J63:L65))</f>
        <v>60</v>
      </c>
      <c r="K50" s="1557" t="s">
        <v>1258</v>
      </c>
      <c r="L50" s="1561"/>
      <c r="M50" s="1564"/>
      <c r="O50" s="1562" t="s">
        <v>830</v>
      </c>
      <c r="P50" s="1553" t="s">
        <v>1259</v>
      </c>
      <c r="Q50" s="1565">
        <f ca="1">J58</f>
        <v>0.61099999999999999</v>
      </c>
      <c r="R50" s="1554"/>
    </row>
    <row r="51" spans="1:18" s="1518" customFormat="1" ht="13.5" thickBot="1">
      <c r="A51" s="1088"/>
      <c r="B51" s="1090"/>
      <c r="C51" s="1091"/>
      <c r="D51" s="1064"/>
      <c r="E51" s="1092" t="s">
        <v>1127</v>
      </c>
      <c r="F51" s="309">
        <f ca="1">F8</f>
        <v>365</v>
      </c>
      <c r="I51" s="1566" t="s">
        <v>1260</v>
      </c>
      <c r="J51" s="1567">
        <f>IF(J49="",J50,J49+J50-YEAR('数据-取费表'!B2))</f>
        <v>59</v>
      </c>
      <c r="K51" s="1568" t="s">
        <v>1261</v>
      </c>
      <c r="L51" s="1569">
        <f ca="1">ROUND(-PV(INDIRECT("'数据-取费表'!h"&amp;$G$1),J51,(C39-C13*C76),0),0)</f>
        <v>6676</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1572">
        <f>收益法!J52</f>
        <v>7.6999999999999999E-2</v>
      </c>
      <c r="K52" s="1571" t="s">
        <v>1264</v>
      </c>
      <c r="L52" s="1572"/>
      <c r="O52" s="1562" t="s">
        <v>832</v>
      </c>
      <c r="P52" s="1553" t="s">
        <v>1265</v>
      </c>
      <c r="Q52" s="1554">
        <f ca="1">J53</f>
        <v>22.32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22.32</v>
      </c>
      <c r="K53" s="3589" t="s">
        <v>1268</v>
      </c>
      <c r="L53" s="3590"/>
      <c r="O53" s="1552" t="s">
        <v>833</v>
      </c>
      <c r="P53" s="1553" t="s">
        <v>1269</v>
      </c>
      <c r="Q53" s="1554">
        <f ca="1">Q47+Q48</f>
        <v>9956</v>
      </c>
      <c r="R53" s="1554" t="s">
        <v>834</v>
      </c>
    </row>
    <row r="54" spans="1:18" s="1518" customFormat="1" ht="26.5" thickBot="1">
      <c r="A54" s="1267"/>
      <c r="B54" s="1501" t="s">
        <v>1108</v>
      </c>
      <c r="C54" s="1070"/>
      <c r="D54" s="1500"/>
      <c r="E54" s="318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3186"/>
      <c r="F55" s="1574"/>
      <c r="I55" s="1577" t="s">
        <v>1271</v>
      </c>
      <c r="J55" s="1578">
        <f ca="1">ROUND(IF(J47="钢混",J57/J50,1-(1-2%)*(J50-J57)/J50),3)</f>
        <v>0.61099999999999999</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2965</v>
      </c>
      <c r="D56" s="1581"/>
      <c r="E56" s="1582"/>
      <c r="F56" s="1574"/>
      <c r="I56" s="1583" t="s">
        <v>1274</v>
      </c>
      <c r="J56" s="1584" t="s">
        <v>3746</v>
      </c>
      <c r="K56" s="1555" t="s">
        <v>1275</v>
      </c>
      <c r="L56" s="1558" t="str">
        <f ca="1">IF(L48&lt;J51,"——",L48-J53)</f>
        <v>——</v>
      </c>
      <c r="O56" s="1552" t="s">
        <v>827</v>
      </c>
      <c r="P56" s="1553" t="s">
        <v>1248</v>
      </c>
      <c r="Q56" s="1554">
        <f ca="1">C40+J29</f>
        <v>9603</v>
      </c>
      <c r="R56" s="1554" t="s">
        <v>1249</v>
      </c>
    </row>
    <row r="57" spans="1:18" s="1518" customFormat="1" ht="26.5" thickBot="1">
      <c r="A57" s="1585"/>
      <c r="B57" s="1061" t="s">
        <v>1198</v>
      </c>
      <c r="C57" s="244">
        <f ca="1">C29</f>
        <v>3026</v>
      </c>
      <c r="D57" s="1586"/>
      <c r="E57" s="1587"/>
      <c r="F57" s="1588"/>
      <c r="I57" s="1589" t="s">
        <v>1276</v>
      </c>
      <c r="J57" s="1590">
        <f ca="1">IF(OR(M47="住宅",J51&lt;L48,J56="是"),"——",J51-L48)</f>
        <v>36.68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288</v>
      </c>
      <c r="D58" s="1071" t="s">
        <v>1145</v>
      </c>
      <c r="E58" s="1072"/>
      <c r="F58" s="1073"/>
      <c r="I58" s="1589" t="s">
        <v>1280</v>
      </c>
      <c r="J58" s="1591">
        <f ca="1">IF(J55&lt;0.4,0.4,J55)</f>
        <v>0.61099999999999999</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255</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1849</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353</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1157</v>
      </c>
      <c r="C61" s="24">
        <f ca="1">IF(项目基本情况!B11="自然人","——",IF(D61="按租金收入计税",ROUND(C49*F61/(1+'数据-取费表'!C42),2),IF(D61="按房产原值计税",ROUND(C57*F61*0.7,2),INDIRECT("'数据-取费表'!Aj"&amp;$G$1))))</f>
        <v>254.18</v>
      </c>
      <c r="D61" s="1504" t="s">
        <v>1158</v>
      </c>
      <c r="E61" s="1061" t="s">
        <v>1142</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1161</v>
      </c>
      <c r="C62" s="25">
        <f ca="1">IF(项目基本情况!B11="自然人","——",ROUND(F62*F63/10000,2))</f>
        <v>0.47</v>
      </c>
      <c r="D62" s="1076" t="s">
        <v>1162</v>
      </c>
      <c r="E62" s="1061" t="s">
        <v>1163</v>
      </c>
      <c r="F62" s="331">
        <f t="shared" si="0"/>
        <v>24</v>
      </c>
      <c r="I62" s="1596" t="s">
        <v>1290</v>
      </c>
      <c r="J62" s="1597" t="s">
        <v>1291</v>
      </c>
      <c r="K62" s="1597" t="s">
        <v>1292</v>
      </c>
      <c r="L62" s="1597" t="s">
        <v>1293</v>
      </c>
      <c r="M62" s="1598" t="s">
        <v>1294</v>
      </c>
      <c r="O62" s="1552" t="s">
        <v>833</v>
      </c>
      <c r="P62" s="1553" t="s">
        <v>1269</v>
      </c>
      <c r="Q62" s="1554">
        <f ca="1">Q56+Q57</f>
        <v>9603</v>
      </c>
      <c r="R62" s="1554" t="s">
        <v>834</v>
      </c>
    </row>
    <row r="63" spans="1:18" s="1518" customFormat="1" ht="13.5" thickBot="1">
      <c r="A63" s="332"/>
      <c r="B63" s="1067"/>
      <c r="C63" s="29"/>
      <c r="D63" s="1077"/>
      <c r="E63" s="1061" t="s">
        <v>1167</v>
      </c>
      <c r="F63" s="309">
        <f t="shared" ca="1" si="0"/>
        <v>197.55</v>
      </c>
      <c r="I63" s="1596" t="s">
        <v>1296</v>
      </c>
      <c r="J63" s="1597">
        <v>70</v>
      </c>
      <c r="K63" s="1597">
        <v>50</v>
      </c>
      <c r="L63" s="1597">
        <v>80</v>
      </c>
      <c r="M63" s="1599">
        <v>0.02</v>
      </c>
      <c r="O63" s="1537" t="s">
        <v>1297</v>
      </c>
      <c r="P63" s="1515"/>
      <c r="Q63" s="1515"/>
      <c r="R63" s="1515"/>
    </row>
    <row r="64" spans="1:18" s="1518" customFormat="1" ht="13.5" thickBot="1">
      <c r="A64" s="1093" t="s">
        <v>826</v>
      </c>
      <c r="B64" s="1061" t="s">
        <v>1169</v>
      </c>
      <c r="C64" s="24">
        <f ca="1">ROUND(C57*F64,1)</f>
        <v>30.3</v>
      </c>
      <c r="D64" s="1075" t="s">
        <v>1202</v>
      </c>
      <c r="E64" s="1061" t="s">
        <v>1142</v>
      </c>
      <c r="F64" s="334">
        <f t="shared" ca="1" si="0"/>
        <v>0.01</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3</v>
      </c>
      <c r="D65" s="1075" t="s">
        <v>1174</v>
      </c>
      <c r="E65" s="1061" t="s">
        <v>1142</v>
      </c>
      <c r="F65" s="336">
        <f t="shared" ca="1" si="0"/>
        <v>1E-3</v>
      </c>
      <c r="I65" s="1596" t="s">
        <v>1299</v>
      </c>
      <c r="J65" s="1597">
        <v>40</v>
      </c>
      <c r="K65" s="1597">
        <v>30</v>
      </c>
      <c r="L65" s="1597">
        <v>50</v>
      </c>
      <c r="M65" s="1599">
        <v>0.02</v>
      </c>
      <c r="O65" s="1552" t="s">
        <v>827</v>
      </c>
      <c r="P65" s="1553" t="s">
        <v>1248</v>
      </c>
      <c r="Q65" s="1554">
        <f ca="1">C40+J29</f>
        <v>9603</v>
      </c>
      <c r="R65" s="1554" t="s">
        <v>1249</v>
      </c>
    </row>
    <row r="66" spans="1:18" s="1518" customFormat="1" ht="16" thickBot="1">
      <c r="A66" s="1093" t="s">
        <v>1224</v>
      </c>
      <c r="B66" s="1061" t="s">
        <v>1159</v>
      </c>
      <c r="C66" s="24">
        <f ca="1">ROUND(C48*F66,1)</f>
        <v>0</v>
      </c>
      <c r="D66" s="1075" t="s">
        <v>1179</v>
      </c>
      <c r="E66" s="1061" t="s">
        <v>1142</v>
      </c>
      <c r="F66" s="318">
        <f t="shared" ca="1" si="0"/>
        <v>2.5000000000000001E-2</v>
      </c>
      <c r="O66" s="1552" t="s">
        <v>828</v>
      </c>
      <c r="P66" s="1553" t="s">
        <v>1278</v>
      </c>
      <c r="Q66" s="1554">
        <f ca="1">L60</f>
        <v>0</v>
      </c>
      <c r="R66" s="1554" t="s">
        <v>1301</v>
      </c>
    </row>
    <row r="67" spans="1:18" s="1518" customFormat="1" ht="26.5" thickBot="1">
      <c r="A67" s="1068" t="s">
        <v>818</v>
      </c>
      <c r="B67" s="1078" t="s">
        <v>1183</v>
      </c>
      <c r="C67" s="322">
        <f ca="1">C48-C58</f>
        <v>-288</v>
      </c>
      <c r="D67" s="1074" t="s">
        <v>1184</v>
      </c>
      <c r="E67" s="1079"/>
      <c r="F67" s="1080"/>
      <c r="O67" s="1562" t="s">
        <v>829</v>
      </c>
      <c r="P67" s="1553" t="s">
        <v>1282</v>
      </c>
      <c r="Q67" s="1600">
        <f ca="1">L51</f>
        <v>6676</v>
      </c>
      <c r="R67" s="1554" t="s">
        <v>1302</v>
      </c>
    </row>
    <row r="68" spans="1:18" s="1518" customFormat="1" ht="16" thickBot="1">
      <c r="A68" s="1058" t="s">
        <v>819</v>
      </c>
      <c r="B68" s="1059" t="s">
        <v>1205</v>
      </c>
      <c r="C68" s="307">
        <f ca="1">ROUND(C67*(1-((1+F70)/(1+F68))^F69)/(F68-F70),0)</f>
        <v>-3587</v>
      </c>
      <c r="D68" s="1076" t="s">
        <v>1189</v>
      </c>
      <c r="E68" s="1061" t="s">
        <v>1190</v>
      </c>
      <c r="F68" s="318">
        <f ca="1">F40</f>
        <v>5.7000000000000002E-2</v>
      </c>
      <c r="O68" s="1562" t="s">
        <v>830</v>
      </c>
      <c r="P68" s="1601" t="s">
        <v>1303</v>
      </c>
      <c r="Q68" s="1554">
        <f ca="1">ROUND(Q69-Q70*Q71,0)</f>
        <v>383</v>
      </c>
      <c r="R68" s="1554" t="s">
        <v>838</v>
      </c>
    </row>
    <row r="69" spans="1:18" s="1518" customFormat="1" ht="13.5" thickBot="1">
      <c r="A69" s="1062"/>
      <c r="B69" s="1063"/>
      <c r="C69" s="312"/>
      <c r="D69" s="1081" t="s">
        <v>1193</v>
      </c>
      <c r="E69" s="1061" t="s">
        <v>1194</v>
      </c>
      <c r="F69" s="339">
        <f ca="1">F41</f>
        <v>22.32</v>
      </c>
      <c r="O69" s="1562" t="s">
        <v>835</v>
      </c>
      <c r="P69" s="1601" t="s">
        <v>1304</v>
      </c>
      <c r="Q69" s="1554">
        <f ca="1">C39</f>
        <v>591</v>
      </c>
      <c r="R69" s="1554" t="s">
        <v>1249</v>
      </c>
    </row>
    <row r="70" spans="1:18" s="1518" customFormat="1" ht="13.5" thickBot="1">
      <c r="A70" s="1065"/>
      <c r="B70" s="1066"/>
      <c r="C70" s="316"/>
      <c r="D70" s="1077"/>
      <c r="E70" s="1061" t="s">
        <v>1197</v>
      </c>
      <c r="F70" s="1165"/>
      <c r="O70" s="1562" t="s">
        <v>836</v>
      </c>
      <c r="P70" s="1601" t="s">
        <v>1305</v>
      </c>
      <c r="Q70" s="1554">
        <f ca="1">C13</f>
        <v>2965</v>
      </c>
      <c r="R70" s="1554" t="s">
        <v>1249</v>
      </c>
    </row>
    <row r="71" spans="1:18" s="1518" customFormat="1" ht="13.5" thickBot="1">
      <c r="A71" s="1082" t="s">
        <v>820</v>
      </c>
      <c r="B71" s="1083" t="s">
        <v>1207</v>
      </c>
      <c r="C71" s="342">
        <f ca="1">ROUND(C68*10000/F71,0)</f>
        <v>-10453</v>
      </c>
      <c r="D71" s="1084" t="s">
        <v>1208</v>
      </c>
      <c r="E71" s="1085" t="s">
        <v>1209</v>
      </c>
      <c r="F71" s="345">
        <f ca="1">F43</f>
        <v>3431.64</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208</v>
      </c>
      <c r="D75" s="1518"/>
      <c r="E75" s="1518"/>
      <c r="F75" s="1518"/>
      <c r="K75" s="1536"/>
      <c r="L75" s="1518"/>
      <c r="O75" s="1552" t="s">
        <v>833</v>
      </c>
      <c r="P75" s="1553" t="s">
        <v>1269</v>
      </c>
      <c r="Q75" s="1554">
        <f ca="1">Q65+Q66</f>
        <v>9603</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0.64800000000000002</v>
      </c>
    </row>
    <row r="80" spans="1:18" ht="13">
      <c r="B80" s="346" t="s">
        <v>1231</v>
      </c>
      <c r="C80" s="280">
        <f ca="1">ROUND(C75/C39,3)</f>
        <v>0.35199999999999998</v>
      </c>
    </row>
    <row r="81" spans="2:3" ht="13.5">
      <c r="B81" s="276" t="s">
        <v>1232</v>
      </c>
      <c r="C81" s="244"/>
    </row>
    <row r="82" spans="2:3" ht="13">
      <c r="B82" s="279" t="s">
        <v>1233</v>
      </c>
      <c r="C82" s="281">
        <f ca="1">1-C83</f>
        <v>0.69100000000000006</v>
      </c>
    </row>
    <row r="83" spans="2:3" ht="13">
      <c r="B83" s="279" t="s">
        <v>1234</v>
      </c>
      <c r="C83" s="280">
        <f ca="1">ROUND(C13/C40,3)</f>
        <v>0.309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E1" sqref="E1:F1"/>
    </sheetView>
  </sheetViews>
  <sheetFormatPr defaultRowHeight="13.4" customHeight="1"/>
  <cols>
    <col min="1" max="1" width="9.453125" style="3018" customWidth="1"/>
    <col min="2" max="2" width="8.90625" style="3018"/>
    <col min="3" max="5" width="12.90625" style="3018" customWidth="1"/>
    <col min="6" max="6" width="47.453125" style="3018" customWidth="1"/>
    <col min="7" max="7" width="13" style="3177" customWidth="1"/>
    <col min="8" max="8" width="8.90625" style="3012"/>
    <col min="9" max="9" width="8.90625" style="3013"/>
    <col min="10" max="10" width="5.90625" style="3178" customWidth="1"/>
    <col min="11" max="11" width="11.90625" style="3178" customWidth="1"/>
    <col min="12" max="13" width="10.90625" style="3178" customWidth="1"/>
    <col min="14" max="14" width="10" style="3178" customWidth="1"/>
    <col min="15" max="16" width="10.453125" style="3178" bestFit="1" customWidth="1"/>
    <col min="17" max="17" width="10" style="3178" customWidth="1"/>
    <col min="18" max="18" width="10.08984375" style="3178" customWidth="1"/>
    <col min="19" max="19" width="10" style="3178" customWidth="1"/>
    <col min="20" max="20" width="26.08984375" style="3178" customWidth="1"/>
    <col min="21" max="21" width="8.90625" style="3178"/>
    <col min="22" max="22" width="8.90625" style="3013"/>
    <col min="23" max="256" width="8.90625" style="3018"/>
    <col min="257" max="257" width="9.453125" style="3018" customWidth="1"/>
    <col min="258" max="258" width="8.90625" style="3018"/>
    <col min="259" max="261" width="12.90625" style="3018" customWidth="1"/>
    <col min="262" max="262" width="47.453125" style="3018" customWidth="1"/>
    <col min="263" max="263" width="13" style="3018" customWidth="1"/>
    <col min="264" max="265" width="8.90625" style="3018"/>
    <col min="266" max="266" width="5.90625" style="3018" customWidth="1"/>
    <col min="267" max="267" width="11.90625" style="3018" customWidth="1"/>
    <col min="268" max="269" width="10.90625" style="3018" customWidth="1"/>
    <col min="270" max="270" width="10" style="3018" customWidth="1"/>
    <col min="271" max="272" width="10.453125" style="3018" bestFit="1" customWidth="1"/>
    <col min="273" max="273" width="10" style="3018" customWidth="1"/>
    <col min="274" max="274" width="10.08984375" style="3018" customWidth="1"/>
    <col min="275" max="275" width="10" style="3018" customWidth="1"/>
    <col min="276" max="276" width="26.08984375" style="3018" customWidth="1"/>
    <col min="277" max="512" width="8.90625" style="3018"/>
    <col min="513" max="513" width="9.453125" style="3018" customWidth="1"/>
    <col min="514" max="514" width="8.90625" style="3018"/>
    <col min="515" max="517" width="12.90625" style="3018" customWidth="1"/>
    <col min="518" max="518" width="47.453125" style="3018" customWidth="1"/>
    <col min="519" max="519" width="13" style="3018" customWidth="1"/>
    <col min="520" max="521" width="8.90625" style="3018"/>
    <col min="522" max="522" width="5.90625" style="3018" customWidth="1"/>
    <col min="523" max="523" width="11.90625" style="3018" customWidth="1"/>
    <col min="524" max="525" width="10.90625" style="3018" customWidth="1"/>
    <col min="526" max="526" width="10" style="3018" customWidth="1"/>
    <col min="527" max="528" width="10.453125" style="3018" bestFit="1" customWidth="1"/>
    <col min="529" max="529" width="10" style="3018" customWidth="1"/>
    <col min="530" max="530" width="10.08984375" style="3018" customWidth="1"/>
    <col min="531" max="531" width="10" style="3018" customWidth="1"/>
    <col min="532" max="532" width="26.08984375" style="3018" customWidth="1"/>
    <col min="533" max="768" width="8.90625" style="3018"/>
    <col min="769" max="769" width="9.453125" style="3018" customWidth="1"/>
    <col min="770" max="770" width="8.90625" style="3018"/>
    <col min="771" max="773" width="12.90625" style="3018" customWidth="1"/>
    <col min="774" max="774" width="47.453125" style="3018" customWidth="1"/>
    <col min="775" max="775" width="13" style="3018" customWidth="1"/>
    <col min="776" max="777" width="8.90625" style="3018"/>
    <col min="778" max="778" width="5.90625" style="3018" customWidth="1"/>
    <col min="779" max="779" width="11.90625" style="3018" customWidth="1"/>
    <col min="780" max="781" width="10.90625" style="3018" customWidth="1"/>
    <col min="782" max="782" width="10" style="3018" customWidth="1"/>
    <col min="783" max="784" width="10.453125" style="3018" bestFit="1" customWidth="1"/>
    <col min="785" max="785" width="10" style="3018" customWidth="1"/>
    <col min="786" max="786" width="10.08984375" style="3018" customWidth="1"/>
    <col min="787" max="787" width="10" style="3018" customWidth="1"/>
    <col min="788" max="788" width="26.08984375" style="3018" customWidth="1"/>
    <col min="789" max="1024" width="8.90625" style="3018"/>
    <col min="1025" max="1025" width="9.453125" style="3018" customWidth="1"/>
    <col min="1026" max="1026" width="8.90625" style="3018"/>
    <col min="1027" max="1029" width="12.90625" style="3018" customWidth="1"/>
    <col min="1030" max="1030" width="47.453125" style="3018" customWidth="1"/>
    <col min="1031" max="1031" width="13" style="3018" customWidth="1"/>
    <col min="1032" max="1033" width="8.90625" style="3018"/>
    <col min="1034" max="1034" width="5.90625" style="3018" customWidth="1"/>
    <col min="1035" max="1035" width="11.90625" style="3018" customWidth="1"/>
    <col min="1036" max="1037" width="10.90625" style="3018" customWidth="1"/>
    <col min="1038" max="1038" width="10" style="3018" customWidth="1"/>
    <col min="1039" max="1040" width="10.453125" style="3018" bestFit="1" customWidth="1"/>
    <col min="1041" max="1041" width="10" style="3018" customWidth="1"/>
    <col min="1042" max="1042" width="10.08984375" style="3018" customWidth="1"/>
    <col min="1043" max="1043" width="10" style="3018" customWidth="1"/>
    <col min="1044" max="1044" width="26.08984375" style="3018" customWidth="1"/>
    <col min="1045" max="1280" width="8.90625" style="3018"/>
    <col min="1281" max="1281" width="9.453125" style="3018" customWidth="1"/>
    <col min="1282" max="1282" width="8.90625" style="3018"/>
    <col min="1283" max="1285" width="12.90625" style="3018" customWidth="1"/>
    <col min="1286" max="1286" width="47.453125" style="3018" customWidth="1"/>
    <col min="1287" max="1287" width="13" style="3018" customWidth="1"/>
    <col min="1288" max="1289" width="8.90625" style="3018"/>
    <col min="1290" max="1290" width="5.90625" style="3018" customWidth="1"/>
    <col min="1291" max="1291" width="11.90625" style="3018" customWidth="1"/>
    <col min="1292" max="1293" width="10.90625" style="3018" customWidth="1"/>
    <col min="1294" max="1294" width="10" style="3018" customWidth="1"/>
    <col min="1295" max="1296" width="10.453125" style="3018" bestFit="1" customWidth="1"/>
    <col min="1297" max="1297" width="10" style="3018" customWidth="1"/>
    <col min="1298" max="1298" width="10.08984375" style="3018" customWidth="1"/>
    <col min="1299" max="1299" width="10" style="3018" customWidth="1"/>
    <col min="1300" max="1300" width="26.08984375" style="3018" customWidth="1"/>
    <col min="1301" max="1536" width="8.90625" style="3018"/>
    <col min="1537" max="1537" width="9.453125" style="3018" customWidth="1"/>
    <col min="1538" max="1538" width="8.90625" style="3018"/>
    <col min="1539" max="1541" width="12.90625" style="3018" customWidth="1"/>
    <col min="1542" max="1542" width="47.453125" style="3018" customWidth="1"/>
    <col min="1543" max="1543" width="13" style="3018" customWidth="1"/>
    <col min="1544" max="1545" width="8.90625" style="3018"/>
    <col min="1546" max="1546" width="5.90625" style="3018" customWidth="1"/>
    <col min="1547" max="1547" width="11.90625" style="3018" customWidth="1"/>
    <col min="1548" max="1549" width="10.90625" style="3018" customWidth="1"/>
    <col min="1550" max="1550" width="10" style="3018" customWidth="1"/>
    <col min="1551" max="1552" width="10.453125" style="3018" bestFit="1" customWidth="1"/>
    <col min="1553" max="1553" width="10" style="3018" customWidth="1"/>
    <col min="1554" max="1554" width="10.08984375" style="3018" customWidth="1"/>
    <col min="1555" max="1555" width="10" style="3018" customWidth="1"/>
    <col min="1556" max="1556" width="26.08984375" style="3018" customWidth="1"/>
    <col min="1557" max="1792" width="8.90625" style="3018"/>
    <col min="1793" max="1793" width="9.453125" style="3018" customWidth="1"/>
    <col min="1794" max="1794" width="8.90625" style="3018"/>
    <col min="1795" max="1797" width="12.90625" style="3018" customWidth="1"/>
    <col min="1798" max="1798" width="47.453125" style="3018" customWidth="1"/>
    <col min="1799" max="1799" width="13" style="3018" customWidth="1"/>
    <col min="1800" max="1801" width="8.90625" style="3018"/>
    <col min="1802" max="1802" width="5.90625" style="3018" customWidth="1"/>
    <col min="1803" max="1803" width="11.90625" style="3018" customWidth="1"/>
    <col min="1804" max="1805" width="10.90625" style="3018" customWidth="1"/>
    <col min="1806" max="1806" width="10" style="3018" customWidth="1"/>
    <col min="1807" max="1808" width="10.453125" style="3018" bestFit="1" customWidth="1"/>
    <col min="1809" max="1809" width="10" style="3018" customWidth="1"/>
    <col min="1810" max="1810" width="10.08984375" style="3018" customWidth="1"/>
    <col min="1811" max="1811" width="10" style="3018" customWidth="1"/>
    <col min="1812" max="1812" width="26.08984375" style="3018" customWidth="1"/>
    <col min="1813" max="2048" width="8.90625" style="3018"/>
    <col min="2049" max="2049" width="9.453125" style="3018" customWidth="1"/>
    <col min="2050" max="2050" width="8.90625" style="3018"/>
    <col min="2051" max="2053" width="12.90625" style="3018" customWidth="1"/>
    <col min="2054" max="2054" width="47.453125" style="3018" customWidth="1"/>
    <col min="2055" max="2055" width="13" style="3018" customWidth="1"/>
    <col min="2056" max="2057" width="8.90625" style="3018"/>
    <col min="2058" max="2058" width="5.90625" style="3018" customWidth="1"/>
    <col min="2059" max="2059" width="11.90625" style="3018" customWidth="1"/>
    <col min="2060" max="2061" width="10.90625" style="3018" customWidth="1"/>
    <col min="2062" max="2062" width="10" style="3018" customWidth="1"/>
    <col min="2063" max="2064" width="10.453125" style="3018" bestFit="1" customWidth="1"/>
    <col min="2065" max="2065" width="10" style="3018" customWidth="1"/>
    <col min="2066" max="2066" width="10.08984375" style="3018" customWidth="1"/>
    <col min="2067" max="2067" width="10" style="3018" customWidth="1"/>
    <col min="2068" max="2068" width="26.08984375" style="3018" customWidth="1"/>
    <col min="2069" max="2304" width="8.90625" style="3018"/>
    <col min="2305" max="2305" width="9.453125" style="3018" customWidth="1"/>
    <col min="2306" max="2306" width="8.90625" style="3018"/>
    <col min="2307" max="2309" width="12.90625" style="3018" customWidth="1"/>
    <col min="2310" max="2310" width="47.453125" style="3018" customWidth="1"/>
    <col min="2311" max="2311" width="13" style="3018" customWidth="1"/>
    <col min="2312" max="2313" width="8.90625" style="3018"/>
    <col min="2314" max="2314" width="5.90625" style="3018" customWidth="1"/>
    <col min="2315" max="2315" width="11.90625" style="3018" customWidth="1"/>
    <col min="2316" max="2317" width="10.90625" style="3018" customWidth="1"/>
    <col min="2318" max="2318" width="10" style="3018" customWidth="1"/>
    <col min="2319" max="2320" width="10.453125" style="3018" bestFit="1" customWidth="1"/>
    <col min="2321" max="2321" width="10" style="3018" customWidth="1"/>
    <col min="2322" max="2322" width="10.08984375" style="3018" customWidth="1"/>
    <col min="2323" max="2323" width="10" style="3018" customWidth="1"/>
    <col min="2324" max="2324" width="26.08984375" style="3018" customWidth="1"/>
    <col min="2325" max="2560" width="8.90625" style="3018"/>
    <col min="2561" max="2561" width="9.453125" style="3018" customWidth="1"/>
    <col min="2562" max="2562" width="8.90625" style="3018"/>
    <col min="2563" max="2565" width="12.90625" style="3018" customWidth="1"/>
    <col min="2566" max="2566" width="47.453125" style="3018" customWidth="1"/>
    <col min="2567" max="2567" width="13" style="3018" customWidth="1"/>
    <col min="2568" max="2569" width="8.90625" style="3018"/>
    <col min="2570" max="2570" width="5.90625" style="3018" customWidth="1"/>
    <col min="2571" max="2571" width="11.90625" style="3018" customWidth="1"/>
    <col min="2572" max="2573" width="10.90625" style="3018" customWidth="1"/>
    <col min="2574" max="2574" width="10" style="3018" customWidth="1"/>
    <col min="2575" max="2576" width="10.453125" style="3018" bestFit="1" customWidth="1"/>
    <col min="2577" max="2577" width="10" style="3018" customWidth="1"/>
    <col min="2578" max="2578" width="10.08984375" style="3018" customWidth="1"/>
    <col min="2579" max="2579" width="10" style="3018" customWidth="1"/>
    <col min="2580" max="2580" width="26.08984375" style="3018" customWidth="1"/>
    <col min="2581" max="2816" width="8.90625" style="3018"/>
    <col min="2817" max="2817" width="9.453125" style="3018" customWidth="1"/>
    <col min="2818" max="2818" width="8.90625" style="3018"/>
    <col min="2819" max="2821" width="12.90625" style="3018" customWidth="1"/>
    <col min="2822" max="2822" width="47.453125" style="3018" customWidth="1"/>
    <col min="2823" max="2823" width="13" style="3018" customWidth="1"/>
    <col min="2824" max="2825" width="8.90625" style="3018"/>
    <col min="2826" max="2826" width="5.90625" style="3018" customWidth="1"/>
    <col min="2827" max="2827" width="11.90625" style="3018" customWidth="1"/>
    <col min="2828" max="2829" width="10.90625" style="3018" customWidth="1"/>
    <col min="2830" max="2830" width="10" style="3018" customWidth="1"/>
    <col min="2831" max="2832" width="10.453125" style="3018" bestFit="1" customWidth="1"/>
    <col min="2833" max="2833" width="10" style="3018" customWidth="1"/>
    <col min="2834" max="2834" width="10.08984375" style="3018" customWidth="1"/>
    <col min="2835" max="2835" width="10" style="3018" customWidth="1"/>
    <col min="2836" max="2836" width="26.08984375" style="3018" customWidth="1"/>
    <col min="2837" max="3072" width="8.90625" style="3018"/>
    <col min="3073" max="3073" width="9.453125" style="3018" customWidth="1"/>
    <col min="3074" max="3074" width="8.90625" style="3018"/>
    <col min="3075" max="3077" width="12.90625" style="3018" customWidth="1"/>
    <col min="3078" max="3078" width="47.453125" style="3018" customWidth="1"/>
    <col min="3079" max="3079" width="13" style="3018" customWidth="1"/>
    <col min="3080" max="3081" width="8.90625" style="3018"/>
    <col min="3082" max="3082" width="5.90625" style="3018" customWidth="1"/>
    <col min="3083" max="3083" width="11.90625" style="3018" customWidth="1"/>
    <col min="3084" max="3085" width="10.90625" style="3018" customWidth="1"/>
    <col min="3086" max="3086" width="10" style="3018" customWidth="1"/>
    <col min="3087" max="3088" width="10.453125" style="3018" bestFit="1" customWidth="1"/>
    <col min="3089" max="3089" width="10" style="3018" customWidth="1"/>
    <col min="3090" max="3090" width="10.08984375" style="3018" customWidth="1"/>
    <col min="3091" max="3091" width="10" style="3018" customWidth="1"/>
    <col min="3092" max="3092" width="26.08984375" style="3018" customWidth="1"/>
    <col min="3093" max="3328" width="8.90625" style="3018"/>
    <col min="3329" max="3329" width="9.453125" style="3018" customWidth="1"/>
    <col min="3330" max="3330" width="8.90625" style="3018"/>
    <col min="3331" max="3333" width="12.90625" style="3018" customWidth="1"/>
    <col min="3334" max="3334" width="47.453125" style="3018" customWidth="1"/>
    <col min="3335" max="3335" width="13" style="3018" customWidth="1"/>
    <col min="3336" max="3337" width="8.90625" style="3018"/>
    <col min="3338" max="3338" width="5.90625" style="3018" customWidth="1"/>
    <col min="3339" max="3339" width="11.90625" style="3018" customWidth="1"/>
    <col min="3340" max="3341" width="10.90625" style="3018" customWidth="1"/>
    <col min="3342" max="3342" width="10" style="3018" customWidth="1"/>
    <col min="3343" max="3344" width="10.453125" style="3018" bestFit="1" customWidth="1"/>
    <col min="3345" max="3345" width="10" style="3018" customWidth="1"/>
    <col min="3346" max="3346" width="10.08984375" style="3018" customWidth="1"/>
    <col min="3347" max="3347" width="10" style="3018" customWidth="1"/>
    <col min="3348" max="3348" width="26.08984375" style="3018" customWidth="1"/>
    <col min="3349" max="3584" width="8.90625" style="3018"/>
    <col min="3585" max="3585" width="9.453125" style="3018" customWidth="1"/>
    <col min="3586" max="3586" width="8.90625" style="3018"/>
    <col min="3587" max="3589" width="12.90625" style="3018" customWidth="1"/>
    <col min="3590" max="3590" width="47.453125" style="3018" customWidth="1"/>
    <col min="3591" max="3591" width="13" style="3018" customWidth="1"/>
    <col min="3592" max="3593" width="8.90625" style="3018"/>
    <col min="3594" max="3594" width="5.90625" style="3018" customWidth="1"/>
    <col min="3595" max="3595" width="11.90625" style="3018" customWidth="1"/>
    <col min="3596" max="3597" width="10.90625" style="3018" customWidth="1"/>
    <col min="3598" max="3598" width="10" style="3018" customWidth="1"/>
    <col min="3599" max="3600" width="10.453125" style="3018" bestFit="1" customWidth="1"/>
    <col min="3601" max="3601" width="10" style="3018" customWidth="1"/>
    <col min="3602" max="3602" width="10.08984375" style="3018" customWidth="1"/>
    <col min="3603" max="3603" width="10" style="3018" customWidth="1"/>
    <col min="3604" max="3604" width="26.08984375" style="3018" customWidth="1"/>
    <col min="3605" max="3840" width="8.90625" style="3018"/>
    <col min="3841" max="3841" width="9.453125" style="3018" customWidth="1"/>
    <col min="3842" max="3842" width="8.90625" style="3018"/>
    <col min="3843" max="3845" width="12.90625" style="3018" customWidth="1"/>
    <col min="3846" max="3846" width="47.453125" style="3018" customWidth="1"/>
    <col min="3847" max="3847" width="13" style="3018" customWidth="1"/>
    <col min="3848" max="3849" width="8.90625" style="3018"/>
    <col min="3850" max="3850" width="5.90625" style="3018" customWidth="1"/>
    <col min="3851" max="3851" width="11.90625" style="3018" customWidth="1"/>
    <col min="3852" max="3853" width="10.90625" style="3018" customWidth="1"/>
    <col min="3854" max="3854" width="10" style="3018" customWidth="1"/>
    <col min="3855" max="3856" width="10.453125" style="3018" bestFit="1" customWidth="1"/>
    <col min="3857" max="3857" width="10" style="3018" customWidth="1"/>
    <col min="3858" max="3858" width="10.08984375" style="3018" customWidth="1"/>
    <col min="3859" max="3859" width="10" style="3018" customWidth="1"/>
    <col min="3860" max="3860" width="26.08984375" style="3018" customWidth="1"/>
    <col min="3861" max="4096" width="8.90625" style="3018"/>
    <col min="4097" max="4097" width="9.453125" style="3018" customWidth="1"/>
    <col min="4098" max="4098" width="8.90625" style="3018"/>
    <col min="4099" max="4101" width="12.90625" style="3018" customWidth="1"/>
    <col min="4102" max="4102" width="47.453125" style="3018" customWidth="1"/>
    <col min="4103" max="4103" width="13" style="3018" customWidth="1"/>
    <col min="4104" max="4105" width="8.90625" style="3018"/>
    <col min="4106" max="4106" width="5.90625" style="3018" customWidth="1"/>
    <col min="4107" max="4107" width="11.90625" style="3018" customWidth="1"/>
    <col min="4108" max="4109" width="10.90625" style="3018" customWidth="1"/>
    <col min="4110" max="4110" width="10" style="3018" customWidth="1"/>
    <col min="4111" max="4112" width="10.453125" style="3018" bestFit="1" customWidth="1"/>
    <col min="4113" max="4113" width="10" style="3018" customWidth="1"/>
    <col min="4114" max="4114" width="10.08984375" style="3018" customWidth="1"/>
    <col min="4115" max="4115" width="10" style="3018" customWidth="1"/>
    <col min="4116" max="4116" width="26.08984375" style="3018" customWidth="1"/>
    <col min="4117" max="4352" width="8.90625" style="3018"/>
    <col min="4353" max="4353" width="9.453125" style="3018" customWidth="1"/>
    <col min="4354" max="4354" width="8.90625" style="3018"/>
    <col min="4355" max="4357" width="12.90625" style="3018" customWidth="1"/>
    <col min="4358" max="4358" width="47.453125" style="3018" customWidth="1"/>
    <col min="4359" max="4359" width="13" style="3018" customWidth="1"/>
    <col min="4360" max="4361" width="8.90625" style="3018"/>
    <col min="4362" max="4362" width="5.90625" style="3018" customWidth="1"/>
    <col min="4363" max="4363" width="11.90625" style="3018" customWidth="1"/>
    <col min="4364" max="4365" width="10.90625" style="3018" customWidth="1"/>
    <col min="4366" max="4366" width="10" style="3018" customWidth="1"/>
    <col min="4367" max="4368" width="10.453125" style="3018" bestFit="1" customWidth="1"/>
    <col min="4369" max="4369" width="10" style="3018" customWidth="1"/>
    <col min="4370" max="4370" width="10.08984375" style="3018" customWidth="1"/>
    <col min="4371" max="4371" width="10" style="3018" customWidth="1"/>
    <col min="4372" max="4372" width="26.08984375" style="3018" customWidth="1"/>
    <col min="4373" max="4608" width="8.90625" style="3018"/>
    <col min="4609" max="4609" width="9.453125" style="3018" customWidth="1"/>
    <col min="4610" max="4610" width="8.90625" style="3018"/>
    <col min="4611" max="4613" width="12.90625" style="3018" customWidth="1"/>
    <col min="4614" max="4614" width="47.453125" style="3018" customWidth="1"/>
    <col min="4615" max="4615" width="13" style="3018" customWidth="1"/>
    <col min="4616" max="4617" width="8.90625" style="3018"/>
    <col min="4618" max="4618" width="5.90625" style="3018" customWidth="1"/>
    <col min="4619" max="4619" width="11.90625" style="3018" customWidth="1"/>
    <col min="4620" max="4621" width="10.90625" style="3018" customWidth="1"/>
    <col min="4622" max="4622" width="10" style="3018" customWidth="1"/>
    <col min="4623" max="4624" width="10.453125" style="3018" bestFit="1" customWidth="1"/>
    <col min="4625" max="4625" width="10" style="3018" customWidth="1"/>
    <col min="4626" max="4626" width="10.08984375" style="3018" customWidth="1"/>
    <col min="4627" max="4627" width="10" style="3018" customWidth="1"/>
    <col min="4628" max="4628" width="26.08984375" style="3018" customWidth="1"/>
    <col min="4629" max="4864" width="8.90625" style="3018"/>
    <col min="4865" max="4865" width="9.453125" style="3018" customWidth="1"/>
    <col min="4866" max="4866" width="8.90625" style="3018"/>
    <col min="4867" max="4869" width="12.90625" style="3018" customWidth="1"/>
    <col min="4870" max="4870" width="47.453125" style="3018" customWidth="1"/>
    <col min="4871" max="4871" width="13" style="3018" customWidth="1"/>
    <col min="4872" max="4873" width="8.90625" style="3018"/>
    <col min="4874" max="4874" width="5.90625" style="3018" customWidth="1"/>
    <col min="4875" max="4875" width="11.90625" style="3018" customWidth="1"/>
    <col min="4876" max="4877" width="10.90625" style="3018" customWidth="1"/>
    <col min="4878" max="4878" width="10" style="3018" customWidth="1"/>
    <col min="4879" max="4880" width="10.453125" style="3018" bestFit="1" customWidth="1"/>
    <col min="4881" max="4881" width="10" style="3018" customWidth="1"/>
    <col min="4882" max="4882" width="10.08984375" style="3018" customWidth="1"/>
    <col min="4883" max="4883" width="10" style="3018" customWidth="1"/>
    <col min="4884" max="4884" width="26.08984375" style="3018" customWidth="1"/>
    <col min="4885" max="5120" width="8.90625" style="3018"/>
    <col min="5121" max="5121" width="9.453125" style="3018" customWidth="1"/>
    <col min="5122" max="5122" width="8.90625" style="3018"/>
    <col min="5123" max="5125" width="12.90625" style="3018" customWidth="1"/>
    <col min="5126" max="5126" width="47.453125" style="3018" customWidth="1"/>
    <col min="5127" max="5127" width="13" style="3018" customWidth="1"/>
    <col min="5128" max="5129" width="8.90625" style="3018"/>
    <col min="5130" max="5130" width="5.90625" style="3018" customWidth="1"/>
    <col min="5131" max="5131" width="11.90625" style="3018" customWidth="1"/>
    <col min="5132" max="5133" width="10.90625" style="3018" customWidth="1"/>
    <col min="5134" max="5134" width="10" style="3018" customWidth="1"/>
    <col min="5135" max="5136" width="10.453125" style="3018" bestFit="1" customWidth="1"/>
    <col min="5137" max="5137" width="10" style="3018" customWidth="1"/>
    <col min="5138" max="5138" width="10.08984375" style="3018" customWidth="1"/>
    <col min="5139" max="5139" width="10" style="3018" customWidth="1"/>
    <col min="5140" max="5140" width="26.08984375" style="3018" customWidth="1"/>
    <col min="5141" max="5376" width="8.90625" style="3018"/>
    <col min="5377" max="5377" width="9.453125" style="3018" customWidth="1"/>
    <col min="5378" max="5378" width="8.90625" style="3018"/>
    <col min="5379" max="5381" width="12.90625" style="3018" customWidth="1"/>
    <col min="5382" max="5382" width="47.453125" style="3018" customWidth="1"/>
    <col min="5383" max="5383" width="13" style="3018" customWidth="1"/>
    <col min="5384" max="5385" width="8.90625" style="3018"/>
    <col min="5386" max="5386" width="5.90625" style="3018" customWidth="1"/>
    <col min="5387" max="5387" width="11.90625" style="3018" customWidth="1"/>
    <col min="5388" max="5389" width="10.90625" style="3018" customWidth="1"/>
    <col min="5390" max="5390" width="10" style="3018" customWidth="1"/>
    <col min="5391" max="5392" width="10.453125" style="3018" bestFit="1" customWidth="1"/>
    <col min="5393" max="5393" width="10" style="3018" customWidth="1"/>
    <col min="5394" max="5394" width="10.08984375" style="3018" customWidth="1"/>
    <col min="5395" max="5395" width="10" style="3018" customWidth="1"/>
    <col min="5396" max="5396" width="26.08984375" style="3018" customWidth="1"/>
    <col min="5397" max="5632" width="8.90625" style="3018"/>
    <col min="5633" max="5633" width="9.453125" style="3018" customWidth="1"/>
    <col min="5634" max="5634" width="8.90625" style="3018"/>
    <col min="5635" max="5637" width="12.90625" style="3018" customWidth="1"/>
    <col min="5638" max="5638" width="47.453125" style="3018" customWidth="1"/>
    <col min="5639" max="5639" width="13" style="3018" customWidth="1"/>
    <col min="5640" max="5641" width="8.90625" style="3018"/>
    <col min="5642" max="5642" width="5.90625" style="3018" customWidth="1"/>
    <col min="5643" max="5643" width="11.90625" style="3018" customWidth="1"/>
    <col min="5644" max="5645" width="10.90625" style="3018" customWidth="1"/>
    <col min="5646" max="5646" width="10" style="3018" customWidth="1"/>
    <col min="5647" max="5648" width="10.453125" style="3018" bestFit="1" customWidth="1"/>
    <col min="5649" max="5649" width="10" style="3018" customWidth="1"/>
    <col min="5650" max="5650" width="10.08984375" style="3018" customWidth="1"/>
    <col min="5651" max="5651" width="10" style="3018" customWidth="1"/>
    <col min="5652" max="5652" width="26.08984375" style="3018" customWidth="1"/>
    <col min="5653" max="5888" width="8.90625" style="3018"/>
    <col min="5889" max="5889" width="9.453125" style="3018" customWidth="1"/>
    <col min="5890" max="5890" width="8.90625" style="3018"/>
    <col min="5891" max="5893" width="12.90625" style="3018" customWidth="1"/>
    <col min="5894" max="5894" width="47.453125" style="3018" customWidth="1"/>
    <col min="5895" max="5895" width="13" style="3018" customWidth="1"/>
    <col min="5896" max="5897" width="8.90625" style="3018"/>
    <col min="5898" max="5898" width="5.90625" style="3018" customWidth="1"/>
    <col min="5899" max="5899" width="11.90625" style="3018" customWidth="1"/>
    <col min="5900" max="5901" width="10.90625" style="3018" customWidth="1"/>
    <col min="5902" max="5902" width="10" style="3018" customWidth="1"/>
    <col min="5903" max="5904" width="10.453125" style="3018" bestFit="1" customWidth="1"/>
    <col min="5905" max="5905" width="10" style="3018" customWidth="1"/>
    <col min="5906" max="5906" width="10.08984375" style="3018" customWidth="1"/>
    <col min="5907" max="5907" width="10" style="3018" customWidth="1"/>
    <col min="5908" max="5908" width="26.08984375" style="3018" customWidth="1"/>
    <col min="5909" max="6144" width="8.90625" style="3018"/>
    <col min="6145" max="6145" width="9.453125" style="3018" customWidth="1"/>
    <col min="6146" max="6146" width="8.90625" style="3018"/>
    <col min="6147" max="6149" width="12.90625" style="3018" customWidth="1"/>
    <col min="6150" max="6150" width="47.453125" style="3018" customWidth="1"/>
    <col min="6151" max="6151" width="13" style="3018" customWidth="1"/>
    <col min="6152" max="6153" width="8.90625" style="3018"/>
    <col min="6154" max="6154" width="5.90625" style="3018" customWidth="1"/>
    <col min="6155" max="6155" width="11.90625" style="3018" customWidth="1"/>
    <col min="6156" max="6157" width="10.90625" style="3018" customWidth="1"/>
    <col min="6158" max="6158" width="10" style="3018" customWidth="1"/>
    <col min="6159" max="6160" width="10.453125" style="3018" bestFit="1" customWidth="1"/>
    <col min="6161" max="6161" width="10" style="3018" customWidth="1"/>
    <col min="6162" max="6162" width="10.08984375" style="3018" customWidth="1"/>
    <col min="6163" max="6163" width="10" style="3018" customWidth="1"/>
    <col min="6164" max="6164" width="26.08984375" style="3018" customWidth="1"/>
    <col min="6165" max="6400" width="8.90625" style="3018"/>
    <col min="6401" max="6401" width="9.453125" style="3018" customWidth="1"/>
    <col min="6402" max="6402" width="8.90625" style="3018"/>
    <col min="6403" max="6405" width="12.90625" style="3018" customWidth="1"/>
    <col min="6406" max="6406" width="47.453125" style="3018" customWidth="1"/>
    <col min="6407" max="6407" width="13" style="3018" customWidth="1"/>
    <col min="6408" max="6409" width="8.90625" style="3018"/>
    <col min="6410" max="6410" width="5.90625" style="3018" customWidth="1"/>
    <col min="6411" max="6411" width="11.90625" style="3018" customWidth="1"/>
    <col min="6412" max="6413" width="10.90625" style="3018" customWidth="1"/>
    <col min="6414" max="6414" width="10" style="3018" customWidth="1"/>
    <col min="6415" max="6416" width="10.453125" style="3018" bestFit="1" customWidth="1"/>
    <col min="6417" max="6417" width="10" style="3018" customWidth="1"/>
    <col min="6418" max="6418" width="10.08984375" style="3018" customWidth="1"/>
    <col min="6419" max="6419" width="10" style="3018" customWidth="1"/>
    <col min="6420" max="6420" width="26.08984375" style="3018" customWidth="1"/>
    <col min="6421" max="6656" width="8.90625" style="3018"/>
    <col min="6657" max="6657" width="9.453125" style="3018" customWidth="1"/>
    <col min="6658" max="6658" width="8.90625" style="3018"/>
    <col min="6659" max="6661" width="12.90625" style="3018" customWidth="1"/>
    <col min="6662" max="6662" width="47.453125" style="3018" customWidth="1"/>
    <col min="6663" max="6663" width="13" style="3018" customWidth="1"/>
    <col min="6664" max="6665" width="8.90625" style="3018"/>
    <col min="6666" max="6666" width="5.90625" style="3018" customWidth="1"/>
    <col min="6667" max="6667" width="11.90625" style="3018" customWidth="1"/>
    <col min="6668" max="6669" width="10.90625" style="3018" customWidth="1"/>
    <col min="6670" max="6670" width="10" style="3018" customWidth="1"/>
    <col min="6671" max="6672" width="10.453125" style="3018" bestFit="1" customWidth="1"/>
    <col min="6673" max="6673" width="10" style="3018" customWidth="1"/>
    <col min="6674" max="6674" width="10.08984375" style="3018" customWidth="1"/>
    <col min="6675" max="6675" width="10" style="3018" customWidth="1"/>
    <col min="6676" max="6676" width="26.08984375" style="3018" customWidth="1"/>
    <col min="6677" max="6912" width="8.90625" style="3018"/>
    <col min="6913" max="6913" width="9.453125" style="3018" customWidth="1"/>
    <col min="6914" max="6914" width="8.90625" style="3018"/>
    <col min="6915" max="6917" width="12.90625" style="3018" customWidth="1"/>
    <col min="6918" max="6918" width="47.453125" style="3018" customWidth="1"/>
    <col min="6919" max="6919" width="13" style="3018" customWidth="1"/>
    <col min="6920" max="6921" width="8.90625" style="3018"/>
    <col min="6922" max="6922" width="5.90625" style="3018" customWidth="1"/>
    <col min="6923" max="6923" width="11.90625" style="3018" customWidth="1"/>
    <col min="6924" max="6925" width="10.90625" style="3018" customWidth="1"/>
    <col min="6926" max="6926" width="10" style="3018" customWidth="1"/>
    <col min="6927" max="6928" width="10.453125" style="3018" bestFit="1" customWidth="1"/>
    <col min="6929" max="6929" width="10" style="3018" customWidth="1"/>
    <col min="6930" max="6930" width="10.08984375" style="3018" customWidth="1"/>
    <col min="6931" max="6931" width="10" style="3018" customWidth="1"/>
    <col min="6932" max="6932" width="26.08984375" style="3018" customWidth="1"/>
    <col min="6933" max="7168" width="8.90625" style="3018"/>
    <col min="7169" max="7169" width="9.453125" style="3018" customWidth="1"/>
    <col min="7170" max="7170" width="8.90625" style="3018"/>
    <col min="7171" max="7173" width="12.90625" style="3018" customWidth="1"/>
    <col min="7174" max="7174" width="47.453125" style="3018" customWidth="1"/>
    <col min="7175" max="7175" width="13" style="3018" customWidth="1"/>
    <col min="7176" max="7177" width="8.90625" style="3018"/>
    <col min="7178" max="7178" width="5.90625" style="3018" customWidth="1"/>
    <col min="7179" max="7179" width="11.90625" style="3018" customWidth="1"/>
    <col min="7180" max="7181" width="10.90625" style="3018" customWidth="1"/>
    <col min="7182" max="7182" width="10" style="3018" customWidth="1"/>
    <col min="7183" max="7184" width="10.453125" style="3018" bestFit="1" customWidth="1"/>
    <col min="7185" max="7185" width="10" style="3018" customWidth="1"/>
    <col min="7186" max="7186" width="10.08984375" style="3018" customWidth="1"/>
    <col min="7187" max="7187" width="10" style="3018" customWidth="1"/>
    <col min="7188" max="7188" width="26.08984375" style="3018" customWidth="1"/>
    <col min="7189" max="7424" width="8.90625" style="3018"/>
    <col min="7425" max="7425" width="9.453125" style="3018" customWidth="1"/>
    <col min="7426" max="7426" width="8.90625" style="3018"/>
    <col min="7427" max="7429" width="12.90625" style="3018" customWidth="1"/>
    <col min="7430" max="7430" width="47.453125" style="3018" customWidth="1"/>
    <col min="7431" max="7431" width="13" style="3018" customWidth="1"/>
    <col min="7432" max="7433" width="8.90625" style="3018"/>
    <col min="7434" max="7434" width="5.90625" style="3018" customWidth="1"/>
    <col min="7435" max="7435" width="11.90625" style="3018" customWidth="1"/>
    <col min="7436" max="7437" width="10.90625" style="3018" customWidth="1"/>
    <col min="7438" max="7438" width="10" style="3018" customWidth="1"/>
    <col min="7439" max="7440" width="10.453125" style="3018" bestFit="1" customWidth="1"/>
    <col min="7441" max="7441" width="10" style="3018" customWidth="1"/>
    <col min="7442" max="7442" width="10.08984375" style="3018" customWidth="1"/>
    <col min="7443" max="7443" width="10" style="3018" customWidth="1"/>
    <col min="7444" max="7444" width="26.08984375" style="3018" customWidth="1"/>
    <col min="7445" max="7680" width="8.90625" style="3018"/>
    <col min="7681" max="7681" width="9.453125" style="3018" customWidth="1"/>
    <col min="7682" max="7682" width="8.90625" style="3018"/>
    <col min="7683" max="7685" width="12.90625" style="3018" customWidth="1"/>
    <col min="7686" max="7686" width="47.453125" style="3018" customWidth="1"/>
    <col min="7687" max="7687" width="13" style="3018" customWidth="1"/>
    <col min="7688" max="7689" width="8.90625" style="3018"/>
    <col min="7690" max="7690" width="5.90625" style="3018" customWidth="1"/>
    <col min="7691" max="7691" width="11.90625" style="3018" customWidth="1"/>
    <col min="7692" max="7693" width="10.90625" style="3018" customWidth="1"/>
    <col min="7694" max="7694" width="10" style="3018" customWidth="1"/>
    <col min="7695" max="7696" width="10.453125" style="3018" bestFit="1" customWidth="1"/>
    <col min="7697" max="7697" width="10" style="3018" customWidth="1"/>
    <col min="7698" max="7698" width="10.08984375" style="3018" customWidth="1"/>
    <col min="7699" max="7699" width="10" style="3018" customWidth="1"/>
    <col min="7700" max="7700" width="26.08984375" style="3018" customWidth="1"/>
    <col min="7701" max="7936" width="8.90625" style="3018"/>
    <col min="7937" max="7937" width="9.453125" style="3018" customWidth="1"/>
    <col min="7938" max="7938" width="8.90625" style="3018"/>
    <col min="7939" max="7941" width="12.90625" style="3018" customWidth="1"/>
    <col min="7942" max="7942" width="47.453125" style="3018" customWidth="1"/>
    <col min="7943" max="7943" width="13" style="3018" customWidth="1"/>
    <col min="7944" max="7945" width="8.90625" style="3018"/>
    <col min="7946" max="7946" width="5.90625" style="3018" customWidth="1"/>
    <col min="7947" max="7947" width="11.90625" style="3018" customWidth="1"/>
    <col min="7948" max="7949" width="10.90625" style="3018" customWidth="1"/>
    <col min="7950" max="7950" width="10" style="3018" customWidth="1"/>
    <col min="7951" max="7952" width="10.453125" style="3018" bestFit="1" customWidth="1"/>
    <col min="7953" max="7953" width="10" style="3018" customWidth="1"/>
    <col min="7954" max="7954" width="10.08984375" style="3018" customWidth="1"/>
    <col min="7955" max="7955" width="10" style="3018" customWidth="1"/>
    <col min="7956" max="7956" width="26.08984375" style="3018" customWidth="1"/>
    <col min="7957" max="8192" width="8.90625" style="3018"/>
    <col min="8193" max="8193" width="9.453125" style="3018" customWidth="1"/>
    <col min="8194" max="8194" width="8.90625" style="3018"/>
    <col min="8195" max="8197" width="12.90625" style="3018" customWidth="1"/>
    <col min="8198" max="8198" width="47.453125" style="3018" customWidth="1"/>
    <col min="8199" max="8199" width="13" style="3018" customWidth="1"/>
    <col min="8200" max="8201" width="8.90625" style="3018"/>
    <col min="8202" max="8202" width="5.90625" style="3018" customWidth="1"/>
    <col min="8203" max="8203" width="11.90625" style="3018" customWidth="1"/>
    <col min="8204" max="8205" width="10.90625" style="3018" customWidth="1"/>
    <col min="8206" max="8206" width="10" style="3018" customWidth="1"/>
    <col min="8207" max="8208" width="10.453125" style="3018" bestFit="1" customWidth="1"/>
    <col min="8209" max="8209" width="10" style="3018" customWidth="1"/>
    <col min="8210" max="8210" width="10.08984375" style="3018" customWidth="1"/>
    <col min="8211" max="8211" width="10" style="3018" customWidth="1"/>
    <col min="8212" max="8212" width="26.08984375" style="3018" customWidth="1"/>
    <col min="8213" max="8448" width="8.90625" style="3018"/>
    <col min="8449" max="8449" width="9.453125" style="3018" customWidth="1"/>
    <col min="8450" max="8450" width="8.90625" style="3018"/>
    <col min="8451" max="8453" width="12.90625" style="3018" customWidth="1"/>
    <col min="8454" max="8454" width="47.453125" style="3018" customWidth="1"/>
    <col min="8455" max="8455" width="13" style="3018" customWidth="1"/>
    <col min="8456" max="8457" width="8.90625" style="3018"/>
    <col min="8458" max="8458" width="5.90625" style="3018" customWidth="1"/>
    <col min="8459" max="8459" width="11.90625" style="3018" customWidth="1"/>
    <col min="8460" max="8461" width="10.90625" style="3018" customWidth="1"/>
    <col min="8462" max="8462" width="10" style="3018" customWidth="1"/>
    <col min="8463" max="8464" width="10.453125" style="3018" bestFit="1" customWidth="1"/>
    <col min="8465" max="8465" width="10" style="3018" customWidth="1"/>
    <col min="8466" max="8466" width="10.08984375" style="3018" customWidth="1"/>
    <col min="8467" max="8467" width="10" style="3018" customWidth="1"/>
    <col min="8468" max="8468" width="26.08984375" style="3018" customWidth="1"/>
    <col min="8469" max="8704" width="8.90625" style="3018"/>
    <col min="8705" max="8705" width="9.453125" style="3018" customWidth="1"/>
    <col min="8706" max="8706" width="8.90625" style="3018"/>
    <col min="8707" max="8709" width="12.90625" style="3018" customWidth="1"/>
    <col min="8710" max="8710" width="47.453125" style="3018" customWidth="1"/>
    <col min="8711" max="8711" width="13" style="3018" customWidth="1"/>
    <col min="8712" max="8713" width="8.90625" style="3018"/>
    <col min="8714" max="8714" width="5.90625" style="3018" customWidth="1"/>
    <col min="8715" max="8715" width="11.90625" style="3018" customWidth="1"/>
    <col min="8716" max="8717" width="10.90625" style="3018" customWidth="1"/>
    <col min="8718" max="8718" width="10" style="3018" customWidth="1"/>
    <col min="8719" max="8720" width="10.453125" style="3018" bestFit="1" customWidth="1"/>
    <col min="8721" max="8721" width="10" style="3018" customWidth="1"/>
    <col min="8722" max="8722" width="10.08984375" style="3018" customWidth="1"/>
    <col min="8723" max="8723" width="10" style="3018" customWidth="1"/>
    <col min="8724" max="8724" width="26.08984375" style="3018" customWidth="1"/>
    <col min="8725" max="8960" width="8.90625" style="3018"/>
    <col min="8961" max="8961" width="9.453125" style="3018" customWidth="1"/>
    <col min="8962" max="8962" width="8.90625" style="3018"/>
    <col min="8963" max="8965" width="12.90625" style="3018" customWidth="1"/>
    <col min="8966" max="8966" width="47.453125" style="3018" customWidth="1"/>
    <col min="8967" max="8967" width="13" style="3018" customWidth="1"/>
    <col min="8968" max="8969" width="8.90625" style="3018"/>
    <col min="8970" max="8970" width="5.90625" style="3018" customWidth="1"/>
    <col min="8971" max="8971" width="11.90625" style="3018" customWidth="1"/>
    <col min="8972" max="8973" width="10.90625" style="3018" customWidth="1"/>
    <col min="8974" max="8974" width="10" style="3018" customWidth="1"/>
    <col min="8975" max="8976" width="10.453125" style="3018" bestFit="1" customWidth="1"/>
    <col min="8977" max="8977" width="10" style="3018" customWidth="1"/>
    <col min="8978" max="8978" width="10.08984375" style="3018" customWidth="1"/>
    <col min="8979" max="8979" width="10" style="3018" customWidth="1"/>
    <col min="8980" max="8980" width="26.08984375" style="3018" customWidth="1"/>
    <col min="8981" max="9216" width="8.90625" style="3018"/>
    <col min="9217" max="9217" width="9.453125" style="3018" customWidth="1"/>
    <col min="9218" max="9218" width="8.90625" style="3018"/>
    <col min="9219" max="9221" width="12.90625" style="3018" customWidth="1"/>
    <col min="9222" max="9222" width="47.453125" style="3018" customWidth="1"/>
    <col min="9223" max="9223" width="13" style="3018" customWidth="1"/>
    <col min="9224" max="9225" width="8.90625" style="3018"/>
    <col min="9226" max="9226" width="5.90625" style="3018" customWidth="1"/>
    <col min="9227" max="9227" width="11.90625" style="3018" customWidth="1"/>
    <col min="9228" max="9229" width="10.90625" style="3018" customWidth="1"/>
    <col min="9230" max="9230" width="10" style="3018" customWidth="1"/>
    <col min="9231" max="9232" width="10.453125" style="3018" bestFit="1" customWidth="1"/>
    <col min="9233" max="9233" width="10" style="3018" customWidth="1"/>
    <col min="9234" max="9234" width="10.08984375" style="3018" customWidth="1"/>
    <col min="9235" max="9235" width="10" style="3018" customWidth="1"/>
    <col min="9236" max="9236" width="26.08984375" style="3018" customWidth="1"/>
    <col min="9237" max="9472" width="8.90625" style="3018"/>
    <col min="9473" max="9473" width="9.453125" style="3018" customWidth="1"/>
    <col min="9474" max="9474" width="8.90625" style="3018"/>
    <col min="9475" max="9477" width="12.90625" style="3018" customWidth="1"/>
    <col min="9478" max="9478" width="47.453125" style="3018" customWidth="1"/>
    <col min="9479" max="9479" width="13" style="3018" customWidth="1"/>
    <col min="9480" max="9481" width="8.90625" style="3018"/>
    <col min="9482" max="9482" width="5.90625" style="3018" customWidth="1"/>
    <col min="9483" max="9483" width="11.90625" style="3018" customWidth="1"/>
    <col min="9484" max="9485" width="10.90625" style="3018" customWidth="1"/>
    <col min="9486" max="9486" width="10" style="3018" customWidth="1"/>
    <col min="9487" max="9488" width="10.453125" style="3018" bestFit="1" customWidth="1"/>
    <col min="9489" max="9489" width="10" style="3018" customWidth="1"/>
    <col min="9490" max="9490" width="10.08984375" style="3018" customWidth="1"/>
    <col min="9491" max="9491" width="10" style="3018" customWidth="1"/>
    <col min="9492" max="9492" width="26.08984375" style="3018" customWidth="1"/>
    <col min="9493" max="9728" width="8.90625" style="3018"/>
    <col min="9729" max="9729" width="9.453125" style="3018" customWidth="1"/>
    <col min="9730" max="9730" width="8.90625" style="3018"/>
    <col min="9731" max="9733" width="12.90625" style="3018" customWidth="1"/>
    <col min="9734" max="9734" width="47.453125" style="3018" customWidth="1"/>
    <col min="9735" max="9735" width="13" style="3018" customWidth="1"/>
    <col min="9736" max="9737" width="8.90625" style="3018"/>
    <col min="9738" max="9738" width="5.90625" style="3018" customWidth="1"/>
    <col min="9739" max="9739" width="11.90625" style="3018" customWidth="1"/>
    <col min="9740" max="9741" width="10.90625" style="3018" customWidth="1"/>
    <col min="9742" max="9742" width="10" style="3018" customWidth="1"/>
    <col min="9743" max="9744" width="10.453125" style="3018" bestFit="1" customWidth="1"/>
    <col min="9745" max="9745" width="10" style="3018" customWidth="1"/>
    <col min="9746" max="9746" width="10.08984375" style="3018" customWidth="1"/>
    <col min="9747" max="9747" width="10" style="3018" customWidth="1"/>
    <col min="9748" max="9748" width="26.08984375" style="3018" customWidth="1"/>
    <col min="9749" max="9984" width="8.90625" style="3018"/>
    <col min="9985" max="9985" width="9.453125" style="3018" customWidth="1"/>
    <col min="9986" max="9986" width="8.90625" style="3018"/>
    <col min="9987" max="9989" width="12.90625" style="3018" customWidth="1"/>
    <col min="9990" max="9990" width="47.453125" style="3018" customWidth="1"/>
    <col min="9991" max="9991" width="13" style="3018" customWidth="1"/>
    <col min="9992" max="9993" width="8.90625" style="3018"/>
    <col min="9994" max="9994" width="5.90625" style="3018" customWidth="1"/>
    <col min="9995" max="9995" width="11.90625" style="3018" customWidth="1"/>
    <col min="9996" max="9997" width="10.90625" style="3018" customWidth="1"/>
    <col min="9998" max="9998" width="10" style="3018" customWidth="1"/>
    <col min="9999" max="10000" width="10.453125" style="3018" bestFit="1" customWidth="1"/>
    <col min="10001" max="10001" width="10" style="3018" customWidth="1"/>
    <col min="10002" max="10002" width="10.08984375" style="3018" customWidth="1"/>
    <col min="10003" max="10003" width="10" style="3018" customWidth="1"/>
    <col min="10004" max="10004" width="26.08984375" style="3018" customWidth="1"/>
    <col min="10005" max="10240" width="8.90625" style="3018"/>
    <col min="10241" max="10241" width="9.453125" style="3018" customWidth="1"/>
    <col min="10242" max="10242" width="8.90625" style="3018"/>
    <col min="10243" max="10245" width="12.90625" style="3018" customWidth="1"/>
    <col min="10246" max="10246" width="47.453125" style="3018" customWidth="1"/>
    <col min="10247" max="10247" width="13" style="3018" customWidth="1"/>
    <col min="10248" max="10249" width="8.90625" style="3018"/>
    <col min="10250" max="10250" width="5.90625" style="3018" customWidth="1"/>
    <col min="10251" max="10251" width="11.90625" style="3018" customWidth="1"/>
    <col min="10252" max="10253" width="10.90625" style="3018" customWidth="1"/>
    <col min="10254" max="10254" width="10" style="3018" customWidth="1"/>
    <col min="10255" max="10256" width="10.453125" style="3018" bestFit="1" customWidth="1"/>
    <col min="10257" max="10257" width="10" style="3018" customWidth="1"/>
    <col min="10258" max="10258" width="10.08984375" style="3018" customWidth="1"/>
    <col min="10259" max="10259" width="10" style="3018" customWidth="1"/>
    <col min="10260" max="10260" width="26.08984375" style="3018" customWidth="1"/>
    <col min="10261" max="10496" width="8.90625" style="3018"/>
    <col min="10497" max="10497" width="9.453125" style="3018" customWidth="1"/>
    <col min="10498" max="10498" width="8.90625" style="3018"/>
    <col min="10499" max="10501" width="12.90625" style="3018" customWidth="1"/>
    <col min="10502" max="10502" width="47.453125" style="3018" customWidth="1"/>
    <col min="10503" max="10503" width="13" style="3018" customWidth="1"/>
    <col min="10504" max="10505" width="8.90625" style="3018"/>
    <col min="10506" max="10506" width="5.90625" style="3018" customWidth="1"/>
    <col min="10507" max="10507" width="11.90625" style="3018" customWidth="1"/>
    <col min="10508" max="10509" width="10.90625" style="3018" customWidth="1"/>
    <col min="10510" max="10510" width="10" style="3018" customWidth="1"/>
    <col min="10511" max="10512" width="10.453125" style="3018" bestFit="1" customWidth="1"/>
    <col min="10513" max="10513" width="10" style="3018" customWidth="1"/>
    <col min="10514" max="10514" width="10.08984375" style="3018" customWidth="1"/>
    <col min="10515" max="10515" width="10" style="3018" customWidth="1"/>
    <col min="10516" max="10516" width="26.08984375" style="3018" customWidth="1"/>
    <col min="10517" max="10752" width="8.90625" style="3018"/>
    <col min="10753" max="10753" width="9.453125" style="3018" customWidth="1"/>
    <col min="10754" max="10754" width="8.90625" style="3018"/>
    <col min="10755" max="10757" width="12.90625" style="3018" customWidth="1"/>
    <col min="10758" max="10758" width="47.453125" style="3018" customWidth="1"/>
    <col min="10759" max="10759" width="13" style="3018" customWidth="1"/>
    <col min="10760" max="10761" width="8.90625" style="3018"/>
    <col min="10762" max="10762" width="5.90625" style="3018" customWidth="1"/>
    <col min="10763" max="10763" width="11.90625" style="3018" customWidth="1"/>
    <col min="10764" max="10765" width="10.90625" style="3018" customWidth="1"/>
    <col min="10766" max="10766" width="10" style="3018" customWidth="1"/>
    <col min="10767" max="10768" width="10.453125" style="3018" bestFit="1" customWidth="1"/>
    <col min="10769" max="10769" width="10" style="3018" customWidth="1"/>
    <col min="10770" max="10770" width="10.08984375" style="3018" customWidth="1"/>
    <col min="10771" max="10771" width="10" style="3018" customWidth="1"/>
    <col min="10772" max="10772" width="26.08984375" style="3018" customWidth="1"/>
    <col min="10773" max="11008" width="8.90625" style="3018"/>
    <col min="11009" max="11009" width="9.453125" style="3018" customWidth="1"/>
    <col min="11010" max="11010" width="8.90625" style="3018"/>
    <col min="11011" max="11013" width="12.90625" style="3018" customWidth="1"/>
    <col min="11014" max="11014" width="47.453125" style="3018" customWidth="1"/>
    <col min="11015" max="11015" width="13" style="3018" customWidth="1"/>
    <col min="11016" max="11017" width="8.90625" style="3018"/>
    <col min="11018" max="11018" width="5.90625" style="3018" customWidth="1"/>
    <col min="11019" max="11019" width="11.90625" style="3018" customWidth="1"/>
    <col min="11020" max="11021" width="10.90625" style="3018" customWidth="1"/>
    <col min="11022" max="11022" width="10" style="3018" customWidth="1"/>
    <col min="11023" max="11024" width="10.453125" style="3018" bestFit="1" customWidth="1"/>
    <col min="11025" max="11025" width="10" style="3018" customWidth="1"/>
    <col min="11026" max="11026" width="10.08984375" style="3018" customWidth="1"/>
    <col min="11027" max="11027" width="10" style="3018" customWidth="1"/>
    <col min="11028" max="11028" width="26.08984375" style="3018" customWidth="1"/>
    <col min="11029" max="11264" width="8.90625" style="3018"/>
    <col min="11265" max="11265" width="9.453125" style="3018" customWidth="1"/>
    <col min="11266" max="11266" width="8.90625" style="3018"/>
    <col min="11267" max="11269" width="12.90625" style="3018" customWidth="1"/>
    <col min="11270" max="11270" width="47.453125" style="3018" customWidth="1"/>
    <col min="11271" max="11271" width="13" style="3018" customWidth="1"/>
    <col min="11272" max="11273" width="8.90625" style="3018"/>
    <col min="11274" max="11274" width="5.90625" style="3018" customWidth="1"/>
    <col min="11275" max="11275" width="11.90625" style="3018" customWidth="1"/>
    <col min="11276" max="11277" width="10.90625" style="3018" customWidth="1"/>
    <col min="11278" max="11278" width="10" style="3018" customWidth="1"/>
    <col min="11279" max="11280" width="10.453125" style="3018" bestFit="1" customWidth="1"/>
    <col min="11281" max="11281" width="10" style="3018" customWidth="1"/>
    <col min="11282" max="11282" width="10.08984375" style="3018" customWidth="1"/>
    <col min="11283" max="11283" width="10" style="3018" customWidth="1"/>
    <col min="11284" max="11284" width="26.08984375" style="3018" customWidth="1"/>
    <col min="11285" max="11520" width="8.90625" style="3018"/>
    <col min="11521" max="11521" width="9.453125" style="3018" customWidth="1"/>
    <col min="11522" max="11522" width="8.90625" style="3018"/>
    <col min="11523" max="11525" width="12.90625" style="3018" customWidth="1"/>
    <col min="11526" max="11526" width="47.453125" style="3018" customWidth="1"/>
    <col min="11527" max="11527" width="13" style="3018" customWidth="1"/>
    <col min="11528" max="11529" width="8.90625" style="3018"/>
    <col min="11530" max="11530" width="5.90625" style="3018" customWidth="1"/>
    <col min="11531" max="11531" width="11.90625" style="3018" customWidth="1"/>
    <col min="11532" max="11533" width="10.90625" style="3018" customWidth="1"/>
    <col min="11534" max="11534" width="10" style="3018" customWidth="1"/>
    <col min="11535" max="11536" width="10.453125" style="3018" bestFit="1" customWidth="1"/>
    <col min="11537" max="11537" width="10" style="3018" customWidth="1"/>
    <col min="11538" max="11538" width="10.08984375" style="3018" customWidth="1"/>
    <col min="11539" max="11539" width="10" style="3018" customWidth="1"/>
    <col min="11540" max="11540" width="26.08984375" style="3018" customWidth="1"/>
    <col min="11541" max="11776" width="8.90625" style="3018"/>
    <col min="11777" max="11777" width="9.453125" style="3018" customWidth="1"/>
    <col min="11778" max="11778" width="8.90625" style="3018"/>
    <col min="11779" max="11781" width="12.90625" style="3018" customWidth="1"/>
    <col min="11782" max="11782" width="47.453125" style="3018" customWidth="1"/>
    <col min="11783" max="11783" width="13" style="3018" customWidth="1"/>
    <col min="11784" max="11785" width="8.90625" style="3018"/>
    <col min="11786" max="11786" width="5.90625" style="3018" customWidth="1"/>
    <col min="11787" max="11787" width="11.90625" style="3018" customWidth="1"/>
    <col min="11788" max="11789" width="10.90625" style="3018" customWidth="1"/>
    <col min="11790" max="11790" width="10" style="3018" customWidth="1"/>
    <col min="11791" max="11792" width="10.453125" style="3018" bestFit="1" customWidth="1"/>
    <col min="11793" max="11793" width="10" style="3018" customWidth="1"/>
    <col min="11794" max="11794" width="10.08984375" style="3018" customWidth="1"/>
    <col min="11795" max="11795" width="10" style="3018" customWidth="1"/>
    <col min="11796" max="11796" width="26.08984375" style="3018" customWidth="1"/>
    <col min="11797" max="12032" width="8.90625" style="3018"/>
    <col min="12033" max="12033" width="9.453125" style="3018" customWidth="1"/>
    <col min="12034" max="12034" width="8.90625" style="3018"/>
    <col min="12035" max="12037" width="12.90625" style="3018" customWidth="1"/>
    <col min="12038" max="12038" width="47.453125" style="3018" customWidth="1"/>
    <col min="12039" max="12039" width="13" style="3018" customWidth="1"/>
    <col min="12040" max="12041" width="8.90625" style="3018"/>
    <col min="12042" max="12042" width="5.90625" style="3018" customWidth="1"/>
    <col min="12043" max="12043" width="11.90625" style="3018" customWidth="1"/>
    <col min="12044" max="12045" width="10.90625" style="3018" customWidth="1"/>
    <col min="12046" max="12046" width="10" style="3018" customWidth="1"/>
    <col min="12047" max="12048" width="10.453125" style="3018" bestFit="1" customWidth="1"/>
    <col min="12049" max="12049" width="10" style="3018" customWidth="1"/>
    <col min="12050" max="12050" width="10.08984375" style="3018" customWidth="1"/>
    <col min="12051" max="12051" width="10" style="3018" customWidth="1"/>
    <col min="12052" max="12052" width="26.08984375" style="3018" customWidth="1"/>
    <col min="12053" max="12288" width="8.90625" style="3018"/>
    <col min="12289" max="12289" width="9.453125" style="3018" customWidth="1"/>
    <col min="12290" max="12290" width="8.90625" style="3018"/>
    <col min="12291" max="12293" width="12.90625" style="3018" customWidth="1"/>
    <col min="12294" max="12294" width="47.453125" style="3018" customWidth="1"/>
    <col min="12295" max="12295" width="13" style="3018" customWidth="1"/>
    <col min="12296" max="12297" width="8.90625" style="3018"/>
    <col min="12298" max="12298" width="5.90625" style="3018" customWidth="1"/>
    <col min="12299" max="12299" width="11.90625" style="3018" customWidth="1"/>
    <col min="12300" max="12301" width="10.90625" style="3018" customWidth="1"/>
    <col min="12302" max="12302" width="10" style="3018" customWidth="1"/>
    <col min="12303" max="12304" width="10.453125" style="3018" bestFit="1" customWidth="1"/>
    <col min="12305" max="12305" width="10" style="3018" customWidth="1"/>
    <col min="12306" max="12306" width="10.08984375" style="3018" customWidth="1"/>
    <col min="12307" max="12307" width="10" style="3018" customWidth="1"/>
    <col min="12308" max="12308" width="26.08984375" style="3018" customWidth="1"/>
    <col min="12309" max="12544" width="8.90625" style="3018"/>
    <col min="12545" max="12545" width="9.453125" style="3018" customWidth="1"/>
    <col min="12546" max="12546" width="8.90625" style="3018"/>
    <col min="12547" max="12549" width="12.90625" style="3018" customWidth="1"/>
    <col min="12550" max="12550" width="47.453125" style="3018" customWidth="1"/>
    <col min="12551" max="12551" width="13" style="3018" customWidth="1"/>
    <col min="12552" max="12553" width="8.90625" style="3018"/>
    <col min="12554" max="12554" width="5.90625" style="3018" customWidth="1"/>
    <col min="12555" max="12555" width="11.90625" style="3018" customWidth="1"/>
    <col min="12556" max="12557" width="10.90625" style="3018" customWidth="1"/>
    <col min="12558" max="12558" width="10" style="3018" customWidth="1"/>
    <col min="12559" max="12560" width="10.453125" style="3018" bestFit="1" customWidth="1"/>
    <col min="12561" max="12561" width="10" style="3018" customWidth="1"/>
    <col min="12562" max="12562" width="10.08984375" style="3018" customWidth="1"/>
    <col min="12563" max="12563" width="10" style="3018" customWidth="1"/>
    <col min="12564" max="12564" width="26.08984375" style="3018" customWidth="1"/>
    <col min="12565" max="12800" width="8.90625" style="3018"/>
    <col min="12801" max="12801" width="9.453125" style="3018" customWidth="1"/>
    <col min="12802" max="12802" width="8.90625" style="3018"/>
    <col min="12803" max="12805" width="12.90625" style="3018" customWidth="1"/>
    <col min="12806" max="12806" width="47.453125" style="3018" customWidth="1"/>
    <col min="12807" max="12807" width="13" style="3018" customWidth="1"/>
    <col min="12808" max="12809" width="8.90625" style="3018"/>
    <col min="12810" max="12810" width="5.90625" style="3018" customWidth="1"/>
    <col min="12811" max="12811" width="11.90625" style="3018" customWidth="1"/>
    <col min="12812" max="12813" width="10.90625" style="3018" customWidth="1"/>
    <col min="12814" max="12814" width="10" style="3018" customWidth="1"/>
    <col min="12815" max="12816" width="10.453125" style="3018" bestFit="1" customWidth="1"/>
    <col min="12817" max="12817" width="10" style="3018" customWidth="1"/>
    <col min="12818" max="12818" width="10.08984375" style="3018" customWidth="1"/>
    <col min="12819" max="12819" width="10" style="3018" customWidth="1"/>
    <col min="12820" max="12820" width="26.08984375" style="3018" customWidth="1"/>
    <col min="12821" max="13056" width="8.90625" style="3018"/>
    <col min="13057" max="13057" width="9.453125" style="3018" customWidth="1"/>
    <col min="13058" max="13058" width="8.90625" style="3018"/>
    <col min="13059" max="13061" width="12.90625" style="3018" customWidth="1"/>
    <col min="13062" max="13062" width="47.453125" style="3018" customWidth="1"/>
    <col min="13063" max="13063" width="13" style="3018" customWidth="1"/>
    <col min="13064" max="13065" width="8.90625" style="3018"/>
    <col min="13066" max="13066" width="5.90625" style="3018" customWidth="1"/>
    <col min="13067" max="13067" width="11.90625" style="3018" customWidth="1"/>
    <col min="13068" max="13069" width="10.90625" style="3018" customWidth="1"/>
    <col min="13070" max="13070" width="10" style="3018" customWidth="1"/>
    <col min="13071" max="13072" width="10.453125" style="3018" bestFit="1" customWidth="1"/>
    <col min="13073" max="13073" width="10" style="3018" customWidth="1"/>
    <col min="13074" max="13074" width="10.08984375" style="3018" customWidth="1"/>
    <col min="13075" max="13075" width="10" style="3018" customWidth="1"/>
    <col min="13076" max="13076" width="26.08984375" style="3018" customWidth="1"/>
    <col min="13077" max="13312" width="8.90625" style="3018"/>
    <col min="13313" max="13313" width="9.453125" style="3018" customWidth="1"/>
    <col min="13314" max="13314" width="8.90625" style="3018"/>
    <col min="13315" max="13317" width="12.90625" style="3018" customWidth="1"/>
    <col min="13318" max="13318" width="47.453125" style="3018" customWidth="1"/>
    <col min="13319" max="13319" width="13" style="3018" customWidth="1"/>
    <col min="13320" max="13321" width="8.90625" style="3018"/>
    <col min="13322" max="13322" width="5.90625" style="3018" customWidth="1"/>
    <col min="13323" max="13323" width="11.90625" style="3018" customWidth="1"/>
    <col min="13324" max="13325" width="10.90625" style="3018" customWidth="1"/>
    <col min="13326" max="13326" width="10" style="3018" customWidth="1"/>
    <col min="13327" max="13328" width="10.453125" style="3018" bestFit="1" customWidth="1"/>
    <col min="13329" max="13329" width="10" style="3018" customWidth="1"/>
    <col min="13330" max="13330" width="10.08984375" style="3018" customWidth="1"/>
    <col min="13331" max="13331" width="10" style="3018" customWidth="1"/>
    <col min="13332" max="13332" width="26.08984375" style="3018" customWidth="1"/>
    <col min="13333" max="13568" width="8.90625" style="3018"/>
    <col min="13569" max="13569" width="9.453125" style="3018" customWidth="1"/>
    <col min="13570" max="13570" width="8.90625" style="3018"/>
    <col min="13571" max="13573" width="12.90625" style="3018" customWidth="1"/>
    <col min="13574" max="13574" width="47.453125" style="3018" customWidth="1"/>
    <col min="13575" max="13575" width="13" style="3018" customWidth="1"/>
    <col min="13576" max="13577" width="8.90625" style="3018"/>
    <col min="13578" max="13578" width="5.90625" style="3018" customWidth="1"/>
    <col min="13579" max="13579" width="11.90625" style="3018" customWidth="1"/>
    <col min="13580" max="13581" width="10.90625" style="3018" customWidth="1"/>
    <col min="13582" max="13582" width="10" style="3018" customWidth="1"/>
    <col min="13583" max="13584" width="10.453125" style="3018" bestFit="1" customWidth="1"/>
    <col min="13585" max="13585" width="10" style="3018" customWidth="1"/>
    <col min="13586" max="13586" width="10.08984375" style="3018" customWidth="1"/>
    <col min="13587" max="13587" width="10" style="3018" customWidth="1"/>
    <col min="13588" max="13588" width="26.08984375" style="3018" customWidth="1"/>
    <col min="13589" max="13824" width="8.90625" style="3018"/>
    <col min="13825" max="13825" width="9.453125" style="3018" customWidth="1"/>
    <col min="13826" max="13826" width="8.90625" style="3018"/>
    <col min="13827" max="13829" width="12.90625" style="3018" customWidth="1"/>
    <col min="13830" max="13830" width="47.453125" style="3018" customWidth="1"/>
    <col min="13831" max="13831" width="13" style="3018" customWidth="1"/>
    <col min="13832" max="13833" width="8.90625" style="3018"/>
    <col min="13834" max="13834" width="5.90625" style="3018" customWidth="1"/>
    <col min="13835" max="13835" width="11.90625" style="3018" customWidth="1"/>
    <col min="13836" max="13837" width="10.90625" style="3018" customWidth="1"/>
    <col min="13838" max="13838" width="10" style="3018" customWidth="1"/>
    <col min="13839" max="13840" width="10.453125" style="3018" bestFit="1" customWidth="1"/>
    <col min="13841" max="13841" width="10" style="3018" customWidth="1"/>
    <col min="13842" max="13842" width="10.08984375" style="3018" customWidth="1"/>
    <col min="13843" max="13843" width="10" style="3018" customWidth="1"/>
    <col min="13844" max="13844" width="26.08984375" style="3018" customWidth="1"/>
    <col min="13845" max="14080" width="8.90625" style="3018"/>
    <col min="14081" max="14081" width="9.453125" style="3018" customWidth="1"/>
    <col min="14082" max="14082" width="8.90625" style="3018"/>
    <col min="14083" max="14085" width="12.90625" style="3018" customWidth="1"/>
    <col min="14086" max="14086" width="47.453125" style="3018" customWidth="1"/>
    <col min="14087" max="14087" width="13" style="3018" customWidth="1"/>
    <col min="14088" max="14089" width="8.90625" style="3018"/>
    <col min="14090" max="14090" width="5.90625" style="3018" customWidth="1"/>
    <col min="14091" max="14091" width="11.90625" style="3018" customWidth="1"/>
    <col min="14092" max="14093" width="10.90625" style="3018" customWidth="1"/>
    <col min="14094" max="14094" width="10" style="3018" customWidth="1"/>
    <col min="14095" max="14096" width="10.453125" style="3018" bestFit="1" customWidth="1"/>
    <col min="14097" max="14097" width="10" style="3018" customWidth="1"/>
    <col min="14098" max="14098" width="10.08984375" style="3018" customWidth="1"/>
    <col min="14099" max="14099" width="10" style="3018" customWidth="1"/>
    <col min="14100" max="14100" width="26.08984375" style="3018" customWidth="1"/>
    <col min="14101" max="14336" width="8.90625" style="3018"/>
    <col min="14337" max="14337" width="9.453125" style="3018" customWidth="1"/>
    <col min="14338" max="14338" width="8.90625" style="3018"/>
    <col min="14339" max="14341" width="12.90625" style="3018" customWidth="1"/>
    <col min="14342" max="14342" width="47.453125" style="3018" customWidth="1"/>
    <col min="14343" max="14343" width="13" style="3018" customWidth="1"/>
    <col min="14344" max="14345" width="8.90625" style="3018"/>
    <col min="14346" max="14346" width="5.90625" style="3018" customWidth="1"/>
    <col min="14347" max="14347" width="11.90625" style="3018" customWidth="1"/>
    <col min="14348" max="14349" width="10.90625" style="3018" customWidth="1"/>
    <col min="14350" max="14350" width="10" style="3018" customWidth="1"/>
    <col min="14351" max="14352" width="10.453125" style="3018" bestFit="1" customWidth="1"/>
    <col min="14353" max="14353" width="10" style="3018" customWidth="1"/>
    <col min="14354" max="14354" width="10.08984375" style="3018" customWidth="1"/>
    <col min="14355" max="14355" width="10" style="3018" customWidth="1"/>
    <col min="14356" max="14356" width="26.08984375" style="3018" customWidth="1"/>
    <col min="14357" max="14592" width="8.90625" style="3018"/>
    <col min="14593" max="14593" width="9.453125" style="3018" customWidth="1"/>
    <col min="14594" max="14594" width="8.90625" style="3018"/>
    <col min="14595" max="14597" width="12.90625" style="3018" customWidth="1"/>
    <col min="14598" max="14598" width="47.453125" style="3018" customWidth="1"/>
    <col min="14599" max="14599" width="13" style="3018" customWidth="1"/>
    <col min="14600" max="14601" width="8.90625" style="3018"/>
    <col min="14602" max="14602" width="5.90625" style="3018" customWidth="1"/>
    <col min="14603" max="14603" width="11.90625" style="3018" customWidth="1"/>
    <col min="14604" max="14605" width="10.90625" style="3018" customWidth="1"/>
    <col min="14606" max="14606" width="10" style="3018" customWidth="1"/>
    <col min="14607" max="14608" width="10.453125" style="3018" bestFit="1" customWidth="1"/>
    <col min="14609" max="14609" width="10" style="3018" customWidth="1"/>
    <col min="14610" max="14610" width="10.08984375" style="3018" customWidth="1"/>
    <col min="14611" max="14611" width="10" style="3018" customWidth="1"/>
    <col min="14612" max="14612" width="26.08984375" style="3018" customWidth="1"/>
    <col min="14613" max="14848" width="8.90625" style="3018"/>
    <col min="14849" max="14849" width="9.453125" style="3018" customWidth="1"/>
    <col min="14850" max="14850" width="8.90625" style="3018"/>
    <col min="14851" max="14853" width="12.90625" style="3018" customWidth="1"/>
    <col min="14854" max="14854" width="47.453125" style="3018" customWidth="1"/>
    <col min="14855" max="14855" width="13" style="3018" customWidth="1"/>
    <col min="14856" max="14857" width="8.90625" style="3018"/>
    <col min="14858" max="14858" width="5.90625" style="3018" customWidth="1"/>
    <col min="14859" max="14859" width="11.90625" style="3018" customWidth="1"/>
    <col min="14860" max="14861" width="10.90625" style="3018" customWidth="1"/>
    <col min="14862" max="14862" width="10" style="3018" customWidth="1"/>
    <col min="14863" max="14864" width="10.453125" style="3018" bestFit="1" customWidth="1"/>
    <col min="14865" max="14865" width="10" style="3018" customWidth="1"/>
    <col min="14866" max="14866" width="10.08984375" style="3018" customWidth="1"/>
    <col min="14867" max="14867" width="10" style="3018" customWidth="1"/>
    <col min="14868" max="14868" width="26.08984375" style="3018" customWidth="1"/>
    <col min="14869" max="15104" width="8.90625" style="3018"/>
    <col min="15105" max="15105" width="9.453125" style="3018" customWidth="1"/>
    <col min="15106" max="15106" width="8.90625" style="3018"/>
    <col min="15107" max="15109" width="12.90625" style="3018" customWidth="1"/>
    <col min="15110" max="15110" width="47.453125" style="3018" customWidth="1"/>
    <col min="15111" max="15111" width="13" style="3018" customWidth="1"/>
    <col min="15112" max="15113" width="8.90625" style="3018"/>
    <col min="15114" max="15114" width="5.90625" style="3018" customWidth="1"/>
    <col min="15115" max="15115" width="11.90625" style="3018" customWidth="1"/>
    <col min="15116" max="15117" width="10.90625" style="3018" customWidth="1"/>
    <col min="15118" max="15118" width="10" style="3018" customWidth="1"/>
    <col min="15119" max="15120" width="10.453125" style="3018" bestFit="1" customWidth="1"/>
    <col min="15121" max="15121" width="10" style="3018" customWidth="1"/>
    <col min="15122" max="15122" width="10.08984375" style="3018" customWidth="1"/>
    <col min="15123" max="15123" width="10" style="3018" customWidth="1"/>
    <col min="15124" max="15124" width="26.08984375" style="3018" customWidth="1"/>
    <col min="15125" max="15360" width="8.90625" style="3018"/>
    <col min="15361" max="15361" width="9.453125" style="3018" customWidth="1"/>
    <col min="15362" max="15362" width="8.90625" style="3018"/>
    <col min="15363" max="15365" width="12.90625" style="3018" customWidth="1"/>
    <col min="15366" max="15366" width="47.453125" style="3018" customWidth="1"/>
    <col min="15367" max="15367" width="13" style="3018" customWidth="1"/>
    <col min="15368" max="15369" width="8.90625" style="3018"/>
    <col min="15370" max="15370" width="5.90625" style="3018" customWidth="1"/>
    <col min="15371" max="15371" width="11.90625" style="3018" customWidth="1"/>
    <col min="15372" max="15373" width="10.90625" style="3018" customWidth="1"/>
    <col min="15374" max="15374" width="10" style="3018" customWidth="1"/>
    <col min="15375" max="15376" width="10.453125" style="3018" bestFit="1" customWidth="1"/>
    <col min="15377" max="15377" width="10" style="3018" customWidth="1"/>
    <col min="15378" max="15378" width="10.08984375" style="3018" customWidth="1"/>
    <col min="15379" max="15379" width="10" style="3018" customWidth="1"/>
    <col min="15380" max="15380" width="26.08984375" style="3018" customWidth="1"/>
    <col min="15381" max="15616" width="8.90625" style="3018"/>
    <col min="15617" max="15617" width="9.453125" style="3018" customWidth="1"/>
    <col min="15618" max="15618" width="8.90625" style="3018"/>
    <col min="15619" max="15621" width="12.90625" style="3018" customWidth="1"/>
    <col min="15622" max="15622" width="47.453125" style="3018" customWidth="1"/>
    <col min="15623" max="15623" width="13" style="3018" customWidth="1"/>
    <col min="15624" max="15625" width="8.90625" style="3018"/>
    <col min="15626" max="15626" width="5.90625" style="3018" customWidth="1"/>
    <col min="15627" max="15627" width="11.90625" style="3018" customWidth="1"/>
    <col min="15628" max="15629" width="10.90625" style="3018" customWidth="1"/>
    <col min="15630" max="15630" width="10" style="3018" customWidth="1"/>
    <col min="15631" max="15632" width="10.453125" style="3018" bestFit="1" customWidth="1"/>
    <col min="15633" max="15633" width="10" style="3018" customWidth="1"/>
    <col min="15634" max="15634" width="10.08984375" style="3018" customWidth="1"/>
    <col min="15635" max="15635" width="10" style="3018" customWidth="1"/>
    <col min="15636" max="15636" width="26.08984375" style="3018" customWidth="1"/>
    <col min="15637" max="15872" width="8.90625" style="3018"/>
    <col min="15873" max="15873" width="9.453125" style="3018" customWidth="1"/>
    <col min="15874" max="15874" width="8.90625" style="3018"/>
    <col min="15875" max="15877" width="12.90625" style="3018" customWidth="1"/>
    <col min="15878" max="15878" width="47.453125" style="3018" customWidth="1"/>
    <col min="15879" max="15879" width="13" style="3018" customWidth="1"/>
    <col min="15880" max="15881" width="8.90625" style="3018"/>
    <col min="15882" max="15882" width="5.90625" style="3018" customWidth="1"/>
    <col min="15883" max="15883" width="11.90625" style="3018" customWidth="1"/>
    <col min="15884" max="15885" width="10.90625" style="3018" customWidth="1"/>
    <col min="15886" max="15886" width="10" style="3018" customWidth="1"/>
    <col min="15887" max="15888" width="10.453125" style="3018" bestFit="1" customWidth="1"/>
    <col min="15889" max="15889" width="10" style="3018" customWidth="1"/>
    <col min="15890" max="15890" width="10.08984375" style="3018" customWidth="1"/>
    <col min="15891" max="15891" width="10" style="3018" customWidth="1"/>
    <col min="15892" max="15892" width="26.08984375" style="3018" customWidth="1"/>
    <col min="15893" max="16128" width="8.90625" style="3018"/>
    <col min="16129" max="16129" width="9.453125" style="3018" customWidth="1"/>
    <col min="16130" max="16130" width="8.90625" style="3018"/>
    <col min="16131" max="16133" width="12.90625" style="3018" customWidth="1"/>
    <col min="16134" max="16134" width="47.453125" style="3018" customWidth="1"/>
    <col min="16135" max="16135" width="13" style="3018" customWidth="1"/>
    <col min="16136" max="16137" width="8.90625" style="3018"/>
    <col min="16138" max="16138" width="5.90625" style="3018" customWidth="1"/>
    <col min="16139" max="16139" width="11.90625" style="3018" customWidth="1"/>
    <col min="16140" max="16141" width="10.90625" style="3018" customWidth="1"/>
    <col min="16142" max="16142" width="10" style="3018" customWidth="1"/>
    <col min="16143" max="16144" width="10.453125" style="3018" bestFit="1" customWidth="1"/>
    <col min="16145" max="16145" width="10" style="3018" customWidth="1"/>
    <col min="16146" max="16146" width="10.08984375" style="3018" customWidth="1"/>
    <col min="16147" max="16147" width="10" style="3018" customWidth="1"/>
    <col min="16148" max="16148" width="26.08984375" style="3018" customWidth="1"/>
    <col min="16149" max="16384" width="8.90625" style="3018"/>
  </cols>
  <sheetData>
    <row r="1" spans="1:22" ht="21" customHeight="1">
      <c r="A1" s="3007" t="s">
        <v>2936</v>
      </c>
      <c r="B1" s="3008"/>
      <c r="C1" s="3020"/>
      <c r="D1" s="3020"/>
      <c r="E1" s="3009"/>
      <c r="F1" s="3010"/>
      <c r="G1" s="3011"/>
      <c r="J1" s="3014" t="s">
        <v>2815</v>
      </c>
      <c r="K1" s="3015"/>
      <c r="L1" s="3015"/>
      <c r="M1" s="3015"/>
      <c r="N1" s="3015"/>
      <c r="O1" s="3015"/>
      <c r="P1" s="3015"/>
      <c r="Q1" s="3015"/>
      <c r="R1" s="3016"/>
      <c r="S1" s="3017"/>
      <c r="T1" s="3017"/>
      <c r="U1" s="3017"/>
    </row>
    <row r="2" spans="1:22" s="3029" customFormat="1" ht="13.4" customHeight="1">
      <c r="A2" s="1519" t="s">
        <v>2816</v>
      </c>
      <c r="B2" s="3019" t="e">
        <f>C40</f>
        <v>#DIV/0!</v>
      </c>
      <c r="C2" s="3020" t="s">
        <v>2817</v>
      </c>
      <c r="D2" s="3020"/>
      <c r="E2" s="3021"/>
      <c r="F2" s="3022"/>
      <c r="G2" s="3023"/>
      <c r="H2" s="3024"/>
      <c r="I2" s="3025"/>
      <c r="J2" s="3600" t="s">
        <v>2818</v>
      </c>
      <c r="K2" s="3601"/>
      <c r="L2" s="3026" t="s">
        <v>2819</v>
      </c>
      <c r="M2" s="3026" t="s">
        <v>2820</v>
      </c>
      <c r="N2" s="3026" t="s">
        <v>2821</v>
      </c>
      <c r="O2" s="3026" t="s">
        <v>2822</v>
      </c>
      <c r="P2" s="3026" t="s">
        <v>2823</v>
      </c>
      <c r="Q2" s="3027" t="s">
        <v>2824</v>
      </c>
      <c r="R2" s="3028" t="s">
        <v>2825</v>
      </c>
      <c r="S2" s="3017"/>
      <c r="T2" s="3017"/>
      <c r="U2" s="3017"/>
      <c r="V2" s="3025"/>
    </row>
    <row r="3" spans="1:22" s="3029" customFormat="1" ht="13.4" customHeight="1">
      <c r="A3" s="3030" t="s">
        <v>2826</v>
      </c>
      <c r="B3" s="3031" t="e">
        <f>ROUND(B2*10000/B4,0)</f>
        <v>#DIV/0!</v>
      </c>
      <c r="C3" s="3020" t="s">
        <v>2827</v>
      </c>
      <c r="D3" s="3020"/>
      <c r="E3" s="3021"/>
      <c r="F3" s="3022"/>
      <c r="G3" s="3023"/>
      <c r="H3" s="3024"/>
      <c r="I3" s="3025"/>
      <c r="J3" s="3602" t="s">
        <v>2828</v>
      </c>
      <c r="K3" s="3603"/>
      <c r="L3" s="3032"/>
      <c r="M3" s="3032"/>
      <c r="N3" s="3032"/>
      <c r="O3" s="3032"/>
      <c r="P3" s="3032"/>
      <c r="Q3" s="3033"/>
      <c r="R3" s="3034">
        <f>SUM(L3:Q3)</f>
        <v>0</v>
      </c>
      <c r="S3" s="3017"/>
      <c r="T3" s="3017"/>
      <c r="U3" s="3017"/>
      <c r="V3" s="3025"/>
    </row>
    <row r="4" spans="1:22" s="3029" customFormat="1" ht="13.4" customHeight="1">
      <c r="A4" s="3035" t="s">
        <v>2829</v>
      </c>
      <c r="B4" s="3036"/>
      <c r="C4" s="3020"/>
      <c r="D4" s="3020"/>
      <c r="E4" s="3021"/>
      <c r="F4" s="3022"/>
      <c r="G4" s="3023"/>
      <c r="H4" s="3024"/>
      <c r="I4" s="3025"/>
      <c r="J4" s="3602" t="s">
        <v>2830</v>
      </c>
      <c r="K4" s="3603"/>
      <c r="L4" s="3037"/>
      <c r="M4" s="3037"/>
      <c r="N4" s="3037"/>
      <c r="O4" s="3037"/>
      <c r="P4" s="3037"/>
      <c r="Q4" s="3038"/>
      <c r="R4" s="3039">
        <f>SUM(L4:Q4)</f>
        <v>0</v>
      </c>
      <c r="S4" s="3017"/>
      <c r="T4" s="3017"/>
      <c r="U4" s="3017"/>
      <c r="V4" s="3025"/>
    </row>
    <row r="5" spans="1:22" s="3029" customFormat="1" ht="13.4" customHeight="1" thickBot="1">
      <c r="A5" s="3040" t="s">
        <v>2831</v>
      </c>
      <c r="B5" s="3041"/>
      <c r="C5" s="3020"/>
      <c r="D5" s="3042"/>
      <c r="E5" s="3022"/>
      <c r="F5" s="3022"/>
      <c r="G5" s="3023"/>
      <c r="H5" s="3024"/>
      <c r="I5" s="3025"/>
      <c r="J5" s="3043" t="s">
        <v>2832</v>
      </c>
      <c r="K5" s="3044"/>
      <c r="L5" s="3044"/>
      <c r="M5" s="3045"/>
      <c r="N5" s="3045"/>
      <c r="O5" s="3045"/>
      <c r="P5" s="3045"/>
      <c r="Q5" s="3045"/>
      <c r="R5" s="3028">
        <f>SUM(R14,R19,R24,R25,R27,R28)</f>
        <v>0</v>
      </c>
      <c r="S5" s="3017"/>
      <c r="T5" s="3017" t="s">
        <v>2833</v>
      </c>
      <c r="U5" s="3017" t="e">
        <f>ROUND(R5*10000/365/R3,1)</f>
        <v>#DIV/0!</v>
      </c>
      <c r="V5" s="3025"/>
    </row>
    <row r="6" spans="1:22" s="3029" customFormat="1" ht="13.4" customHeight="1" thickBot="1">
      <c r="A6" s="3608" t="s">
        <v>2834</v>
      </c>
      <c r="B6" s="3609"/>
      <c r="C6" s="3610"/>
      <c r="D6" s="3046"/>
      <c r="E6" s="3047"/>
      <c r="F6" s="3048"/>
      <c r="G6" s="3049"/>
      <c r="H6" s="3024"/>
      <c r="I6" s="3025"/>
      <c r="J6" s="3594">
        <v>1</v>
      </c>
      <c r="K6" s="3595"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4" customHeight="1">
      <c r="A7" s="3052" t="s">
        <v>2844</v>
      </c>
      <c r="B7" s="3053"/>
      <c r="C7" s="3054"/>
      <c r="D7" s="3055">
        <f>SUM(D9,D10,D11,D17,0)</f>
        <v>0</v>
      </c>
      <c r="E7" s="3056" t="e">
        <f>E9+E10+E11+E17</f>
        <v>#DIV/0!</v>
      </c>
      <c r="F7" s="3057"/>
      <c r="G7" s="3058"/>
      <c r="H7" s="3024"/>
      <c r="I7" s="3025"/>
      <c r="J7" s="3594"/>
      <c r="K7" s="3596"/>
      <c r="L7" s="3059" t="s">
        <v>2845</v>
      </c>
      <c r="M7" s="3060"/>
      <c r="N7" s="3036"/>
      <c r="O7" s="3061"/>
      <c r="P7" s="3061"/>
      <c r="Q7" s="3062">
        <v>365</v>
      </c>
      <c r="R7" s="3063">
        <f>ROUND(M7*N7*O7*P7*Q7/10000,0)</f>
        <v>0</v>
      </c>
      <c r="S7" s="3017"/>
      <c r="T7" s="3017" t="s">
        <v>2846</v>
      </c>
      <c r="U7" s="3017"/>
      <c r="V7" s="3025"/>
    </row>
    <row r="8" spans="1:22" s="3029" customFormat="1" ht="13.4" customHeight="1">
      <c r="A8" s="3064" t="s">
        <v>2847</v>
      </c>
      <c r="B8" s="3611" t="s">
        <v>2848</v>
      </c>
      <c r="C8" s="3612"/>
      <c r="D8" s="3065" t="s">
        <v>2849</v>
      </c>
      <c r="E8" s="3066" t="s">
        <v>2850</v>
      </c>
      <c r="F8" s="3067" t="s">
        <v>2851</v>
      </c>
      <c r="G8" s="3068"/>
      <c r="H8" s="3024"/>
      <c r="I8" s="3025"/>
      <c r="J8" s="3594"/>
      <c r="K8" s="3596"/>
      <c r="L8" s="3059" t="s">
        <v>2852</v>
      </c>
      <c r="M8" s="3060"/>
      <c r="N8" s="3036"/>
      <c r="O8" s="3061"/>
      <c r="P8" s="3061"/>
      <c r="Q8" s="3062">
        <v>365</v>
      </c>
      <c r="R8" s="3063">
        <f t="shared" ref="R8:R13" si="0">ROUND(M8*N8*O8*P8*Q8/10000,0)</f>
        <v>0</v>
      </c>
      <c r="S8" s="3017"/>
      <c r="T8" s="3017" t="s">
        <v>2853</v>
      </c>
      <c r="U8" s="3017"/>
      <c r="V8" s="3025"/>
    </row>
    <row r="9" spans="1:22" s="3029" customFormat="1" ht="13.4" customHeight="1">
      <c r="A9" s="3064">
        <v>1</v>
      </c>
      <c r="B9" s="3611" t="s">
        <v>2854</v>
      </c>
      <c r="C9" s="3612"/>
      <c r="D9" s="3065">
        <f>ROUND(D6*E9,0)</f>
        <v>0</v>
      </c>
      <c r="E9" s="3069"/>
      <c r="F9" s="3070" t="s">
        <v>2855</v>
      </c>
      <c r="G9" s="3049"/>
      <c r="H9" s="3024"/>
      <c r="I9" s="3025"/>
      <c r="J9" s="3594"/>
      <c r="K9" s="3596"/>
      <c r="L9" s="3059" t="s">
        <v>2856</v>
      </c>
      <c r="M9" s="3060"/>
      <c r="N9" s="3036"/>
      <c r="O9" s="3061"/>
      <c r="P9" s="3061"/>
      <c r="Q9" s="3062">
        <v>365</v>
      </c>
      <c r="R9" s="3063">
        <f t="shared" si="0"/>
        <v>0</v>
      </c>
      <c r="S9" s="3017"/>
      <c r="T9" s="3017"/>
      <c r="U9" s="3017"/>
      <c r="V9" s="3025"/>
    </row>
    <row r="10" spans="1:22" s="3029" customFormat="1" ht="13.4" customHeight="1">
      <c r="A10" s="3064">
        <v>2</v>
      </c>
      <c r="B10" s="3611" t="s">
        <v>2857</v>
      </c>
      <c r="C10" s="3612"/>
      <c r="D10" s="3065">
        <f>ROUND(D6*E10,0)</f>
        <v>0</v>
      </c>
      <c r="E10" s="3069"/>
      <c r="F10" s="3070" t="s">
        <v>2858</v>
      </c>
      <c r="G10" s="3049"/>
      <c r="H10" s="3024"/>
      <c r="I10" s="3025"/>
      <c r="J10" s="3594"/>
      <c r="K10" s="3596"/>
      <c r="L10" s="3059" t="s">
        <v>2859</v>
      </c>
      <c r="M10" s="3060"/>
      <c r="N10" s="3036"/>
      <c r="O10" s="3061"/>
      <c r="P10" s="3061"/>
      <c r="Q10" s="3062">
        <v>365</v>
      </c>
      <c r="R10" s="3063">
        <f t="shared" si="0"/>
        <v>0</v>
      </c>
      <c r="S10" s="3017"/>
      <c r="T10" s="3017"/>
      <c r="U10" s="3017"/>
      <c r="V10" s="3025"/>
    </row>
    <row r="11" spans="1:22" s="3029" customFormat="1" ht="13.4" customHeight="1">
      <c r="A11" s="3064">
        <v>3</v>
      </c>
      <c r="B11" s="3611" t="s">
        <v>2860</v>
      </c>
      <c r="C11" s="3612"/>
      <c r="D11" s="3065">
        <f>D12+D14+D15+D16</f>
        <v>0</v>
      </c>
      <c r="E11" s="3071" t="e">
        <f>D11/D6</f>
        <v>#DIV/0!</v>
      </c>
      <c r="F11" s="3067"/>
      <c r="G11" s="3068"/>
      <c r="H11" s="3024"/>
      <c r="I11" s="3025"/>
      <c r="J11" s="3594"/>
      <c r="K11" s="3596"/>
      <c r="L11" s="3059" t="s">
        <v>2861</v>
      </c>
      <c r="M11" s="3060"/>
      <c r="N11" s="3036"/>
      <c r="O11" s="3061"/>
      <c r="P11" s="3061"/>
      <c r="Q11" s="3062">
        <v>365</v>
      </c>
      <c r="R11" s="3063">
        <f t="shared" si="0"/>
        <v>0</v>
      </c>
      <c r="S11" s="3017"/>
      <c r="T11" s="3017"/>
      <c r="U11" s="3017"/>
      <c r="V11" s="3025"/>
    </row>
    <row r="12" spans="1:22" s="3029" customFormat="1" ht="13.4" customHeight="1">
      <c r="A12" s="3072" t="s">
        <v>2862</v>
      </c>
      <c r="B12" s="3604" t="s">
        <v>2863</v>
      </c>
      <c r="C12" s="3605"/>
      <c r="D12" s="3073">
        <f>ROUND(D13*1.2%*(1-30%),0)</f>
        <v>0</v>
      </c>
      <c r="E12" s="3074">
        <v>1.2E-2</v>
      </c>
      <c r="F12" s="3067" t="s">
        <v>2864</v>
      </c>
      <c r="G12" s="3068"/>
      <c r="H12" s="3024"/>
      <c r="I12" s="3025"/>
      <c r="J12" s="3594"/>
      <c r="K12" s="3596"/>
      <c r="L12" s="3059" t="s">
        <v>2865</v>
      </c>
      <c r="M12" s="3060"/>
      <c r="N12" s="3036"/>
      <c r="O12" s="3061"/>
      <c r="P12" s="3061"/>
      <c r="Q12" s="3062">
        <v>365</v>
      </c>
      <c r="R12" s="3063">
        <f t="shared" si="0"/>
        <v>0</v>
      </c>
      <c r="S12" s="3017"/>
      <c r="T12" s="3017"/>
      <c r="U12" s="3017"/>
      <c r="V12" s="3025"/>
    </row>
    <row r="13" spans="1:22" s="3029" customFormat="1" ht="13.4" customHeight="1">
      <c r="A13" s="3072"/>
      <c r="B13" s="3075"/>
      <c r="C13" s="3076" t="s">
        <v>2866</v>
      </c>
      <c r="D13" s="3077"/>
      <c r="E13" s="3078"/>
      <c r="F13" s="3067"/>
      <c r="G13" s="3068"/>
      <c r="H13" s="3024"/>
      <c r="I13" s="3025"/>
      <c r="J13" s="3594"/>
      <c r="K13" s="3596"/>
      <c r="L13" s="3059" t="s">
        <v>2867</v>
      </c>
      <c r="M13" s="3060"/>
      <c r="N13" s="3036"/>
      <c r="O13" s="3061"/>
      <c r="P13" s="3061"/>
      <c r="Q13" s="3062">
        <v>365</v>
      </c>
      <c r="R13" s="3063">
        <f t="shared" si="0"/>
        <v>0</v>
      </c>
      <c r="S13" s="3017"/>
      <c r="T13" s="3017"/>
      <c r="U13" s="3017"/>
      <c r="V13" s="3025"/>
    </row>
    <row r="14" spans="1:22" s="3029" customFormat="1" ht="13.4" customHeight="1">
      <c r="A14" s="3072" t="s">
        <v>2868</v>
      </c>
      <c r="B14" s="3604" t="s">
        <v>2869</v>
      </c>
      <c r="C14" s="3605"/>
      <c r="D14" s="3073">
        <f>ROUND(E14*B5/10000,0)</f>
        <v>0</v>
      </c>
      <c r="E14" s="3062"/>
      <c r="F14" s="3067" t="s">
        <v>2870</v>
      </c>
      <c r="G14" s="3068"/>
      <c r="H14" s="3024"/>
      <c r="I14" s="3025"/>
      <c r="J14" s="3594"/>
      <c r="K14" s="3597"/>
      <c r="L14" s="3079" t="s">
        <v>2871</v>
      </c>
      <c r="M14" s="3080">
        <f>SUM(M7:M13)</f>
        <v>0</v>
      </c>
      <c r="N14" s="3080" t="e">
        <f>ROUND((N7*M7+N8*M8+N9*M9+N10*M10+N11*M11+N12*M12+N13*M13)/M14,0)</f>
        <v>#DIV/0!</v>
      </c>
      <c r="O14" s="3081"/>
      <c r="P14" s="3081"/>
      <c r="Q14" s="3082"/>
      <c r="R14" s="3028">
        <f>SUM(R7:R13)</f>
        <v>0</v>
      </c>
      <c r="S14" s="3017"/>
      <c r="T14" s="3017"/>
      <c r="U14" s="3017"/>
      <c r="V14" s="3025"/>
    </row>
    <row r="15" spans="1:22" s="3029" customFormat="1" ht="13.4" customHeight="1">
      <c r="A15" s="3072" t="s">
        <v>2872</v>
      </c>
      <c r="B15" s="3604" t="s">
        <v>2873</v>
      </c>
      <c r="C15" s="3605"/>
      <c r="D15" s="3073">
        <f>ROUND(D6*E15,0)</f>
        <v>0</v>
      </c>
      <c r="E15" s="3074">
        <v>5.5E-2</v>
      </c>
      <c r="F15" s="3067" t="s">
        <v>2874</v>
      </c>
      <c r="G15" s="3049"/>
      <c r="H15" s="3024"/>
      <c r="I15" s="3025"/>
      <c r="J15" s="3594">
        <v>2</v>
      </c>
      <c r="K15" s="3595" t="s">
        <v>2875</v>
      </c>
      <c r="L15" s="3059" t="s">
        <v>2876</v>
      </c>
      <c r="M15" s="3060" t="s">
        <v>2877</v>
      </c>
      <c r="N15" s="3060" t="s">
        <v>2878</v>
      </c>
      <c r="O15" s="3061" t="s">
        <v>2879</v>
      </c>
      <c r="P15" s="3061" t="s">
        <v>2841</v>
      </c>
      <c r="Q15" s="3036" t="s">
        <v>2880</v>
      </c>
      <c r="R15" s="3083" t="s">
        <v>2842</v>
      </c>
      <c r="S15" s="3017"/>
      <c r="T15" s="3017"/>
      <c r="U15" s="3017"/>
      <c r="V15" s="3025"/>
    </row>
    <row r="16" spans="1:22" s="3029" customFormat="1" ht="13.4" customHeight="1">
      <c r="A16" s="3072" t="s">
        <v>2881</v>
      </c>
      <c r="B16" s="3604" t="s">
        <v>2882</v>
      </c>
      <c r="C16" s="3605"/>
      <c r="D16" s="3084">
        <f>D6*E16</f>
        <v>0</v>
      </c>
      <c r="E16" s="3085"/>
      <c r="F16" s="3070" t="s">
        <v>2883</v>
      </c>
      <c r="G16" s="3049"/>
      <c r="H16" s="3024"/>
      <c r="I16" s="3025"/>
      <c r="J16" s="3594"/>
      <c r="K16" s="3596"/>
      <c r="L16" s="3059" t="s">
        <v>2884</v>
      </c>
      <c r="M16" s="3060"/>
      <c r="N16" s="3060"/>
      <c r="O16" s="3061"/>
      <c r="P16" s="3062">
        <v>365</v>
      </c>
      <c r="Q16" s="3036"/>
      <c r="R16" s="3083">
        <f>ROUND(M16*N16*O16*P16/10000,0)</f>
        <v>0</v>
      </c>
      <c r="S16" s="3017"/>
      <c r="T16" s="3017"/>
      <c r="U16" s="3017"/>
      <c r="V16" s="3025"/>
    </row>
    <row r="17" spans="1:22" s="3029" customFormat="1" ht="13.4" customHeight="1" thickBot="1">
      <c r="A17" s="3086">
        <v>4</v>
      </c>
      <c r="B17" s="3606" t="s">
        <v>2885</v>
      </c>
      <c r="C17" s="3607"/>
      <c r="D17" s="3087">
        <f>ROUND(D6*E17,0)</f>
        <v>0</v>
      </c>
      <c r="E17" s="3088"/>
      <c r="F17" s="3089" t="s">
        <v>2886</v>
      </c>
      <c r="G17" s="3049"/>
      <c r="H17" s="3024"/>
      <c r="I17" s="3025"/>
      <c r="J17" s="3594"/>
      <c r="K17" s="3596"/>
      <c r="L17" s="3059" t="s">
        <v>2887</v>
      </c>
      <c r="M17" s="3060"/>
      <c r="N17" s="3060"/>
      <c r="O17" s="3061"/>
      <c r="P17" s="3062">
        <v>365</v>
      </c>
      <c r="Q17" s="3036"/>
      <c r="R17" s="3083">
        <f>ROUND(M17*N17*O17*P17/10000,0)</f>
        <v>0</v>
      </c>
      <c r="S17" s="3017"/>
      <c r="T17" s="3017"/>
      <c r="U17" s="3017"/>
      <c r="V17" s="3025"/>
    </row>
    <row r="18" spans="1:22" s="3029" customFormat="1" ht="13.4" customHeight="1" thickBot="1">
      <c r="A18" s="3052" t="s">
        <v>2888</v>
      </c>
      <c r="B18" s="3053"/>
      <c r="C18" s="3053"/>
      <c r="D18" s="3090">
        <f>ROUND(D6*E18,0)</f>
        <v>0</v>
      </c>
      <c r="E18" s="3091"/>
      <c r="F18" s="3092" t="s">
        <v>2889</v>
      </c>
      <c r="G18" s="3049"/>
      <c r="H18" s="3024"/>
      <c r="I18" s="3025"/>
      <c r="J18" s="3594"/>
      <c r="K18" s="3596"/>
      <c r="L18" s="3059" t="s">
        <v>2890</v>
      </c>
      <c r="M18" s="3060"/>
      <c r="N18" s="3060"/>
      <c r="O18" s="3061"/>
      <c r="P18" s="3062">
        <v>365</v>
      </c>
      <c r="Q18" s="3036"/>
      <c r="R18" s="3083">
        <f>ROUND(M18*N18*O18*P18/10000,0)</f>
        <v>0</v>
      </c>
      <c r="S18" s="3017"/>
      <c r="T18" s="3017"/>
      <c r="U18" s="3017"/>
      <c r="V18" s="3025"/>
    </row>
    <row r="19" spans="1:22" s="3029" customFormat="1" ht="13.4" customHeight="1" thickBot="1">
      <c r="A19" s="3093" t="s">
        <v>2891</v>
      </c>
      <c r="B19" s="3047"/>
      <c r="C19" s="3047"/>
      <c r="D19" s="3047"/>
      <c r="E19" s="3047"/>
      <c r="F19" s="3048"/>
      <c r="G19" s="3068"/>
      <c r="H19" s="3024"/>
      <c r="I19" s="3025"/>
      <c r="J19" s="3594"/>
      <c r="K19" s="3597"/>
      <c r="L19" s="3079" t="s">
        <v>2871</v>
      </c>
      <c r="M19" s="3080"/>
      <c r="N19" s="3080">
        <f>SUM(N16:N18)</f>
        <v>0</v>
      </c>
      <c r="O19" s="3081"/>
      <c r="P19" s="3094" t="s">
        <v>2935</v>
      </c>
      <c r="Q19" s="3061">
        <v>0</v>
      </c>
      <c r="R19" s="3095">
        <f>ROUND(IF(P19="按比例",R14*Q19,SUM(R16:R18)),0)</f>
        <v>0</v>
      </c>
      <c r="S19" s="3017"/>
      <c r="T19" s="3017"/>
      <c r="U19" s="3017"/>
      <c r="V19" s="3025"/>
    </row>
    <row r="20" spans="1:22" s="3029" customFormat="1" ht="13.4" customHeight="1">
      <c r="A20" s="3052"/>
      <c r="B20" s="3053"/>
      <c r="C20" s="3053"/>
      <c r="D20" s="3053"/>
      <c r="E20" s="3053"/>
      <c r="F20" s="3096"/>
      <c r="G20" s="3068"/>
      <c r="H20" s="3024"/>
      <c r="I20" s="3025"/>
      <c r="J20" s="3594">
        <v>3</v>
      </c>
      <c r="K20" s="3595" t="s">
        <v>2892</v>
      </c>
      <c r="L20" s="3059" t="s">
        <v>2893</v>
      </c>
      <c r="M20" s="3060" t="s">
        <v>2894</v>
      </c>
      <c r="N20" s="3097" t="s">
        <v>2895</v>
      </c>
      <c r="O20" s="3061" t="s">
        <v>2896</v>
      </c>
      <c r="P20" s="3062" t="s">
        <v>2897</v>
      </c>
      <c r="Q20" s="3036" t="s">
        <v>2898</v>
      </c>
      <c r="R20" s="3083" t="s">
        <v>2899</v>
      </c>
      <c r="S20" s="3098"/>
      <c r="T20" s="3098"/>
      <c r="U20" s="3098"/>
      <c r="V20" s="3025"/>
    </row>
    <row r="21" spans="1:22" s="3029" customFormat="1" ht="13.4" customHeight="1">
      <c r="A21" s="3052"/>
      <c r="B21" s="3053"/>
      <c r="C21" s="3099" t="s">
        <v>2900</v>
      </c>
      <c r="D21" s="3100" t="s">
        <v>2901</v>
      </c>
      <c r="E21" s="3101" t="s">
        <v>2902</v>
      </c>
      <c r="F21" s="3096"/>
      <c r="G21" s="3068"/>
      <c r="H21" s="3024"/>
      <c r="I21" s="3025"/>
      <c r="J21" s="3594"/>
      <c r="K21" s="3596"/>
      <c r="L21" s="3059" t="s">
        <v>2903</v>
      </c>
      <c r="M21" s="3060"/>
      <c r="N21" s="3060"/>
      <c r="O21" s="3061"/>
      <c r="P21" s="3062">
        <v>365</v>
      </c>
      <c r="Q21" s="3036"/>
      <c r="R21" s="3102">
        <f>ROUND(M21*N21*O21*P21/10000,0)</f>
        <v>0</v>
      </c>
      <c r="S21" s="3098"/>
      <c r="T21" s="3098"/>
      <c r="U21" s="3098"/>
      <c r="V21" s="3025"/>
    </row>
    <row r="22" spans="1:22" s="3029" customFormat="1" ht="13.4" customHeight="1">
      <c r="A22" s="3052"/>
      <c r="B22" s="3053"/>
      <c r="C22" s="3103" t="s">
        <v>2904</v>
      </c>
      <c r="D22" s="3104" t="s">
        <v>2905</v>
      </c>
      <c r="E22" s="3105" t="s">
        <v>2906</v>
      </c>
      <c r="F22" s="3096"/>
      <c r="G22" s="3106"/>
      <c r="H22" s="3024"/>
      <c r="I22" s="3025"/>
      <c r="J22" s="3594"/>
      <c r="K22" s="3596"/>
      <c r="L22" s="3059" t="s">
        <v>2907</v>
      </c>
      <c r="M22" s="3060"/>
      <c r="N22" s="3060"/>
      <c r="O22" s="3061"/>
      <c r="P22" s="3062">
        <v>365</v>
      </c>
      <c r="Q22" s="3036"/>
      <c r="R22" s="3102">
        <f>ROUND(M22*N22*O22*P22/10000,0)</f>
        <v>0</v>
      </c>
      <c r="S22" s="3098"/>
      <c r="T22" s="3098"/>
      <c r="U22" s="3098"/>
      <c r="V22" s="3025"/>
    </row>
    <row r="23" spans="1:22" s="3029" customFormat="1" ht="13.4" customHeight="1">
      <c r="A23" s="3107">
        <v>1</v>
      </c>
      <c r="B23" s="3108" t="s">
        <v>2908</v>
      </c>
      <c r="C23" s="3109">
        <f>D6</f>
        <v>0</v>
      </c>
      <c r="D23" s="3110">
        <f>C23*(1+D24)</f>
        <v>0</v>
      </c>
      <c r="E23" s="3111">
        <f>D23*(1+E24)</f>
        <v>0</v>
      </c>
      <c r="F23" s="3112"/>
      <c r="G23" s="3113"/>
      <c r="H23" s="3024"/>
      <c r="I23" s="3025"/>
      <c r="J23" s="3594"/>
      <c r="K23" s="3596"/>
      <c r="L23" s="3059" t="s">
        <v>2909</v>
      </c>
      <c r="M23" s="3060"/>
      <c r="N23" s="3060"/>
      <c r="O23" s="3061"/>
      <c r="P23" s="3062">
        <v>365</v>
      </c>
      <c r="Q23" s="3036"/>
      <c r="R23" s="3102">
        <f>ROUND(M23*N23*O23*P23/10000,0)</f>
        <v>0</v>
      </c>
      <c r="S23" s="3017"/>
      <c r="T23" s="3017"/>
      <c r="U23" s="3017"/>
      <c r="V23" s="3025"/>
    </row>
    <row r="24" spans="1:22" s="3029" customFormat="1" ht="13.4" customHeight="1">
      <c r="A24" s="3114"/>
      <c r="B24" s="3115" t="s">
        <v>2910</v>
      </c>
      <c r="C24" s="3116"/>
      <c r="D24" s="3117"/>
      <c r="E24" s="3118"/>
      <c r="F24" s="3119"/>
      <c r="G24" s="3113"/>
      <c r="H24" s="3024"/>
      <c r="I24" s="3025"/>
      <c r="J24" s="3594"/>
      <c r="K24" s="3597"/>
      <c r="L24" s="3079" t="s">
        <v>2871</v>
      </c>
      <c r="M24" s="3080">
        <f>SUM(M21:M23)</f>
        <v>0</v>
      </c>
      <c r="N24" s="3080"/>
      <c r="O24" s="3081"/>
      <c r="P24" s="3094" t="s">
        <v>2935</v>
      </c>
      <c r="Q24" s="3061">
        <v>0</v>
      </c>
      <c r="R24" s="3095">
        <f>ROUND(IF(P24="按比例",R14*Q24,SUM(R21:R23)),0)</f>
        <v>0</v>
      </c>
      <c r="S24" s="3017"/>
      <c r="T24" s="3017"/>
      <c r="U24" s="3017"/>
      <c r="V24" s="3025"/>
    </row>
    <row r="25" spans="1:22" s="3126" customFormat="1" ht="13.4" customHeight="1">
      <c r="A25" s="3114"/>
      <c r="B25" s="3115"/>
      <c r="C25" s="3116"/>
      <c r="D25" s="3117"/>
      <c r="E25" s="3118"/>
      <c r="F25" s="3119"/>
      <c r="G25" s="3106"/>
      <c r="H25" s="3024"/>
      <c r="I25" s="3025"/>
      <c r="J25" s="3120">
        <v>4</v>
      </c>
      <c r="K25" s="3121" t="s">
        <v>2911</v>
      </c>
      <c r="L25" s="3122"/>
      <c r="M25" s="3122"/>
      <c r="N25" s="3122"/>
      <c r="O25" s="3122"/>
      <c r="P25" s="3123"/>
      <c r="Q25" s="3124">
        <v>0</v>
      </c>
      <c r="R25" s="3095">
        <f>ROUND(R14*Q25,0)</f>
        <v>0</v>
      </c>
      <c r="S25" s="3017"/>
      <c r="T25" s="3017"/>
      <c r="U25" s="3017"/>
      <c r="V25" s="3125"/>
    </row>
    <row r="26" spans="1:22" s="3126" customFormat="1" ht="13.4" customHeight="1">
      <c r="A26" s="3107">
        <v>2</v>
      </c>
      <c r="B26" s="3108" t="s">
        <v>2912</v>
      </c>
      <c r="C26" s="3109">
        <f>D7</f>
        <v>0</v>
      </c>
      <c r="D26" s="3110">
        <f>D23*D27</f>
        <v>0</v>
      </c>
      <c r="E26" s="3111">
        <f>E23*E27</f>
        <v>0</v>
      </c>
      <c r="F26" s="3112"/>
      <c r="G26" s="3113"/>
      <c r="H26" s="3024"/>
      <c r="I26" s="3025"/>
      <c r="J26" s="3598">
        <v>5</v>
      </c>
      <c r="K26" s="3127" t="s">
        <v>2913</v>
      </c>
      <c r="L26" s="3128"/>
      <c r="M26" s="3129"/>
      <c r="N26" s="3130" t="s">
        <v>2914</v>
      </c>
      <c r="O26" s="3130" t="s">
        <v>2915</v>
      </c>
      <c r="P26" s="3131" t="s">
        <v>2916</v>
      </c>
      <c r="Q26" s="3131" t="s">
        <v>2917</v>
      </c>
      <c r="R26" s="3034" t="s">
        <v>2842</v>
      </c>
      <c r="S26" s="3132"/>
      <c r="T26" s="3132"/>
      <c r="U26" s="3132"/>
      <c r="V26" s="3125"/>
    </row>
    <row r="27" spans="1:22" s="3029" customFormat="1" ht="13.4" customHeight="1">
      <c r="A27" s="3114"/>
      <c r="B27" s="3115" t="s">
        <v>2918</v>
      </c>
      <c r="C27" s="3133" t="e">
        <f>E7</f>
        <v>#DIV/0!</v>
      </c>
      <c r="D27" s="3117"/>
      <c r="E27" s="3118"/>
      <c r="F27" s="3119"/>
      <c r="G27" s="3113"/>
      <c r="H27" s="3134"/>
      <c r="I27" s="3125"/>
      <c r="J27" s="3599"/>
      <c r="K27" s="3135"/>
      <c r="L27" s="3136"/>
      <c r="M27" s="3137"/>
      <c r="N27" s="3138"/>
      <c r="O27" s="3138"/>
      <c r="P27" s="3138"/>
      <c r="Q27" s="3139"/>
      <c r="R27" s="3095">
        <f>ROUND(O27*N27*P27*(1-Q27)/10000,0)</f>
        <v>0</v>
      </c>
      <c r="S27" s="3017"/>
      <c r="T27" s="3017"/>
      <c r="U27" s="3017"/>
      <c r="V27" s="3025"/>
    </row>
    <row r="28" spans="1:22" s="3126" customFormat="1" ht="13.4" customHeight="1" thickBot="1">
      <c r="A28" s="3114"/>
      <c r="B28" s="3115"/>
      <c r="C28" s="3133"/>
      <c r="D28" s="3117"/>
      <c r="E28" s="3118" t="s">
        <v>2919</v>
      </c>
      <c r="F28" s="3119"/>
      <c r="G28" s="3106"/>
      <c r="H28" s="3134"/>
      <c r="I28" s="3125"/>
      <c r="J28" s="3140">
        <v>6</v>
      </c>
      <c r="K28" s="3141" t="s">
        <v>2920</v>
      </c>
      <c r="L28" s="3142" t="s">
        <v>2921</v>
      </c>
      <c r="M28" s="3143"/>
      <c r="N28" s="3142" t="s">
        <v>2922</v>
      </c>
      <c r="O28" s="3144"/>
      <c r="P28" s="3142" t="s">
        <v>2923</v>
      </c>
      <c r="Q28" s="3145">
        <v>1.4999999999999999E-2</v>
      </c>
      <c r="R28" s="3146"/>
      <c r="S28" s="3098"/>
      <c r="T28" s="3098"/>
      <c r="U28" s="3098"/>
      <c r="V28" s="3125"/>
    </row>
    <row r="29" spans="1:22" s="3126" customFormat="1" ht="13.4" customHeight="1">
      <c r="A29" s="3107">
        <v>3</v>
      </c>
      <c r="B29" s="3108" t="s">
        <v>2924</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4" customHeight="1" thickBot="1">
      <c r="A30" s="3114"/>
      <c r="B30" s="3115" t="s">
        <v>2918</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4" customHeight="1">
      <c r="A31" s="3114"/>
      <c r="B31" s="3115"/>
      <c r="C31" s="3148"/>
      <c r="D31" s="3147"/>
      <c r="E31" s="3078"/>
      <c r="F31" s="3119"/>
      <c r="G31" s="3106"/>
      <c r="H31" s="3134"/>
      <c r="I31" s="3125"/>
      <c r="J31" s="3014" t="s">
        <v>2925</v>
      </c>
      <c r="K31" s="3015"/>
      <c r="L31" s="3015"/>
      <c r="M31" s="3015"/>
      <c r="N31" s="3015"/>
      <c r="O31" s="3015"/>
      <c r="P31" s="3015"/>
      <c r="Q31" s="3015"/>
      <c r="R31" s="3016"/>
      <c r="S31" s="3098"/>
      <c r="T31" s="3017"/>
      <c r="U31" s="3017"/>
      <c r="V31" s="3125"/>
    </row>
    <row r="32" spans="1:22" s="3126" customFormat="1" ht="13.4" customHeight="1">
      <c r="A32" s="3107">
        <v>4</v>
      </c>
      <c r="B32" s="3108" t="s">
        <v>2926</v>
      </c>
      <c r="C32" s="3109">
        <f>C23-C26-C29</f>
        <v>0</v>
      </c>
      <c r="D32" s="3110">
        <f>D23-D26-D29</f>
        <v>0</v>
      </c>
      <c r="E32" s="3111">
        <f>E23-E26-E29</f>
        <v>0</v>
      </c>
      <c r="F32" s="3112"/>
      <c r="G32" s="3106"/>
      <c r="H32" s="3024"/>
      <c r="I32" s="3025"/>
      <c r="J32" s="3600" t="s">
        <v>2818</v>
      </c>
      <c r="K32" s="3601"/>
      <c r="L32" s="3026" t="s">
        <v>2819</v>
      </c>
      <c r="M32" s="3026" t="s">
        <v>2820</v>
      </c>
      <c r="N32" s="3026" t="s">
        <v>2821</v>
      </c>
      <c r="O32" s="3026" t="s">
        <v>2822</v>
      </c>
      <c r="P32" s="3026" t="s">
        <v>2823</v>
      </c>
      <c r="Q32" s="3027" t="s">
        <v>2824</v>
      </c>
      <c r="R32" s="3149" t="s">
        <v>2825</v>
      </c>
      <c r="S32" s="3098"/>
      <c r="T32" s="3017"/>
      <c r="U32" s="3017"/>
      <c r="V32" s="3125"/>
    </row>
    <row r="33" spans="1:23" s="3029" customFormat="1" ht="13.4" customHeight="1">
      <c r="A33" s="3107"/>
      <c r="B33" s="3108"/>
      <c r="C33" s="3109"/>
      <c r="D33" s="3150"/>
      <c r="E33" s="3151"/>
      <c r="F33" s="3112"/>
      <c r="G33" s="3106"/>
      <c r="H33" s="3134"/>
      <c r="I33" s="3125"/>
      <c r="J33" s="3602" t="s">
        <v>2828</v>
      </c>
      <c r="K33" s="3603"/>
      <c r="L33" s="3032"/>
      <c r="M33" s="3032"/>
      <c r="N33" s="3032"/>
      <c r="O33" s="3032"/>
      <c r="P33" s="3032"/>
      <c r="Q33" s="3033"/>
      <c r="R33" s="3152">
        <f>SUM(L33:Q33)</f>
        <v>0</v>
      </c>
      <c r="S33" s="3098"/>
      <c r="T33" s="3017"/>
      <c r="U33" s="3017"/>
      <c r="V33" s="3025"/>
    </row>
    <row r="34" spans="1:23" s="3029" customFormat="1" ht="13.4" customHeight="1">
      <c r="A34" s="3107">
        <v>5</v>
      </c>
      <c r="B34" s="3108" t="s">
        <v>2927</v>
      </c>
      <c r="C34" s="3153"/>
      <c r="D34" s="3154"/>
      <c r="E34" s="3155"/>
      <c r="F34" s="3112"/>
      <c r="G34" s="3106"/>
      <c r="H34" s="3134"/>
      <c r="I34" s="3125"/>
      <c r="J34" s="3602" t="s">
        <v>2830</v>
      </c>
      <c r="K34" s="3603"/>
      <c r="L34" s="3037"/>
      <c r="M34" s="3037"/>
      <c r="N34" s="3037"/>
      <c r="O34" s="3037"/>
      <c r="P34" s="3037"/>
      <c r="Q34" s="3038"/>
      <c r="R34" s="3156">
        <f>SUM(L34:Q34)</f>
        <v>0</v>
      </c>
      <c r="S34" s="3098"/>
      <c r="T34" s="3017"/>
      <c r="U34" s="3017" t="e">
        <f>ROUND(R35*10000/365/R33,1)</f>
        <v>#DIV/0!</v>
      </c>
      <c r="V34" s="3025"/>
    </row>
    <row r="35" spans="1:23" s="3029" customFormat="1" ht="13.4" customHeight="1">
      <c r="A35" s="3107">
        <v>6</v>
      </c>
      <c r="B35" s="3108" t="s">
        <v>2928</v>
      </c>
      <c r="C35" s="3157"/>
      <c r="D35" s="3158"/>
      <c r="E35" s="3159"/>
      <c r="F35" s="3112"/>
      <c r="G35" s="3160"/>
      <c r="H35" s="3024"/>
      <c r="I35" s="3125"/>
      <c r="J35" s="3043" t="s">
        <v>2832</v>
      </c>
      <c r="K35" s="3044"/>
      <c r="L35" s="3044"/>
      <c r="M35" s="3045"/>
      <c r="N35" s="3045"/>
      <c r="O35" s="3045"/>
      <c r="P35" s="3045"/>
      <c r="Q35" s="3045"/>
      <c r="R35" s="3161">
        <f>R40+R41+R43</f>
        <v>0</v>
      </c>
      <c r="S35" s="3098"/>
      <c r="T35" s="3017" t="s">
        <v>2833</v>
      </c>
      <c r="U35" s="3017"/>
      <c r="V35" s="3025"/>
    </row>
    <row r="36" spans="1:23" s="3029" customFormat="1" ht="13.4" customHeight="1" thickBot="1">
      <c r="A36" s="3107">
        <v>7</v>
      </c>
      <c r="B36" s="3162" t="s">
        <v>2929</v>
      </c>
      <c r="C36" s="3163"/>
      <c r="D36" s="3164"/>
      <c r="E36" s="3165"/>
      <c r="F36" s="3166">
        <f>C36+D36+E36</f>
        <v>0</v>
      </c>
      <c r="G36" s="3106"/>
      <c r="H36" s="3024"/>
      <c r="I36" s="3025"/>
      <c r="J36" s="3594">
        <v>1</v>
      </c>
      <c r="K36" s="3595" t="s">
        <v>2930</v>
      </c>
      <c r="L36" s="3050"/>
      <c r="M36" s="3051"/>
      <c r="N36" s="3051"/>
      <c r="O36" s="3051"/>
      <c r="P36" s="3051"/>
      <c r="Q36" s="3051"/>
      <c r="R36" s="3034" t="s">
        <v>2842</v>
      </c>
      <c r="S36" s="3098"/>
      <c r="T36" s="3017" t="s">
        <v>2843</v>
      </c>
      <c r="U36" s="3017"/>
      <c r="V36" s="3025"/>
    </row>
    <row r="37" spans="1:23" s="3029" customFormat="1" ht="13.4" customHeight="1">
      <c r="A37" s="3107"/>
      <c r="B37" s="3108"/>
      <c r="C37" s="3108"/>
      <c r="D37" s="3108"/>
      <c r="E37" s="3108"/>
      <c r="F37" s="3112"/>
      <c r="G37" s="3106"/>
      <c r="H37" s="3024"/>
      <c r="I37" s="3025"/>
      <c r="J37" s="3594"/>
      <c r="K37" s="3596"/>
      <c r="L37" s="3059"/>
      <c r="M37" s="3060"/>
      <c r="N37" s="3036"/>
      <c r="O37" s="3061"/>
      <c r="P37" s="3061"/>
      <c r="Q37" s="3062"/>
      <c r="R37" s="3063"/>
      <c r="S37" s="3098"/>
      <c r="T37" s="3017" t="s">
        <v>2846</v>
      </c>
      <c r="U37" s="3017"/>
      <c r="V37" s="3025"/>
    </row>
    <row r="38" spans="1:23" s="3029" customFormat="1" ht="13.4" customHeight="1">
      <c r="A38" s="3107">
        <v>8</v>
      </c>
      <c r="B38" s="3108"/>
      <c r="C38" s="3065" t="e">
        <f>ROUND(C32*(1-((1+C35)/(1+C34))^C36)/(C34-C35),0)</f>
        <v>#DIV/0!</v>
      </c>
      <c r="D38" s="3065">
        <f>IF(D23=0,0,ROUND(D32*(1-((1+D35)/(1+D34))^D36)/(D34-D35),0))</f>
        <v>0</v>
      </c>
      <c r="E38" s="3065">
        <f>IF(E23=0,0,ROUND(E32*(1-((1+E35)/(1+E34))^E36)/(E34-E35),0))</f>
        <v>0</v>
      </c>
      <c r="F38" s="3112"/>
      <c r="G38" s="3106"/>
      <c r="H38" s="3024"/>
      <c r="I38" s="3025"/>
      <c r="J38" s="3594"/>
      <c r="K38" s="3596"/>
      <c r="L38" s="3059"/>
      <c r="M38" s="3060"/>
      <c r="N38" s="3036"/>
      <c r="O38" s="3061"/>
      <c r="P38" s="3061"/>
      <c r="Q38" s="3062"/>
      <c r="R38" s="3063"/>
      <c r="S38" s="3098"/>
      <c r="T38" s="3017" t="s">
        <v>2853</v>
      </c>
      <c r="U38" s="3017"/>
      <c r="V38" s="3025"/>
    </row>
    <row r="39" spans="1:23" s="3029" customFormat="1" ht="13.4" customHeight="1">
      <c r="A39" s="3107">
        <v>9</v>
      </c>
      <c r="B39" s="3108" t="s">
        <v>2931</v>
      </c>
      <c r="C39" s="3073" t="e">
        <f>C38</f>
        <v>#DIV/0!</v>
      </c>
      <c r="D39" s="3108">
        <f>D38/(1+D34)^C36</f>
        <v>0</v>
      </c>
      <c r="E39" s="3108">
        <f>E38/(1+E34)^(C36+D36)</f>
        <v>0</v>
      </c>
      <c r="F39" s="3112"/>
      <c r="G39" s="3167"/>
      <c r="H39" s="3024"/>
      <c r="I39" s="3025"/>
      <c r="J39" s="3594"/>
      <c r="K39" s="3596"/>
      <c r="L39" s="3059"/>
      <c r="M39" s="3060"/>
      <c r="N39" s="3036"/>
      <c r="O39" s="3061"/>
      <c r="P39" s="3061"/>
      <c r="Q39" s="3062"/>
      <c r="R39" s="3063"/>
      <c r="S39" s="3098"/>
      <c r="T39" s="3017"/>
      <c r="U39" s="3017"/>
      <c r="V39" s="3025"/>
    </row>
    <row r="40" spans="1:23" s="3029" customFormat="1" ht="13.4" customHeight="1">
      <c r="A40" s="3168">
        <v>10</v>
      </c>
      <c r="B40" s="3108" t="s">
        <v>2932</v>
      </c>
      <c r="C40" s="3169" t="e">
        <f>C39+D39+E39</f>
        <v>#DIV/0!</v>
      </c>
      <c r="D40" s="3170"/>
      <c r="E40" s="3170"/>
      <c r="F40" s="3171"/>
      <c r="G40" s="3106"/>
      <c r="H40" s="3024"/>
      <c r="I40" s="3025"/>
      <c r="J40" s="3594"/>
      <c r="K40" s="3597"/>
      <c r="L40" s="3079" t="s">
        <v>2871</v>
      </c>
      <c r="M40" s="3080"/>
      <c r="N40" s="3080"/>
      <c r="O40" s="3081"/>
      <c r="P40" s="3081"/>
      <c r="Q40" s="3082"/>
      <c r="R40" s="3028">
        <f>SUM(R37:R39)</f>
        <v>0</v>
      </c>
      <c r="S40" s="3098"/>
      <c r="T40" s="3017"/>
      <c r="U40" s="3017"/>
      <c r="V40" s="3025"/>
    </row>
    <row r="41" spans="1:23" s="3029" customFormat="1" ht="13.4" customHeight="1" thickBot="1">
      <c r="A41" s="3172">
        <v>11</v>
      </c>
      <c r="B41" s="3173" t="s">
        <v>2933</v>
      </c>
      <c r="C41" s="3173" t="e">
        <f>ROUND(C40*10000/B4,0)</f>
        <v>#DIV/0!</v>
      </c>
      <c r="D41" s="3174"/>
      <c r="E41" s="3174"/>
      <c r="F41" s="3175"/>
      <c r="G41" s="3176"/>
      <c r="H41" s="3024"/>
      <c r="I41" s="3025"/>
      <c r="J41" s="3120">
        <v>2</v>
      </c>
      <c r="K41" s="3121" t="s">
        <v>2911</v>
      </c>
      <c r="L41" s="3122"/>
      <c r="M41" s="3122"/>
      <c r="N41" s="3122"/>
      <c r="O41" s="3122"/>
      <c r="P41" s="3123"/>
      <c r="Q41" s="3124"/>
      <c r="R41" s="3095">
        <f>ROUND(R40*Q41,0)</f>
        <v>0</v>
      </c>
      <c r="S41" s="3098"/>
      <c r="T41" s="3017"/>
      <c r="U41" s="3132"/>
      <c r="V41" s="3025"/>
    </row>
    <row r="42" spans="1:23" s="3029" customFormat="1" ht="13.4" customHeight="1">
      <c r="G42" s="3176"/>
      <c r="H42" s="3024"/>
      <c r="I42" s="3025"/>
      <c r="J42" s="3598">
        <v>3</v>
      </c>
      <c r="K42" s="3127" t="s">
        <v>2913</v>
      </c>
      <c r="L42" s="3128"/>
      <c r="M42" s="3129"/>
      <c r="N42" s="3130" t="s">
        <v>2914</v>
      </c>
      <c r="O42" s="3130" t="s">
        <v>2915</v>
      </c>
      <c r="P42" s="3131" t="s">
        <v>2916</v>
      </c>
      <c r="Q42" s="3131" t="s">
        <v>2917</v>
      </c>
      <c r="R42" s="3034" t="s">
        <v>2842</v>
      </c>
      <c r="S42" s="3132"/>
      <c r="T42" s="3132"/>
      <c r="U42" s="3017"/>
      <c r="V42" s="3025"/>
    </row>
    <row r="43" spans="1:23" ht="13.4" customHeight="1">
      <c r="A43" s="3029"/>
      <c r="B43" s="3029"/>
      <c r="C43" s="3029"/>
      <c r="D43" s="3029"/>
      <c r="E43" s="3029"/>
      <c r="F43" s="3029"/>
      <c r="I43" s="3012"/>
      <c r="J43" s="3599"/>
      <c r="K43" s="3135"/>
      <c r="L43" s="3136"/>
      <c r="M43" s="3137"/>
      <c r="N43" s="3060"/>
      <c r="O43" s="3060"/>
      <c r="P43" s="3060"/>
      <c r="Q43" s="3124"/>
      <c r="R43" s="3095">
        <f>ROUND(O43*N43*P43*(1-Q43)/10000,0)</f>
        <v>0</v>
      </c>
      <c r="S43" s="3098"/>
      <c r="T43" s="3017"/>
      <c r="V43" s="3178"/>
      <c r="W43" s="3179"/>
    </row>
    <row r="44" spans="1:23" ht="13.4" customHeight="1" thickBot="1">
      <c r="J44" s="3140">
        <v>6</v>
      </c>
      <c r="K44" s="3141" t="s">
        <v>2920</v>
      </c>
      <c r="L44" s="3180" t="s">
        <v>2921</v>
      </c>
      <c r="M44" s="3143"/>
      <c r="N44" s="3180" t="s">
        <v>2922</v>
      </c>
      <c r="O44" s="3143"/>
      <c r="P44" s="3180" t="s">
        <v>2923</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AJ512"/>
  <sheetViews>
    <sheetView view="pageBreakPreview" topLeftCell="A109" zoomScaleNormal="100" zoomScaleSheetLayoutView="100" zoomScalePageLayoutView="80" workbookViewId="0">
      <selection activeCell="D33" sqref="D33"/>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48</v>
      </c>
      <c r="D1" s="1882"/>
      <c r="E1" s="1882"/>
      <c r="F1" s="1884" t="s">
        <v>1704</v>
      </c>
      <c r="G1" s="1696"/>
      <c r="H1" s="1885" t="str">
        <f>IF(G1="现房","——","估价对象范围")</f>
        <v>估价对象范围</v>
      </c>
      <c r="I1" s="1886"/>
    </row>
    <row r="2" spans="1:12" ht="21.75" customHeight="1" thickBot="1">
      <c r="A2" s="3479" t="str">
        <f>项目基本情况!S2</f>
        <v>北京市朝阳区朝阳门南大街10号房地产</v>
      </c>
      <c r="B2" s="3480"/>
      <c r="C2" s="3480"/>
      <c r="D2" s="3480"/>
      <c r="E2" s="3480"/>
      <c r="F2" s="3480"/>
      <c r="G2" s="3480"/>
      <c r="H2" s="3480"/>
      <c r="I2" s="3481"/>
    </row>
    <row r="3" spans="1:12" ht="13">
      <c r="A3" s="3483" t="s">
        <v>1705</v>
      </c>
      <c r="B3" s="3484"/>
      <c r="C3" s="3484"/>
      <c r="D3" s="3484"/>
      <c r="E3" s="3484"/>
      <c r="F3" s="3484"/>
      <c r="G3" s="3484"/>
      <c r="H3" s="3484"/>
      <c r="I3" s="3484"/>
    </row>
    <row r="4" spans="1:12" ht="14">
      <c r="A4" s="1889" t="s">
        <v>1706</v>
      </c>
      <c r="B4" s="1890" t="s">
        <v>1707</v>
      </c>
      <c r="C4" s="1891" t="s">
        <v>3735</v>
      </c>
      <c r="D4" s="1891" t="s">
        <v>3753</v>
      </c>
      <c r="E4" s="3485" t="s">
        <v>1708</v>
      </c>
      <c r="F4" s="3486"/>
      <c r="G4" s="3486"/>
      <c r="H4" s="3486"/>
      <c r="I4" s="3487"/>
      <c r="K4" s="151" t="str">
        <f>IF(ISNUMBER(FIND("比较法",'结果表(车库)'!C4)),"比较法",IF(ISNUMBER(FIND("成本法",'结果表(车库)'!C4)),"成本法",IF(ISNUMBER(FIND("假设开发法",'结果表(车库)'!C4)),"假设开发法",IF(ISNUMBER(FIND("收益法",'结果表(车库)'!C4)),"收益法","基准地价系数修正法"))))</f>
        <v>收益法</v>
      </c>
      <c r="L4" s="151" t="str">
        <f>IF(ISNUMBER(FIND("比较法",'结果表(车库)'!D4)),"比较法",IF(ISNUMBER(FIND("成本法",'结果表(车库)'!D4)),"成本法",IF(ISNUMBER(FIND("假设开发法",'结果表(车库)'!D4)),"假设开发法",IF(ISNUMBER(FIND("收益法",'结果表(车库)'!D4)),"收益法","基准地价系数修正法"))))</f>
        <v>成本法</v>
      </c>
    </row>
    <row r="5" spans="1:12" ht="13">
      <c r="A5" s="3459" t="s">
        <v>1709</v>
      </c>
      <c r="B5" s="3446">
        <v>25</v>
      </c>
      <c r="C5" s="3462"/>
      <c r="D5" s="3482"/>
      <c r="E5" s="136" t="s">
        <v>1710</v>
      </c>
      <c r="F5" s="1892"/>
      <c r="G5" s="1892"/>
      <c r="H5" s="1892"/>
      <c r="I5" s="1507"/>
    </row>
    <row r="6" spans="1:12" ht="13">
      <c r="A6" s="3459"/>
      <c r="B6" s="3446"/>
      <c r="C6" s="3463"/>
      <c r="D6" s="3482"/>
      <c r="E6" s="136" t="s">
        <v>1711</v>
      </c>
      <c r="F6" s="1892"/>
      <c r="G6" s="1892"/>
      <c r="H6" s="1892"/>
      <c r="I6" s="1507"/>
    </row>
    <row r="7" spans="1:12" ht="13">
      <c r="A7" s="3459"/>
      <c r="B7" s="3446"/>
      <c r="C7" s="3464"/>
      <c r="D7" s="3482"/>
      <c r="E7" s="136" t="s">
        <v>1712</v>
      </c>
      <c r="F7" s="1892"/>
      <c r="G7" s="1892"/>
      <c r="H7" s="1892"/>
      <c r="I7" s="1507"/>
    </row>
    <row r="8" spans="1:12" ht="13">
      <c r="A8" s="3459" t="s">
        <v>1713</v>
      </c>
      <c r="B8" s="3446">
        <v>15</v>
      </c>
      <c r="C8" s="3462"/>
      <c r="D8" s="3482"/>
      <c r="E8" s="136" t="s">
        <v>1714</v>
      </c>
      <c r="F8" s="1892"/>
      <c r="G8" s="1892"/>
      <c r="H8" s="1892"/>
      <c r="I8" s="1507"/>
    </row>
    <row r="9" spans="1:12" ht="13">
      <c r="A9" s="3459"/>
      <c r="B9" s="3446"/>
      <c r="C9" s="3464"/>
      <c r="D9" s="3482"/>
      <c r="E9" s="136" t="s">
        <v>1715</v>
      </c>
      <c r="F9" s="1892"/>
      <c r="G9" s="1892"/>
      <c r="H9" s="1892"/>
      <c r="I9" s="1507"/>
    </row>
    <row r="10" spans="1:12" ht="13">
      <c r="A10" s="3459" t="s">
        <v>1716</v>
      </c>
      <c r="B10" s="3446">
        <v>15</v>
      </c>
      <c r="C10" s="3462"/>
      <c r="D10" s="3482"/>
      <c r="E10" s="136" t="s">
        <v>1717</v>
      </c>
      <c r="F10" s="1892"/>
      <c r="G10" s="1892"/>
      <c r="H10" s="1892"/>
      <c r="I10" s="1507"/>
    </row>
    <row r="11" spans="1:12" ht="13">
      <c r="A11" s="3459"/>
      <c r="B11" s="3446"/>
      <c r="C11" s="3464"/>
      <c r="D11" s="3482"/>
      <c r="E11" s="136" t="s">
        <v>1718</v>
      </c>
      <c r="F11" s="1892"/>
      <c r="G11" s="1892"/>
      <c r="H11" s="1892"/>
      <c r="I11" s="1507"/>
    </row>
    <row r="12" spans="1:12" ht="13">
      <c r="A12" s="3459" t="s">
        <v>1719</v>
      </c>
      <c r="B12" s="3446">
        <v>15</v>
      </c>
      <c r="C12" s="3462"/>
      <c r="D12" s="3482"/>
      <c r="E12" s="136" t="s">
        <v>1720</v>
      </c>
      <c r="F12" s="1892"/>
      <c r="G12" s="1892"/>
      <c r="H12" s="1892"/>
      <c r="I12" s="1507"/>
    </row>
    <row r="13" spans="1:12" ht="13">
      <c r="A13" s="3459"/>
      <c r="B13" s="3446"/>
      <c r="C13" s="3464"/>
      <c r="D13" s="3482"/>
      <c r="E13" s="136" t="s">
        <v>1721</v>
      </c>
      <c r="F13" s="1892"/>
      <c r="G13" s="1892"/>
      <c r="H13" s="1892"/>
      <c r="I13" s="1507"/>
    </row>
    <row r="14" spans="1:12" ht="13">
      <c r="A14" s="3459" t="s">
        <v>1722</v>
      </c>
      <c r="B14" s="3446">
        <v>30</v>
      </c>
      <c r="C14" s="3462">
        <v>6</v>
      </c>
      <c r="D14" s="3482">
        <v>4</v>
      </c>
      <c r="E14" s="136" t="s">
        <v>1723</v>
      </c>
      <c r="F14" s="1892"/>
      <c r="G14" s="1892"/>
      <c r="H14" s="1892"/>
      <c r="I14" s="1507"/>
    </row>
    <row r="15" spans="1:12" ht="13">
      <c r="A15" s="3459"/>
      <c r="B15" s="3446"/>
      <c r="C15" s="3463"/>
      <c r="D15" s="3482"/>
      <c r="E15" s="136" t="s">
        <v>1724</v>
      </c>
      <c r="F15" s="1892"/>
      <c r="G15" s="1892"/>
      <c r="H15" s="1892"/>
      <c r="I15" s="1507"/>
    </row>
    <row r="16" spans="1:12" ht="13">
      <c r="A16" s="3459"/>
      <c r="B16" s="3446"/>
      <c r="C16" s="3464"/>
      <c r="D16" s="3482"/>
      <c r="E16" s="136" t="s">
        <v>1725</v>
      </c>
      <c r="F16" s="1892"/>
      <c r="G16" s="1892"/>
      <c r="H16" s="1892"/>
      <c r="I16" s="1507"/>
    </row>
    <row r="17" spans="1:36" ht="14">
      <c r="A17" s="1893" t="s">
        <v>1726</v>
      </c>
      <c r="B17" s="60"/>
      <c r="C17" s="137">
        <f>SUM(C5:C16)</f>
        <v>6</v>
      </c>
      <c r="D17" s="137">
        <f>SUM(D5:D16)</f>
        <v>4</v>
      </c>
      <c r="E17" s="134"/>
      <c r="F17" s="134"/>
      <c r="G17" s="134"/>
      <c r="H17" s="134"/>
      <c r="I17" s="134"/>
      <c r="K17" s="308"/>
      <c r="L17" s="308" t="s">
        <v>1727</v>
      </c>
      <c r="M17" s="308" t="s">
        <v>1728</v>
      </c>
    </row>
    <row r="18" spans="1:36" ht="32.15" customHeight="1" thickBot="1">
      <c r="A18" s="1894" t="s">
        <v>1729</v>
      </c>
      <c r="B18" s="1895"/>
      <c r="C18" s="138">
        <f>ROUND(C17/SUM(C17:D17),2)</f>
        <v>0.6</v>
      </c>
      <c r="D18" s="138">
        <f>1-C18</f>
        <v>0.4</v>
      </c>
      <c r="E18" s="3469" t="s">
        <v>2628</v>
      </c>
      <c r="F18" s="3470"/>
      <c r="G18" s="3470"/>
      <c r="H18" s="3470"/>
      <c r="I18" s="3470"/>
      <c r="K18" s="308" t="s">
        <v>1730</v>
      </c>
      <c r="L18" s="308">
        <f>IF(C1="",'数据-汇总表'!E3,SUMIF(项目类型,C1,'数据-汇总表'!E17:E26)+SUMIF(项目类型,C1,'数据-汇总表'!I17:I26))</f>
        <v>18842.53</v>
      </c>
      <c r="M18" s="308">
        <f>IF(C1="",'数据-汇总表'!E3,SUMIF(项目类型,C1,'数据-汇总表'!E17:E26))</f>
        <v>18842.53</v>
      </c>
    </row>
    <row r="19" spans="1:36" ht="14">
      <c r="A19" s="1896" t="s">
        <v>1731</v>
      </c>
      <c r="B19" s="1897" t="s">
        <v>1732</v>
      </c>
      <c r="C19" s="139">
        <f ca="1">SUMIF(INDIRECT("'"&amp;C4&amp;"'"&amp;"!A:A"),'结果表(车库)'!B19,INDIRECT("'"&amp;C4&amp;"'"&amp;"!B:B"))</f>
        <v>11556</v>
      </c>
      <c r="D19" s="140">
        <f ca="1">SUMIF(INDIRECT("'"&amp;D4&amp;"'"&amp;"!A:A"),'结果表(车库)'!B19,INDIRECT("'"&amp;D4&amp;"'"&amp;"!B:B"))</f>
        <v>28823</v>
      </c>
      <c r="E19" s="1896" t="s">
        <v>1733</v>
      </c>
      <c r="F19" s="1897" t="s">
        <v>1732</v>
      </c>
      <c r="G19" s="141">
        <f ca="1">ROUND(C19*$C$18+D19*$D$18,0)</f>
        <v>18463</v>
      </c>
      <c r="H19" s="1898" t="s">
        <v>1734</v>
      </c>
      <c r="I19" s="134"/>
      <c r="K19" s="308" t="s">
        <v>1735</v>
      </c>
      <c r="L19" s="308">
        <f>IF(C1="",'数据-汇总表'!D3,SUMIF(项目类型,C1,'数据-汇总表'!D17:D26)+SUMIF(项目类型,C1,'数据-汇总表'!H17:H27))</f>
        <v>1084.72</v>
      </c>
      <c r="M19" s="308">
        <f>IF(C1="",'数据-汇总表'!D3,SUMIF(项目类型,C1,'数据-汇总表'!D17:D26))</f>
        <v>1084.72</v>
      </c>
    </row>
    <row r="20" spans="1:36" ht="14">
      <c r="A20" s="1899"/>
      <c r="B20" s="1137" t="s">
        <v>1736</v>
      </c>
      <c r="C20" s="142">
        <f ca="1">SUMIF(INDIRECT("'"&amp;C4&amp;"'"&amp;"!A:A"),'结果表(车库)'!B20,INDIRECT("'"&amp;C4&amp;"'"&amp;"!B:B"))</f>
        <v>6133</v>
      </c>
      <c r="D20" s="143">
        <f ca="1">SUMIF(INDIRECT("'"&amp;D4&amp;"'"&amp;"!A:A"),'结果表(车库)'!B20,INDIRECT("'"&amp;D4&amp;"'"&amp;"!B:B"))</f>
        <v>15297</v>
      </c>
      <c r="E20" s="1899"/>
      <c r="F20" s="1137" t="s">
        <v>1736</v>
      </c>
      <c r="G20" s="144">
        <f ca="1">ROUND(C20*$C$18+D20*$D$18,0)</f>
        <v>9799</v>
      </c>
      <c r="H20" s="897" t="s">
        <v>1737</v>
      </c>
      <c r="I20" s="134"/>
    </row>
    <row r="21" spans="1:36" ht="15" customHeight="1" thickBot="1">
      <c r="A21" s="917"/>
      <c r="B21" s="1900" t="s">
        <v>1738</v>
      </c>
      <c r="C21" s="728">
        <f ca="1">ROUND(C19*10000/L19,0)</f>
        <v>106534</v>
      </c>
      <c r="D21" s="729">
        <f ca="1">ROUND(D19*10000/L19,0)</f>
        <v>265718</v>
      </c>
      <c r="E21" s="917"/>
      <c r="F21" s="1900" t="s">
        <v>1738</v>
      </c>
      <c r="G21" s="145">
        <f ca="1">ROUND(G19*10000/L19,0)</f>
        <v>170210</v>
      </c>
      <c r="H21" s="1901" t="s">
        <v>1737</v>
      </c>
      <c r="I21" s="134"/>
    </row>
    <row r="22" spans="1:36" ht="14.5" thickBot="1">
      <c r="A22" s="1823" t="s">
        <v>1739</v>
      </c>
      <c r="B22" s="1902"/>
      <c r="C22" s="1903"/>
      <c r="D22" s="730">
        <f ca="1">IF(C19&lt;D19,D19/C19-1,C19/D19-1)</f>
        <v>1.4942021460713049</v>
      </c>
      <c r="E22" s="134"/>
      <c r="F22" s="134"/>
      <c r="G22" s="134"/>
      <c r="H22" s="134"/>
      <c r="I22" s="134"/>
    </row>
    <row r="23" spans="1:36" ht="13" thickBot="1">
      <c r="A23" s="1882"/>
      <c r="B23" s="1882"/>
      <c r="C23" s="1882"/>
      <c r="D23" s="1882"/>
      <c r="E23" s="134"/>
      <c r="F23" s="134"/>
      <c r="G23" s="134"/>
      <c r="H23" s="134"/>
      <c r="I23" s="134"/>
    </row>
    <row r="24" spans="1:36" ht="14">
      <c r="A24" s="3453" t="s">
        <v>1740</v>
      </c>
      <c r="B24" s="1897" t="s">
        <v>1732</v>
      </c>
      <c r="C24" s="141">
        <f>IF(B30=0,0,D30)</f>
        <v>0</v>
      </c>
      <c r="D24" s="1904"/>
      <c r="E24" s="134"/>
      <c r="F24" s="134"/>
      <c r="G24" s="134"/>
      <c r="H24" s="134"/>
      <c r="I24" s="134"/>
    </row>
    <row r="25" spans="1:36" ht="14">
      <c r="A25" s="3454"/>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18463</v>
      </c>
      <c r="D32" s="1910" t="s">
        <v>3744</v>
      </c>
      <c r="E32" s="134"/>
      <c r="F32" s="134"/>
      <c r="G32" s="134"/>
      <c r="H32" s="134"/>
      <c r="I32" s="134"/>
    </row>
    <row r="33" spans="1:15" ht="14">
      <c r="A33" s="874" t="s">
        <v>1747</v>
      </c>
      <c r="B33" s="1911"/>
      <c r="C33" s="1912" t="s">
        <v>3745</v>
      </c>
      <c r="D33" s="1913" t="s">
        <v>3753</v>
      </c>
      <c r="E33" s="1914" t="s">
        <v>1748</v>
      </c>
      <c r="F33" s="1915" t="str">
        <f>IF(D32="楼面单价","取值（单价）","取值（总价）")</f>
        <v>取值（总价）</v>
      </c>
      <c r="G33" s="134"/>
      <c r="H33" s="134"/>
      <c r="I33" s="134"/>
    </row>
    <row r="34" spans="1:15" ht="14">
      <c r="A34" s="1916"/>
      <c r="B34" s="1917" t="s">
        <v>1749</v>
      </c>
      <c r="C34" s="153">
        <f ca="1">IF(C33="自定义",F34,C32-C35)</f>
        <v>10875</v>
      </c>
      <c r="D34" s="950">
        <f ca="1">IF(C33="自定义",ROUND(C34/C32,3),IF(C33="收益比率",SUMIF(INDIRECT("'"&amp;D33&amp;"'"&amp;"!b:b"),"土地收益比率",INDIRECT("'"&amp;D33&amp;"'"&amp;"!c:c")),SUMIF(INDIRECT("'"&amp;D33&amp;"'"&amp;"!b:b"),"土地成本比率",INDIRECT("'"&amp;D33&amp;"'"&amp;"!c:c"))))</f>
        <v>0.58899999999999997</v>
      </c>
      <c r="E34" s="1918" t="s">
        <v>1750</v>
      </c>
      <c r="F34" s="1450"/>
      <c r="G34" s="134"/>
      <c r="H34" s="134"/>
      <c r="I34" s="134"/>
    </row>
    <row r="35" spans="1:15" ht="14.5" thickBot="1">
      <c r="A35" s="1919"/>
      <c r="B35" s="1920" t="s">
        <v>1751</v>
      </c>
      <c r="C35" s="1284">
        <f ca="1">IF(C33="自定义",F35,ROUND(C32*D35,0))</f>
        <v>7588</v>
      </c>
      <c r="D35" s="1285">
        <f ca="1">IF(C33="自定义",ROUND(C35/C32,3),IF(C33="收益比率",SUMIF(INDIRECT("'"&amp;D33&amp;"'"&amp;"!b:b"),"建筑物收益比率",INDIRECT("'"&amp;D33&amp;"'"&amp;"!c:c")),SUMIF(INDIRECT("'"&amp;D33&amp;"'"&amp;"!b:b"),"建筑物成本比率",INDIRECT("'"&amp;D33&amp;"'"&amp;"!c:c"))))</f>
        <v>0.41099999999999998</v>
      </c>
      <c r="E35" s="1921" t="s">
        <v>1752</v>
      </c>
      <c r="F35" s="159"/>
      <c r="G35" s="134"/>
      <c r="H35" s="134"/>
      <c r="I35" s="134"/>
    </row>
    <row r="36" spans="1:15" ht="14.5" thickBot="1">
      <c r="A36" s="3473" t="s">
        <v>1753</v>
      </c>
      <c r="B36" s="1922" t="s">
        <v>1754</v>
      </c>
      <c r="C36" s="150"/>
      <c r="D36" s="1923"/>
      <c r="E36" s="1924"/>
      <c r="F36" s="1925"/>
      <c r="G36" s="134"/>
      <c r="H36" s="134"/>
      <c r="I36" s="134"/>
    </row>
    <row r="37" spans="1:15" ht="14.5" thickBot="1">
      <c r="A37" s="3474"/>
      <c r="B37" s="1809" t="s">
        <v>1755</v>
      </c>
      <c r="C37" s="152"/>
      <c r="D37" s="1253"/>
      <c r="E37" s="1253"/>
      <c r="F37" s="1925"/>
      <c r="G37" s="134"/>
      <c r="H37" s="134"/>
      <c r="I37" s="134"/>
    </row>
    <row r="38" spans="1:15" ht="14.5" thickBot="1">
      <c r="A38" s="3475"/>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0" t="s">
        <v>1767</v>
      </c>
      <c r="B45" s="3451"/>
      <c r="C45" s="3452"/>
      <c r="D45" s="160">
        <f ca="1">ROUND(H101*F45,0)</f>
        <v>18463</v>
      </c>
      <c r="E45" s="161" t="s">
        <v>1768</v>
      </c>
      <c r="F45" s="162">
        <v>1</v>
      </c>
      <c r="G45" s="163" t="s">
        <v>1769</v>
      </c>
      <c r="H45" s="134"/>
      <c r="I45" s="134"/>
      <c r="J45" s="3526" t="s">
        <v>1770</v>
      </c>
      <c r="K45" s="3526"/>
      <c r="L45" s="3526"/>
      <c r="M45" s="3526"/>
      <c r="N45" s="3526"/>
      <c r="O45" s="3526"/>
    </row>
    <row r="46" spans="1:15" ht="14.25" customHeight="1">
      <c r="A46" s="3447" t="s">
        <v>1771</v>
      </c>
      <c r="B46" s="3448"/>
      <c r="C46" s="3448"/>
      <c r="D46" s="3448"/>
      <c r="E46" s="3448"/>
      <c r="F46" s="3448"/>
      <c r="G46" s="3449"/>
      <c r="H46" s="1941"/>
      <c r="I46" s="164"/>
      <c r="J46" s="3314">
        <v>1</v>
      </c>
      <c r="K46" s="3507" t="s">
        <v>1772</v>
      </c>
      <c r="L46" s="3507"/>
      <c r="M46" s="3527"/>
      <c r="N46" s="3527"/>
      <c r="O46" s="3527"/>
    </row>
    <row r="47" spans="1:15" ht="12" customHeight="1">
      <c r="A47" s="165" t="s">
        <v>1773</v>
      </c>
      <c r="B47" s="166"/>
      <c r="C47" s="167"/>
      <c r="D47" s="1199" t="s">
        <v>1774</v>
      </c>
      <c r="E47" s="308" t="s">
        <v>1775</v>
      </c>
      <c r="F47" s="168" t="s">
        <v>1776</v>
      </c>
      <c r="G47" s="2718" t="s">
        <v>1777</v>
      </c>
      <c r="H47" s="2719"/>
      <c r="I47" s="164"/>
      <c r="J47" s="3314">
        <v>2</v>
      </c>
      <c r="K47" s="3507" t="s">
        <v>1778</v>
      </c>
      <c r="L47" s="3507"/>
      <c r="M47" s="3528">
        <f>'数据-取费表'!B2</f>
        <v>44691</v>
      </c>
      <c r="N47" s="3528"/>
      <c r="O47" s="3528"/>
    </row>
    <row r="48" spans="1:15" ht="26">
      <c r="A48" s="3478" t="s">
        <v>1779</v>
      </c>
      <c r="B48" s="3461"/>
      <c r="C48" s="3461"/>
      <c r="D48" s="3316" t="b">
        <f>IF(H48="情况1",0,IF(H48="情况2",D52,IF(H48="情况3",D53,IF(H48="情况4",D54))))</f>
        <v>0</v>
      </c>
      <c r="E48" s="3307" t="str">
        <f>IF(H48="情况4","(销售额-原购置价)×税（费）率","销售额×税（费）率")</f>
        <v>销售额×税（费）率</v>
      </c>
      <c r="F48" s="2720">
        <f>IF(H48="情况1","免征",'数据-取费表'!B41)</f>
        <v>5.6000000000000001E-2</v>
      </c>
      <c r="G48" s="2721" t="s">
        <v>1780</v>
      </c>
      <c r="H48" s="2722"/>
      <c r="I48" s="1941"/>
      <c r="J48" s="3314">
        <v>3</v>
      </c>
      <c r="K48" s="3507" t="s">
        <v>1781</v>
      </c>
      <c r="L48" s="3507"/>
      <c r="M48" s="3529">
        <f ca="1">H101</f>
        <v>18463</v>
      </c>
      <c r="N48" s="3529"/>
      <c r="O48" s="3529"/>
    </row>
    <row r="49" spans="1:35" ht="25.5" customHeight="1">
      <c r="A49" s="3311" t="s">
        <v>1782</v>
      </c>
      <c r="B49" s="3445" t="s">
        <v>1783</v>
      </c>
      <c r="C49" s="3445"/>
      <c r="D49" s="1725">
        <v>0</v>
      </c>
      <c r="E49" s="330" t="s">
        <v>1784</v>
      </c>
      <c r="F49" s="3301" t="s">
        <v>34</v>
      </c>
      <c r="G49" s="3513"/>
      <c r="H49" s="2477" t="s">
        <v>2631</v>
      </c>
      <c r="I49" s="2478"/>
      <c r="J49" s="3314">
        <v>4</v>
      </c>
      <c r="K49" s="3507" t="str">
        <f>IF(项目基本情况!E8="房地产抵押价值","房地产抵押价值","抵押担保权已注销时的房地产抵押价值")</f>
        <v>房地产抵押价值</v>
      </c>
      <c r="L49" s="3507"/>
      <c r="M49" s="3529">
        <f ca="1">IF(项目基本情况!E8="房地产抵押价值",H107,H109)</f>
        <v>18463</v>
      </c>
      <c r="N49" s="3529"/>
      <c r="O49" s="3529"/>
    </row>
    <row r="50" spans="1:35" ht="25.5" customHeight="1">
      <c r="A50" s="2723"/>
      <c r="B50" s="3445" t="s">
        <v>1785</v>
      </c>
      <c r="C50" s="3445"/>
      <c r="D50" s="2724"/>
      <c r="E50" s="338"/>
      <c r="F50" s="3301"/>
      <c r="G50" s="3514"/>
      <c r="H50" s="2479" t="s">
        <v>2632</v>
      </c>
      <c r="I50" s="2478"/>
      <c r="J50" s="3526" t="s">
        <v>1786</v>
      </c>
      <c r="K50" s="3526"/>
      <c r="L50" s="3526"/>
      <c r="M50" s="3526"/>
      <c r="N50" s="3526"/>
      <c r="O50" s="3526"/>
    </row>
    <row r="51" spans="1:35" ht="20.5" customHeight="1">
      <c r="A51" s="2725"/>
      <c r="B51" s="3445" t="s">
        <v>1787</v>
      </c>
      <c r="C51" s="3445"/>
      <c r="D51" s="1199"/>
      <c r="E51" s="333"/>
      <c r="F51" s="3301"/>
      <c r="G51" s="3515"/>
      <c r="H51" s="2479" t="s">
        <v>2633</v>
      </c>
      <c r="I51" s="2478"/>
      <c r="J51" s="3313" t="s">
        <v>1788</v>
      </c>
      <c r="K51" s="3507" t="s">
        <v>1789</v>
      </c>
      <c r="L51" s="3507"/>
      <c r="M51" s="3313" t="s">
        <v>1790</v>
      </c>
      <c r="N51" s="3313" t="s">
        <v>1791</v>
      </c>
      <c r="O51" s="3313" t="s">
        <v>1792</v>
      </c>
    </row>
    <row r="52" spans="1:35" ht="24" customHeight="1">
      <c r="A52" s="3306" t="s">
        <v>1793</v>
      </c>
      <c r="B52" s="3445" t="s">
        <v>1794</v>
      </c>
      <c r="C52" s="3445"/>
      <c r="D52" s="1199">
        <f ca="1">ROUND(D45*'数据-取费表'!B41/(1+'数据-取费表'!C42),0)</f>
        <v>985</v>
      </c>
      <c r="E52" s="3307" t="s">
        <v>1795</v>
      </c>
      <c r="F52" s="2726">
        <f>'数据-取费表'!B41</f>
        <v>5.6000000000000001E-2</v>
      </c>
      <c r="G52" s="2727"/>
      <c r="H52" s="2716"/>
      <c r="I52" s="1942"/>
      <c r="J52" s="3314">
        <v>1</v>
      </c>
      <c r="K52" s="3508" t="s">
        <v>1796</v>
      </c>
      <c r="L52" s="3508"/>
      <c r="M52" s="2697" t="b">
        <f>D48</f>
        <v>0</v>
      </c>
      <c r="N52" s="3314" t="str">
        <f>E48</f>
        <v>销售额×税（费）率</v>
      </c>
      <c r="O52" s="2698">
        <f>F48</f>
        <v>5.6000000000000001E-2</v>
      </c>
    </row>
    <row r="53" spans="1:35" ht="12" customHeight="1">
      <c r="A53" s="3306" t="s">
        <v>1797</v>
      </c>
      <c r="B53" s="3471" t="s">
        <v>2788</v>
      </c>
      <c r="C53" s="3472"/>
      <c r="D53" s="1199">
        <f ca="1">ROUND(D45*'数据-取费表'!B41/(1+'数据-取费表'!C42),0)</f>
        <v>985</v>
      </c>
      <c r="E53" s="3307" t="s">
        <v>1795</v>
      </c>
      <c r="F53" s="2726">
        <f>'数据-取费表'!B41</f>
        <v>5.6000000000000001E-2</v>
      </c>
      <c r="G53" s="2727"/>
      <c r="H53" s="2716"/>
      <c r="I53" s="1942"/>
      <c r="J53" s="3314">
        <v>2</v>
      </c>
      <c r="K53" s="3508" t="s">
        <v>1798</v>
      </c>
      <c r="L53" s="3508"/>
      <c r="M53" s="2697">
        <f t="shared" ref="M53:O54" ca="1" si="0">D55</f>
        <v>9</v>
      </c>
      <c r="N53" s="3314" t="str">
        <f t="shared" si="0"/>
        <v>销售额×税（费）率</v>
      </c>
      <c r="O53" s="2698" t="str">
        <f t="shared" si="0"/>
        <v>免征</v>
      </c>
    </row>
    <row r="54" spans="1:35" ht="12" customHeight="1">
      <c r="A54" s="3306" t="s">
        <v>1799</v>
      </c>
      <c r="B54" s="3471" t="s">
        <v>2789</v>
      </c>
      <c r="C54" s="3472"/>
      <c r="D54" s="1199">
        <f ca="1">C68</f>
        <v>985</v>
      </c>
      <c r="E54" s="333" t="s">
        <v>1800</v>
      </c>
      <c r="F54" s="2726">
        <f>'数据-取费表'!B41</f>
        <v>5.6000000000000001E-2</v>
      </c>
      <c r="G54" s="2727"/>
      <c r="H54" s="2728"/>
      <c r="I54" s="1942"/>
      <c r="J54" s="3314">
        <v>3</v>
      </c>
      <c r="K54" s="3508" t="s">
        <v>1801</v>
      </c>
      <c r="L54" s="3508"/>
      <c r="M54" s="2697">
        <f t="shared" ca="1" si="0"/>
        <v>10450</v>
      </c>
      <c r="N54" s="3314" t="str">
        <f t="shared" si="0"/>
        <v>增值额×税（费）率</v>
      </c>
      <c r="O54" s="2699" t="str">
        <f t="shared" si="0"/>
        <v>免征</v>
      </c>
    </row>
    <row r="55" spans="1:35" ht="24" customHeight="1">
      <c r="A55" s="3460" t="s">
        <v>1802</v>
      </c>
      <c r="B55" s="3461"/>
      <c r="C55" s="3461"/>
      <c r="D55" s="3316">
        <f ca="1">IF(H55="个人住宅",0,ROUND(D45*I55,0))</f>
        <v>9</v>
      </c>
      <c r="E55" s="3307" t="s">
        <v>1803</v>
      </c>
      <c r="F55" s="2726" t="str">
        <f>IF(H55="正常",I55,"免征")</f>
        <v>免征</v>
      </c>
      <c r="G55" s="2727"/>
      <c r="H55" s="2722"/>
      <c r="I55" s="170">
        <f>'数据-取费表'!B49</f>
        <v>5.0000000000000001E-4</v>
      </c>
      <c r="J55" s="3314">
        <f>IF(H59="非个人房产","",4)</f>
        <v>4</v>
      </c>
      <c r="K55" s="3508" t="str">
        <f>IF(H59="非个人房产","——","个人所得税")</f>
        <v>个人所得税</v>
      </c>
      <c r="L55" s="3508"/>
      <c r="M55" s="2700">
        <f ca="1">D59</f>
        <v>176</v>
      </c>
      <c r="N55" s="3315" t="str">
        <f>E59</f>
        <v>差额计税</v>
      </c>
      <c r="O55" s="2701">
        <f>F59</f>
        <v>0.01</v>
      </c>
    </row>
    <row r="56" spans="1:35" ht="26">
      <c r="A56" s="3460" t="s">
        <v>1804</v>
      </c>
      <c r="B56" s="3461"/>
      <c r="C56" s="3461"/>
      <c r="D56" s="3316">
        <f ca="1">IF(H56="个人住宅",D57,D58)</f>
        <v>10450</v>
      </c>
      <c r="E56" s="3307" t="s">
        <v>1805</v>
      </c>
      <c r="F56" s="2726" t="str">
        <f>IF(H56="正常",F58,"免征")</f>
        <v>免征</v>
      </c>
      <c r="G56" s="2729" t="s">
        <v>1806</v>
      </c>
      <c r="H56" s="2730"/>
      <c r="I56" s="1943"/>
      <c r="J56" s="3314" t="str">
        <f>IF(项目基本情况!K6="上海银行",IF(J55="",4,J55+1),"")</f>
        <v/>
      </c>
      <c r="K56" s="3531" t="str">
        <f>IF(项目基本情况!K6="上海银行","其他处置费用","")</f>
        <v/>
      </c>
      <c r="L56" s="3532"/>
      <c r="M56" s="2697" t="str">
        <f>IF(项目基本情况!K6="上海银行",M69,"")</f>
        <v/>
      </c>
      <c r="N56" s="3531" t="str">
        <f>IF(项目基本情况!K6="上海银行","包含处置中涉及的律师、诉讼、拍卖、评估等费用","")</f>
        <v/>
      </c>
      <c r="O56" s="3534"/>
    </row>
    <row r="57" spans="1:35" ht="13">
      <c r="A57" s="3306" t="s">
        <v>1782</v>
      </c>
      <c r="B57" s="3471" t="s">
        <v>1807</v>
      </c>
      <c r="C57" s="3472"/>
      <c r="D57" s="1725">
        <v>0</v>
      </c>
      <c r="E57" s="330" t="s">
        <v>1784</v>
      </c>
      <c r="F57" s="308"/>
      <c r="G57" s="2727"/>
      <c r="H57" s="2731"/>
      <c r="I57" s="1943"/>
      <c r="J57" s="3508">
        <f>IF(AND(J55="",J56=""),4,IF(项目基本情况!K6="上海银行",'结果表(车库)'!J56+1,'结果表(车库)'!J55+1))</f>
        <v>5</v>
      </c>
      <c r="K57" s="3508" t="s">
        <v>1808</v>
      </c>
      <c r="L57" s="2702" t="s">
        <v>1809</v>
      </c>
      <c r="M57" s="2703"/>
      <c r="N57" s="2704">
        <f ca="1">SUMIF(M52:M56,"&lt;9e307")</f>
        <v>10635</v>
      </c>
      <c r="O57" s="2705"/>
      <c r="P57" s="2864">
        <f ca="1">N57/M49</f>
        <v>0.57601689866218919</v>
      </c>
    </row>
    <row r="58" spans="1:35" ht="26">
      <c r="A58" s="3306" t="s">
        <v>1793</v>
      </c>
      <c r="B58" s="3471" t="s">
        <v>1810</v>
      </c>
      <c r="C58" s="3445"/>
      <c r="D58" s="3316">
        <f ca="1">IF(H58="转让取得",C81,C97)</f>
        <v>10450</v>
      </c>
      <c r="E58" s="3307" t="s">
        <v>1805</v>
      </c>
      <c r="F58" s="308" t="s">
        <v>34</v>
      </c>
      <c r="G58" s="2727"/>
      <c r="H58" s="2730"/>
      <c r="I58" s="1943"/>
      <c r="J58" s="3508"/>
      <c r="K58" s="3508"/>
      <c r="L58" s="2702" t="s">
        <v>1811</v>
      </c>
      <c r="M58" s="2706"/>
      <c r="N58" s="2707" t="str">
        <f ca="1">NUMBERSTRING(INT(N57*10000),2)&amp;"元整"</f>
        <v>壹亿零陆佰叁拾伍万元整</v>
      </c>
      <c r="O58" s="2708"/>
    </row>
    <row r="59" spans="1:35" ht="26.5" thickBot="1">
      <c r="A59" s="3511" t="s">
        <v>1812</v>
      </c>
      <c r="B59" s="3512"/>
      <c r="C59" s="3512"/>
      <c r="D59" s="2732">
        <f ca="1">IF(H59="非个人房产","——",IF(H59="个人住宅（满五唯一有凭证）",0,IF(H59="个人其他（无凭证）",ROUND(D45*F59,0),ROUND(C67*F59,0))))</f>
        <v>176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509">
        <f>J57+1</f>
        <v>6</v>
      </c>
      <c r="K59" s="3508" t="s">
        <v>1813</v>
      </c>
      <c r="L59" s="3314" t="s">
        <v>1809</v>
      </c>
      <c r="M59" s="2709"/>
      <c r="N59" s="2710">
        <f ca="1">M49-N57</f>
        <v>7828</v>
      </c>
      <c r="O59" s="2711"/>
    </row>
    <row r="60" spans="1:35" ht="12" customHeight="1">
      <c r="A60" s="1944"/>
      <c r="B60" s="1882"/>
      <c r="C60" s="1882"/>
      <c r="D60" s="1882"/>
      <c r="E60" s="1713"/>
      <c r="F60" s="1943"/>
      <c r="G60" s="1943"/>
      <c r="H60" s="1945"/>
      <c r="I60" s="134"/>
      <c r="J60" s="3510"/>
      <c r="K60" s="3508"/>
      <c r="L60" s="2702" t="s">
        <v>1811</v>
      </c>
      <c r="M60" s="2706"/>
      <c r="N60" s="2707" t="str">
        <f ca="1">NUMBERSTRING(INT(N59*10000),2)&amp;"元整"</f>
        <v>柒仟捌佰贰拾捌万元整</v>
      </c>
      <c r="O60" s="2708"/>
    </row>
    <row r="61" spans="1:35" ht="13.5" thickBot="1">
      <c r="A61" s="3458" t="s">
        <v>1814</v>
      </c>
      <c r="B61" s="3458"/>
      <c r="C61" s="3458"/>
      <c r="D61" s="3458"/>
      <c r="E61" s="3458"/>
      <c r="F61" s="1943"/>
      <c r="G61" s="1943"/>
      <c r="H61" s="1945"/>
      <c r="I61" s="134"/>
      <c r="J61" s="3314">
        <f>J59+1</f>
        <v>7</v>
      </c>
      <c r="K61" s="3508" t="s">
        <v>1815</v>
      </c>
      <c r="L61" s="3508"/>
      <c r="M61" s="2712"/>
      <c r="N61" s="2713">
        <f ca="1">ROUND(N59*10000/'数据-汇总表'!E3,0)</f>
        <v>794</v>
      </c>
      <c r="O61" s="2714"/>
    </row>
    <row r="62" spans="1:35" ht="13">
      <c r="A62" s="3476" t="s">
        <v>1816</v>
      </c>
      <c r="B62" s="3477"/>
      <c r="C62" s="3310"/>
      <c r="D62" s="3310" t="s">
        <v>1817</v>
      </c>
      <c r="E62" s="171" t="s">
        <v>1818</v>
      </c>
      <c r="F62" s="1943"/>
      <c r="G62" s="1943"/>
      <c r="H62" s="1945"/>
      <c r="I62" s="134"/>
    </row>
    <row r="63" spans="1:35" ht="13">
      <c r="A63" s="178" t="s">
        <v>594</v>
      </c>
      <c r="B63" s="172" t="s">
        <v>1819</v>
      </c>
      <c r="C63" s="2736">
        <f ca="1">ROUND((C64+C65)/(1+'数据-取费表'!C42),0)</f>
        <v>17584</v>
      </c>
      <c r="D63" s="172"/>
      <c r="E63" s="173"/>
      <c r="F63" s="1943"/>
      <c r="G63" s="1943"/>
      <c r="H63" s="1945"/>
      <c r="I63" s="134"/>
      <c r="J63" s="3533" t="s">
        <v>1820</v>
      </c>
      <c r="K63" s="3317" t="s">
        <v>1821</v>
      </c>
      <c r="L63" s="3317">
        <f ca="1">IF(M49&gt;10000,M49*0.5%,IF(AND(M49&gt;1000,M49&lt;=10000),M49*1%,IF(AND(M49&gt;100,M49&lt;=1000),M49*3%,IF(AND(M49&gt;10,M49&lt;=100),M49*5%,M49*8%))))</f>
        <v>92.314999999999998</v>
      </c>
      <c r="M63" s="308">
        <f ca="1">ROUND(L63,1)</f>
        <v>92.3</v>
      </c>
      <c r="N63" s="2715"/>
      <c r="Z63" s="1887"/>
      <c r="AI63" s="1888"/>
    </row>
    <row r="64" spans="1:35" ht="14.25" customHeight="1">
      <c r="A64" s="174" t="s">
        <v>589</v>
      </c>
      <c r="B64" s="175" t="s">
        <v>1822</v>
      </c>
      <c r="C64" s="2737">
        <f ca="1">D45</f>
        <v>18463</v>
      </c>
      <c r="D64" s="175" t="s">
        <v>32</v>
      </c>
      <c r="E64" s="177"/>
      <c r="F64" s="1943"/>
      <c r="G64" s="1943"/>
      <c r="H64" s="1945"/>
      <c r="I64" s="134"/>
      <c r="J64" s="3533"/>
      <c r="K64" s="3317" t="s">
        <v>1823</v>
      </c>
      <c r="L64" s="3317">
        <f ca="1">IF(M49&gt;2000,M49*0.5%,IF(AND(M49&gt;1000,M49&lt;=2000),M49*0.6%,IF(AND(M49&gt;500,M49&lt;=1000),M49*0.7%,IF(AND(M49&gt;200,M49&lt;=500),M49*0.8%,IF(AND(M49&gt;100,M49&lt;=200),M49*0.9%,IF(AND(M49&gt;50,M49&lt;=100),M49*1%,IF(AND(M49&gt;20,M49&lt;=50),M49*1.5%,IF(AND(M49&gt;10,M49&lt;=20),M49*2%,IF(AND(M49&gt;1,M49&lt;=10),M49*2.5%)))))))))</f>
        <v>92.314999999999998</v>
      </c>
      <c r="M64" s="308">
        <f t="shared" ref="M64:M65" ca="1" si="1">ROUND(L64,1)</f>
        <v>92.3</v>
      </c>
      <c r="N64" s="2716" t="s">
        <v>1824</v>
      </c>
      <c r="Z64" s="1887"/>
      <c r="AI64" s="1888"/>
    </row>
    <row r="65" spans="1:35" ht="14.25" customHeight="1">
      <c r="A65" s="174" t="s">
        <v>590</v>
      </c>
      <c r="B65" s="175" t="s">
        <v>1825</v>
      </c>
      <c r="C65" s="2738"/>
      <c r="D65" s="175"/>
      <c r="E65" s="177"/>
      <c r="F65" s="1943"/>
      <c r="G65" s="1943"/>
      <c r="H65" s="1945"/>
      <c r="I65" s="134"/>
      <c r="J65" s="3533"/>
      <c r="K65" s="3317" t="s">
        <v>1826</v>
      </c>
      <c r="L65" s="3317">
        <f ca="1">IF(M49&gt;1000,M49*0.1%,IF(AND(M49&gt;500,M49&lt;=1000),M49*0.5%,IF(AND(M49&gt;50,M49&lt;=500),M49*1%,IF(AND(M49&gt;1,M49&lt;=50),M49*1.5%))))</f>
        <v>18.463000000000001</v>
      </c>
      <c r="M65" s="308">
        <f t="shared" ca="1" si="1"/>
        <v>18.5</v>
      </c>
      <c r="N65" s="2716" t="s">
        <v>1824</v>
      </c>
      <c r="Z65" s="1887"/>
      <c r="AI65" s="1888"/>
    </row>
    <row r="66" spans="1:35" ht="14.25" customHeight="1">
      <c r="A66" s="178" t="s">
        <v>591</v>
      </c>
      <c r="B66" s="179" t="s">
        <v>1827</v>
      </c>
      <c r="C66" s="2739"/>
      <c r="D66" s="179" t="s">
        <v>32</v>
      </c>
      <c r="E66" s="1459" t="s">
        <v>1092</v>
      </c>
      <c r="F66" s="1943"/>
      <c r="G66" s="1943"/>
      <c r="H66" s="1945"/>
      <c r="I66" s="134"/>
      <c r="J66" s="3533"/>
      <c r="K66" s="3317" t="s">
        <v>1828</v>
      </c>
      <c r="L66" s="3317">
        <f ca="1">M49*0.5%</f>
        <v>92.314999999999998</v>
      </c>
      <c r="M66" s="308">
        <f ca="1">IF(L66&gt;0.5,0.5,ROUND(L66,0))</f>
        <v>0.5</v>
      </c>
      <c r="N66" s="2716" t="s">
        <v>1829</v>
      </c>
      <c r="Z66" s="1887"/>
      <c r="AI66" s="1888"/>
    </row>
    <row r="67" spans="1:35" ht="14.25" customHeight="1">
      <c r="A67" s="178" t="s">
        <v>592</v>
      </c>
      <c r="B67" s="179" t="s">
        <v>1830</v>
      </c>
      <c r="C67" s="2740">
        <f ca="1">C63-C66</f>
        <v>17584</v>
      </c>
      <c r="D67" s="175" t="s">
        <v>32</v>
      </c>
      <c r="E67" s="177"/>
      <c r="F67" s="1943"/>
      <c r="G67" s="1943"/>
      <c r="H67" s="1945"/>
      <c r="I67" s="134"/>
      <c r="J67" s="3533"/>
      <c r="K67" s="3317" t="s">
        <v>1831</v>
      </c>
      <c r="L67" s="3317">
        <f ca="1">IF(M49&gt;=10000,(8.25+(M49-10000)*0.01%),IF(AND(M49&gt;=8000,M49&lt;10000),(7.85+(M49-8000)*0.02%),IF(AND(M49&gt;=5000,M49&lt;8000),(6.65+(M49-5000)*0.04%),IF(AND(M49&gt;=2000,M49&lt;5000),(4.25+(PM49-2000)*0.08%),IF(AND(M49&gt;=1000,M49&lt;2000),(2.75+(M49-1000)*0.15%),IF(AND(M49&gt;=100,M49&lt;1000),(0.5+(M49-100)*0.25%),IF(AND(M49&gt;0,M49&lt;100),M49*0.5%)))))))</f>
        <v>9.0962999999999994</v>
      </c>
      <c r="M67" s="308">
        <f ca="1">ROUND(L67*0.9,1)</f>
        <v>8.1999999999999993</v>
      </c>
      <c r="N67" s="2715"/>
      <c r="Z67" s="1887"/>
      <c r="AI67" s="1888"/>
    </row>
    <row r="68" spans="1:35" ht="14.25" customHeight="1" thickBot="1">
      <c r="A68" s="181" t="s">
        <v>593</v>
      </c>
      <c r="B68" s="182" t="s">
        <v>1832</v>
      </c>
      <c r="C68" s="2741">
        <f ca="1">IF(C67&lt;=0,0,ROUND(C67*D68,0))</f>
        <v>985</v>
      </c>
      <c r="D68" s="2742">
        <f>'数据-取费表'!B41</f>
        <v>5.6000000000000001E-2</v>
      </c>
      <c r="E68" s="184"/>
      <c r="F68" s="1943"/>
      <c r="G68" s="1943"/>
      <c r="H68" s="1945"/>
      <c r="I68" s="134"/>
      <c r="J68" s="3533"/>
      <c r="K68" s="3317" t="s">
        <v>1833</v>
      </c>
      <c r="L68" s="3317">
        <f ca="1">IF(M49&gt;10000,M49*0.5%,IF(AND(M49&gt;5000,M49&lt;=10000),M49*1%,IF(AND(M49&gt;1000,M49&lt;=5000),M49*2%,IF(AND(M49&gt;200,M49&lt;=1000),M49*3%,M49*5%))))</f>
        <v>92.314999999999998</v>
      </c>
      <c r="M68" s="308">
        <f ca="1">ROUND(L68,1)</f>
        <v>92.3</v>
      </c>
      <c r="N68" s="2715"/>
      <c r="Z68" s="1887"/>
      <c r="AI68" s="1888"/>
    </row>
    <row r="69" spans="1:35" s="1907" customFormat="1" ht="16.5" customHeight="1">
      <c r="A69" s="1946"/>
      <c r="B69" s="1947"/>
      <c r="C69" s="1948"/>
      <c r="D69" s="1949"/>
      <c r="E69" s="1950"/>
      <c r="F69" s="1713"/>
      <c r="G69" s="1713"/>
      <c r="H69" s="1712"/>
      <c r="I69" s="1882"/>
      <c r="J69" s="3533"/>
      <c r="K69" s="3317" t="s">
        <v>1834</v>
      </c>
      <c r="L69" s="3317"/>
      <c r="M69" s="308">
        <f ca="1">ROUND(SUM(M63:M68),0)</f>
        <v>304</v>
      </c>
      <c r="N69" s="2717">
        <f ca="1">M69/M49</f>
        <v>1.6465363158749934E-2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5" t="s">
        <v>1835</v>
      </c>
      <c r="B70" s="3496"/>
      <c r="C70" s="3496"/>
      <c r="D70" s="3496"/>
      <c r="E70" s="3496"/>
      <c r="F70" s="3496"/>
      <c r="G70" s="3496"/>
      <c r="H70" s="3496"/>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76" t="s">
        <v>1816</v>
      </c>
      <c r="B71" s="3477"/>
      <c r="C71" s="3310"/>
      <c r="D71" s="3310"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17584</v>
      </c>
      <c r="D72" s="175" t="s">
        <v>32</v>
      </c>
      <c r="E72" s="3309"/>
      <c r="F72" s="3302"/>
      <c r="G72" s="3302"/>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106</v>
      </c>
      <c r="D73" s="175" t="s">
        <v>32</v>
      </c>
      <c r="E73" s="3309"/>
      <c r="F73" s="3302"/>
      <c r="G73" s="33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309"/>
      <c r="F74" s="3302"/>
      <c r="G74" s="33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71" t="s">
        <v>1843</v>
      </c>
      <c r="F76" s="3445"/>
      <c r="G76" s="3445"/>
      <c r="H76" s="349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316" t="s">
        <v>1845</v>
      </c>
      <c r="F77" s="192"/>
      <c r="G77" s="1957"/>
      <c r="H77" s="3312"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106</v>
      </c>
      <c r="D78" s="2749">
        <f>'数据-取费表'!B43</f>
        <v>6.000000000000001E-3</v>
      </c>
      <c r="E78" s="3455" t="s">
        <v>1847</v>
      </c>
      <c r="F78" s="3456"/>
      <c r="G78" s="3456"/>
      <c r="H78" s="3465"/>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17478</v>
      </c>
      <c r="D79" s="175" t="s">
        <v>32</v>
      </c>
      <c r="E79" s="3309"/>
      <c r="F79" s="3302"/>
      <c r="G79" s="33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164.88679245283018</v>
      </c>
      <c r="D80" s="175" t="s">
        <v>32</v>
      </c>
      <c r="E80" s="3316" t="str">
        <f ca="1">IF(C80&gt;=200%,"增值额超过扣除项目金额200%",IF(C80&gt;=100%,"增值额超过扣除项目金额100%，未超过200%",IF(C80&gt;=50%,"增值额超过扣除项目金额50%，未超过100%",IF(C80&lt;50%,"增值额未超过扣除项目金额50%"))))</f>
        <v>增值额超过扣除项目金额200%</v>
      </c>
      <c r="F80" s="3302"/>
      <c r="G80" s="33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10450</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5" t="s">
        <v>1851</v>
      </c>
      <c r="B83" s="3496"/>
      <c r="C83" s="3496"/>
      <c r="D83" s="3496"/>
      <c r="E83" s="3496"/>
      <c r="F83" s="3496"/>
      <c r="G83" s="3496"/>
      <c r="H83" s="349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76" t="s">
        <v>1816</v>
      </c>
      <c r="B84" s="3477"/>
      <c r="C84" s="3310"/>
      <c r="D84" s="3310"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17584</v>
      </c>
      <c r="D85" s="175" t="s">
        <v>32</v>
      </c>
      <c r="E85" s="3309"/>
      <c r="F85" s="3302"/>
      <c r="G85" s="33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106</v>
      </c>
      <c r="D86" s="2753"/>
      <c r="E86" s="3309"/>
      <c r="F86" s="3302"/>
      <c r="G86" s="33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303"/>
      <c r="F87" s="3304"/>
      <c r="G87" s="3304"/>
      <c r="H87" s="3308"/>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304"/>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304"/>
      <c r="G89" s="3304"/>
      <c r="H89" s="3308"/>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304"/>
      <c r="G90" s="3535" t="s">
        <v>2626</v>
      </c>
      <c r="H90" s="3536"/>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55" t="s">
        <v>1860</v>
      </c>
      <c r="F91" s="3456"/>
      <c r="G91" s="3456"/>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55" t="s">
        <v>1863</v>
      </c>
      <c r="F92" s="3456"/>
      <c r="G92" s="3456"/>
      <c r="H92" s="3465"/>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106</v>
      </c>
      <c r="D93" s="2749">
        <f>'数据-取费表'!B43</f>
        <v>6.000000000000001E-3</v>
      </c>
      <c r="E93" s="3455" t="s">
        <v>1847</v>
      </c>
      <c r="F93" s="3456"/>
      <c r="G93" s="3456"/>
      <c r="H93" s="3465"/>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466" t="s">
        <v>1867</v>
      </c>
      <c r="F94" s="3467"/>
      <c r="G94" s="3467"/>
      <c r="H94" s="3468"/>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17478</v>
      </c>
      <c r="D95" s="175" t="s">
        <v>32</v>
      </c>
      <c r="E95" s="3309"/>
      <c r="F95" s="3302"/>
      <c r="G95" s="33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164.88679245283018</v>
      </c>
      <c r="D96" s="175" t="s">
        <v>32</v>
      </c>
      <c r="E96" s="3316" t="str">
        <f ca="1">IF(C96&gt;=200%,"增值额超过扣除项目金额200%",IF(C96&gt;=100%,"增值额超过扣除项目金额100%，未超过200%",IF(C96&gt;=50%,"增值额超过扣除项目金额50%，未超过100%",IF(C96&lt;50%,"增值额未超过扣除项目金额50%"))))</f>
        <v>增值额超过扣除项目金额200%</v>
      </c>
      <c r="F96" s="3302"/>
      <c r="G96" s="33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10450</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28" t="s">
        <v>1869</v>
      </c>
      <c r="B100" s="3429"/>
      <c r="C100" s="3429"/>
      <c r="D100" s="3457"/>
      <c r="E100" s="3429" t="s">
        <v>1870</v>
      </c>
      <c r="F100" s="3429"/>
      <c r="G100" s="3429"/>
      <c r="H100" s="3457"/>
      <c r="I100" s="134"/>
    </row>
    <row r="101" spans="1:35" ht="18.75" customHeight="1">
      <c r="A101" s="3516" t="s">
        <v>1871</v>
      </c>
      <c r="B101" s="3517"/>
      <c r="C101" s="2757" t="str">
        <f>C4</f>
        <v>收益法(车库)</v>
      </c>
      <c r="D101" s="2758" t="str">
        <f>D4</f>
        <v>成本法 (车库)</v>
      </c>
      <c r="E101" s="3530" t="s">
        <v>1872</v>
      </c>
      <c r="F101" s="3489"/>
      <c r="G101" s="1962" t="s">
        <v>1873</v>
      </c>
      <c r="H101" s="2767">
        <f ca="1">H118</f>
        <v>18463</v>
      </c>
      <c r="I101" s="134"/>
    </row>
    <row r="102" spans="1:35" ht="18.75" customHeight="1">
      <c r="A102" s="3491" t="s">
        <v>1874</v>
      </c>
      <c r="B102" s="2756" t="s">
        <v>1873</v>
      </c>
      <c r="C102" s="2757">
        <f ca="1">C19</f>
        <v>11556</v>
      </c>
      <c r="D102" s="2758">
        <f ca="1">D19</f>
        <v>28823</v>
      </c>
      <c r="E102" s="3530"/>
      <c r="F102" s="3489"/>
      <c r="G102" s="1962" t="s">
        <v>1875</v>
      </c>
      <c r="H102" s="2727">
        <f ca="1">I118</f>
        <v>9799</v>
      </c>
      <c r="I102" s="134"/>
    </row>
    <row r="103" spans="1:35" ht="42.75" customHeight="1">
      <c r="A103" s="3491"/>
      <c r="B103" s="2756" t="s">
        <v>1875</v>
      </c>
      <c r="C103" s="2759">
        <f ca="1">C20</f>
        <v>6133</v>
      </c>
      <c r="D103" s="2760">
        <f ca="1">D20</f>
        <v>15297</v>
      </c>
      <c r="E103" s="3524" t="s">
        <v>1876</v>
      </c>
      <c r="F103" s="3525"/>
      <c r="G103" s="1963" t="s">
        <v>1877</v>
      </c>
      <c r="H103" s="2767">
        <f>IF(D36="正常操作",H104+H105+H106,H105+H106)</f>
        <v>0</v>
      </c>
      <c r="I103" s="134"/>
    </row>
    <row r="104" spans="1:35" ht="18.75" customHeight="1">
      <c r="A104" s="3491" t="s">
        <v>1878</v>
      </c>
      <c r="B104" s="2761" t="s">
        <v>1873</v>
      </c>
      <c r="C104" s="2762">
        <f ca="1">H118</f>
        <v>18463</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9799</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8" t="str">
        <f>IF(项目基本情况!E8="已注销","——","3.房地产抵押价值")</f>
        <v>3.房地产抵押价值</v>
      </c>
      <c r="F107" s="3489"/>
      <c r="G107" s="1962" t="s">
        <v>1873</v>
      </c>
      <c r="H107" s="2767">
        <f ca="1">IF(E107="——","——",H101-H103)</f>
        <v>18463</v>
      </c>
      <c r="I107" s="134"/>
    </row>
    <row r="108" spans="1:35" ht="18.75" customHeight="1">
      <c r="A108" s="134"/>
      <c r="B108" s="134"/>
      <c r="C108" s="134"/>
      <c r="D108" s="134"/>
      <c r="E108" s="3488"/>
      <c r="F108" s="3489"/>
      <c r="G108" s="1962" t="s">
        <v>1875</v>
      </c>
      <c r="H108" s="2727">
        <f ca="1">ROUND(H107*10000/'数据-汇总表'!E3,0)</f>
        <v>1872</v>
      </c>
      <c r="I108" s="134"/>
    </row>
    <row r="109" spans="1:35" ht="18.75" customHeight="1">
      <c r="A109" s="134"/>
      <c r="B109" s="134"/>
      <c r="C109" s="134"/>
      <c r="D109" s="134"/>
      <c r="E109" s="3488" t="str">
        <f>IF(项目基本情况!E8="已注销及未注销","4.抵押担保权已注销时的房地产抵押价值",IF(项目基本情况!E8="已注销","3.抵押担保权已注销时的房地产抵押价值","——"))</f>
        <v>——</v>
      </c>
      <c r="F109" s="3489"/>
      <c r="G109" s="1962" t="s">
        <v>1873</v>
      </c>
      <c r="H109" s="2770" t="str">
        <f>IF(E109="——","——",H101-H105-H106)</f>
        <v>——</v>
      </c>
      <c r="I109" s="134"/>
    </row>
    <row r="110" spans="1:35" ht="18.75" customHeight="1">
      <c r="A110" s="134"/>
      <c r="B110" s="134"/>
      <c r="C110" s="134"/>
      <c r="D110" s="134"/>
      <c r="E110" s="3488"/>
      <c r="F110" s="3489"/>
      <c r="G110" s="1962" t="s">
        <v>1875</v>
      </c>
      <c r="H110" s="2727" t="str">
        <f>IF(H109="——","——",ROUND(H109*10000/'数据-汇总表'!E3,0))</f>
        <v>——</v>
      </c>
      <c r="I110" s="134"/>
    </row>
    <row r="111" spans="1:35" ht="18.75" customHeight="1">
      <c r="A111" s="134"/>
      <c r="B111" s="134"/>
      <c r="C111" s="134"/>
      <c r="D111" s="134"/>
      <c r="E111" s="3518" t="str">
        <f>IF(项目基本情况!E9="抵押净值",IF(OR(项目基本情况!E8="已注销",项目基本情况!E8="房地产抵押价值"),"4.抵押净值","5.抵押净值"),"——")</f>
        <v>——</v>
      </c>
      <c r="F111" s="3490"/>
      <c r="G111" s="1962" t="s">
        <v>1873</v>
      </c>
      <c r="H111" s="2767" t="str">
        <f>IF(E111="——","——",N59)</f>
        <v>——</v>
      </c>
      <c r="I111" s="134"/>
    </row>
    <row r="112" spans="1:35" ht="18.75" customHeight="1" thickBot="1">
      <c r="A112" s="134"/>
      <c r="B112" s="134"/>
      <c r="C112" s="134"/>
      <c r="D112" s="134"/>
      <c r="E112" s="3519"/>
      <c r="F112" s="3520"/>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59" t="s">
        <v>1884</v>
      </c>
      <c r="B116" s="3440" t="s">
        <v>1885</v>
      </c>
      <c r="C116" s="3440" t="s">
        <v>1886</v>
      </c>
      <c r="D116" s="3442" t="s">
        <v>1887</v>
      </c>
      <c r="E116" s="3443"/>
      <c r="F116" s="3444" t="s">
        <v>1888</v>
      </c>
      <c r="G116" s="3444"/>
      <c r="H116" s="3459" t="s">
        <v>1889</v>
      </c>
      <c r="I116" s="3459"/>
    </row>
    <row r="117" spans="1:27" ht="18.75" customHeight="1">
      <c r="A117" s="3459"/>
      <c r="B117" s="3441"/>
      <c r="C117" s="3441"/>
      <c r="D117" s="3305" t="s">
        <v>1890</v>
      </c>
      <c r="E117" s="3305" t="s">
        <v>1891</v>
      </c>
      <c r="F117" s="3305" t="s">
        <v>1890</v>
      </c>
      <c r="G117" s="3305" t="s">
        <v>1892</v>
      </c>
      <c r="H117" s="3305" t="s">
        <v>1890</v>
      </c>
      <c r="I117" s="3305" t="s">
        <v>1892</v>
      </c>
    </row>
    <row r="118" spans="1:27" ht="24.75" customHeight="1">
      <c r="A118" s="2772" t="str">
        <f>项目基本情况!S2</f>
        <v>北京市朝阳区朝阳门南大街10号房地产</v>
      </c>
      <c r="B118" s="3305">
        <f>M18</f>
        <v>18842.53</v>
      </c>
      <c r="C118" s="3305">
        <f>M19</f>
        <v>1084.72</v>
      </c>
      <c r="D118" s="3305">
        <f ca="1">ROUND(IF(D32="总价",C34,E118*B118/10000),0)</f>
        <v>10875</v>
      </c>
      <c r="E118" s="3305">
        <f ca="1">ROUND(IF(C33="自定义",IF(D32="楼面单价",C34,D118*10000/B118),I118-G118),0)</f>
        <v>5772</v>
      </c>
      <c r="F118" s="3305">
        <f ca="1">ROUND(IF(D32="总价",C35,G118*B118/10000),0)</f>
        <v>7588</v>
      </c>
      <c r="G118" s="3305">
        <f ca="1">ROUND(IF(D32="楼面单价",C35,F118*10000/B118),0)</f>
        <v>4027</v>
      </c>
      <c r="H118" s="3305">
        <f ca="1">ROUND(IF(D32="总价",C32,I118*B118/10000),0)</f>
        <v>18463</v>
      </c>
      <c r="I118" s="3305">
        <f ca="1">ROUND(IF(D32="楼面单价",C32,H118*10000/B118),0)</f>
        <v>9799</v>
      </c>
    </row>
    <row r="119" spans="1:27" ht="18.75" customHeight="1">
      <c r="A119" s="3459" t="s">
        <v>1893</v>
      </c>
      <c r="B119" s="3459"/>
      <c r="C119" s="3459"/>
      <c r="D119" s="3497" t="str">
        <f ca="1">NUMBERSTRING(INT(D118*10000),2)&amp;"元整"</f>
        <v>壹亿零捌佰柒拾伍万元整</v>
      </c>
      <c r="E119" s="3499"/>
      <c r="F119" s="3497" t="str">
        <f ca="1">NUMBERSTRING(INT(F118*10000),2)&amp;"元整"</f>
        <v>柒仟伍佰捌拾捌万元整</v>
      </c>
      <c r="G119" s="3499"/>
      <c r="H119" s="3497" t="str">
        <f ca="1">NUMBERSTRING(INT(H118*10000),2)&amp;"元整"</f>
        <v>壹亿捌仟肆佰陆拾叁万元整</v>
      </c>
      <c r="I119" s="3499"/>
    </row>
    <row r="120" spans="1:27" ht="18.75" customHeight="1">
      <c r="A120" s="3521" t="str">
        <f>IF(项目基本情况!B9="房地产市场价值","",MID(E103,3,LEN(E103)-2))</f>
        <v>估价师知悉的法定优先受偿款</v>
      </c>
      <c r="B120" s="3522"/>
      <c r="C120" s="3523"/>
      <c r="D120" s="3521">
        <f>H103</f>
        <v>0</v>
      </c>
      <c r="E120" s="3522"/>
      <c r="F120" s="3522"/>
      <c r="G120" s="3522"/>
      <c r="H120" s="3522"/>
      <c r="I120" s="352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97" t="str">
        <f>IF(D120=0,"零元整",NUMBERSTRING(INT(D120*10000),2)&amp;"元整")</f>
        <v>零元整</v>
      </c>
      <c r="E121" s="3498"/>
      <c r="F121" s="3498"/>
      <c r="G121" s="3498"/>
      <c r="H121" s="3498"/>
      <c r="I121" s="3499"/>
      <c r="AA121" s="734"/>
    </row>
    <row r="122" spans="1:27" ht="18.75" customHeight="1">
      <c r="A122" s="3490" t="str">
        <f>IF(项目基本情况!B9="房地产市场价值","",MID(E107,3,LEN(E107)-2))</f>
        <v>房地产抵押价值</v>
      </c>
      <c r="B122" s="3490"/>
      <c r="C122" s="3490"/>
      <c r="D122" s="3521">
        <f ca="1">H107</f>
        <v>18463</v>
      </c>
      <c r="E122" s="3522"/>
      <c r="F122" s="3522"/>
      <c r="G122" s="3522"/>
      <c r="H122" s="3522"/>
      <c r="I122" s="3523"/>
      <c r="AA122" s="734"/>
    </row>
    <row r="123" spans="1:27" ht="18.75" customHeight="1">
      <c r="A123" s="3459" t="s">
        <v>1893</v>
      </c>
      <c r="B123" s="3459"/>
      <c r="C123" s="3459"/>
      <c r="D123" s="3497" t="str">
        <f ca="1">NUMBERSTRING(INT(D122*10000),2)&amp;"元整"</f>
        <v>壹亿捌仟肆佰陆拾叁万元整</v>
      </c>
      <c r="E123" s="3498"/>
      <c r="F123" s="3498"/>
      <c r="G123" s="3498"/>
      <c r="H123" s="3498"/>
      <c r="I123" s="3499"/>
      <c r="AA123" s="734"/>
    </row>
    <row r="124" spans="1:27" ht="18.75" customHeight="1">
      <c r="A124" s="3490" t="str">
        <f>IF(项目基本情况!B9="房地产市场价值","",MID(E109,3,LEN(E109)-2))</f>
        <v/>
      </c>
      <c r="B124" s="3490"/>
      <c r="C124" s="3490"/>
      <c r="D124" s="3521" t="str">
        <f>H109</f>
        <v>——</v>
      </c>
      <c r="E124" s="3522"/>
      <c r="F124" s="3522"/>
      <c r="G124" s="3522"/>
      <c r="H124" s="3522"/>
      <c r="I124" s="3523"/>
      <c r="AA124" s="734"/>
    </row>
    <row r="125" spans="1:27" ht="18.75" customHeight="1">
      <c r="A125" s="3459" t="s">
        <v>1893</v>
      </c>
      <c r="B125" s="3459"/>
      <c r="C125" s="3459"/>
      <c r="D125" s="3497" t="e">
        <f>NUMBERSTRING(INT(D124*10000),2)&amp;"元整"</f>
        <v>#VALUE!</v>
      </c>
      <c r="E125" s="3498"/>
      <c r="F125" s="3498"/>
      <c r="G125" s="3498"/>
      <c r="H125" s="3498"/>
      <c r="I125" s="3499"/>
      <c r="AA125" s="734"/>
    </row>
    <row r="126" spans="1:27" ht="18.75" customHeight="1">
      <c r="A126" s="3490" t="str">
        <f>IF(项目基本情况!B9="房地产市场价值","",MID(E111,3,LEN(E111)-2))</f>
        <v/>
      </c>
      <c r="B126" s="3490"/>
      <c r="C126" s="3490"/>
      <c r="D126" s="3521" t="str">
        <f>H111</f>
        <v>——</v>
      </c>
      <c r="E126" s="3522"/>
      <c r="F126" s="3522"/>
      <c r="G126" s="3522"/>
      <c r="H126" s="3522"/>
      <c r="I126" s="3523"/>
      <c r="AA126" s="734"/>
    </row>
    <row r="127" spans="1:27" ht="18.75" customHeight="1">
      <c r="A127" s="3459" t="s">
        <v>1893</v>
      </c>
      <c r="B127" s="3459"/>
      <c r="C127" s="3459"/>
      <c r="D127" s="3497" t="e">
        <f>NUMBERSTRING(INT(D126*10000),2)&amp;"元整"</f>
        <v>#VALUE!</v>
      </c>
      <c r="E127" s="3498"/>
      <c r="F127" s="3498"/>
      <c r="G127" s="3498"/>
      <c r="H127" s="3498"/>
      <c r="I127" s="3499"/>
      <c r="AA127" s="734"/>
    </row>
    <row r="128" spans="1:27" ht="21.75" customHeight="1">
      <c r="A128" s="3506" t="s">
        <v>1894</v>
      </c>
      <c r="B128" s="3506"/>
      <c r="C128" s="3506"/>
      <c r="D128" s="3506"/>
      <c r="E128" s="3506"/>
      <c r="F128" s="3506"/>
      <c r="G128" s="3506"/>
      <c r="H128" s="3506"/>
      <c r="I128" s="3506"/>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5" priority="10" stopIfTrue="1" operator="equal">
      <formula>25</formula>
    </cfRule>
  </conditionalFormatting>
  <conditionalFormatting sqref="C8:C9">
    <cfRule type="cellIs" dxfId="164" priority="9" stopIfTrue="1" operator="equal">
      <formula>15</formula>
    </cfRule>
  </conditionalFormatting>
  <conditionalFormatting sqref="C14:C16">
    <cfRule type="cellIs" dxfId="163" priority="8" stopIfTrue="1" operator="equal">
      <formula>30</formula>
    </cfRule>
  </conditionalFormatting>
  <conditionalFormatting sqref="D5:D7">
    <cfRule type="cellIs" dxfId="162" priority="7" stopIfTrue="1" operator="equal">
      <formula>25</formula>
    </cfRule>
  </conditionalFormatting>
  <conditionalFormatting sqref="D8:D9">
    <cfRule type="cellIs" dxfId="161" priority="6" stopIfTrue="1" operator="equal">
      <formula>15</formula>
    </cfRule>
  </conditionalFormatting>
  <conditionalFormatting sqref="C10:D13">
    <cfRule type="cellIs" dxfId="160" priority="5" stopIfTrue="1" operator="equal">
      <formula>15</formula>
    </cfRule>
  </conditionalFormatting>
  <conditionalFormatting sqref="D14:D16">
    <cfRule type="cellIs" dxfId="159" priority="4"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D92" xr:uid="{00000000-0002-0000-2200-000000000000}">
      <formula1>"0,5%,10%"</formula1>
    </dataValidation>
    <dataValidation type="list" allowBlank="1" showInputMessage="1" showErrorMessage="1" sqref="H59" xr:uid="{00000000-0002-0000-2200-000001000000}">
      <formula1>"非个人房产,个人住宅（满五唯一有凭证）,个人其他（有凭证）,个人其他（无凭证）"</formula1>
    </dataValidation>
    <dataValidation type="list" allowBlank="1" showInputMessage="1" showErrorMessage="1" sqref="E103" xr:uid="{00000000-0002-0000-2200-000002000000}">
      <formula1>"2.估价师知悉的法定优先受偿款,2.估价师知悉的除抵押担保权以外的法定优先受偿款"</formula1>
    </dataValidation>
    <dataValidation type="list" allowBlank="1" showInputMessage="1" showErrorMessage="1" sqref="G77" xr:uid="{00000000-0002-0000-2200-000003000000}">
      <formula1>"个人住宅,2016年5月1日前购买,2016年5月1日后购买"</formula1>
    </dataValidation>
    <dataValidation type="list" allowBlank="1" showInputMessage="1" showErrorMessage="1" sqref="C1" xr:uid="{00000000-0002-0000-2200-000004000000}">
      <formula1>项目类型</formula1>
    </dataValidation>
    <dataValidation type="list" allowBlank="1" showInputMessage="1" showErrorMessage="1" sqref="I1" xr:uid="{00000000-0002-0000-2200-000005000000}">
      <formula1>"项目局部,项目全部,——"</formula1>
    </dataValidation>
    <dataValidation type="list" showInputMessage="1" showErrorMessage="1" sqref="G1" xr:uid="{00000000-0002-0000-2200-000006000000}">
      <formula1>"现房,在建,土地,-"</formula1>
    </dataValidation>
    <dataValidation type="list" allowBlank="1" showInputMessage="1" showErrorMessage="1" sqref="C129" xr:uid="{00000000-0002-0000-2200-000007000000}">
      <formula1>"无,有"</formula1>
    </dataValidation>
    <dataValidation type="list" allowBlank="1" showInputMessage="1" showErrorMessage="1" sqref="F116:G116" xr:uid="{00000000-0002-0000-2200-000008000000}">
      <formula1>"建筑物价值,在建建筑物价值,建筑物/在建建筑物价值"</formula1>
    </dataValidation>
    <dataValidation type="list" allowBlank="1" showInputMessage="1" showErrorMessage="1" sqref="D116:E116" xr:uid="{00000000-0002-0000-2200-000009000000}">
      <formula1>"出让国有建设用地使用权价值,划拨国有建设用地使用权价值"</formula1>
    </dataValidation>
    <dataValidation type="list" allowBlank="1" showInputMessage="1" showErrorMessage="1" sqref="C116:C117" xr:uid="{00000000-0002-0000-2200-00000A000000}">
      <formula1>"土地面积,分摊土地面积,（分摊）土地面积"</formula1>
    </dataValidation>
    <dataValidation type="list" allowBlank="1" showInputMessage="1" showErrorMessage="1" sqref="B116:B117" xr:uid="{00000000-0002-0000-2200-00000B000000}">
      <formula1>"建筑面积,规划建筑面积,（规划）建筑面积"</formula1>
    </dataValidation>
    <dataValidation type="list" allowBlank="1" showInputMessage="1" showErrorMessage="1" sqref="D36" xr:uid="{00000000-0002-0000-2200-00000C000000}">
      <formula1>"同一抵押权人同一抵押物续贷,注销后放款,正常操作"</formula1>
    </dataValidation>
    <dataValidation type="list" allowBlank="1" showInputMessage="1" showErrorMessage="1" sqref="F75" xr:uid="{00000000-0002-0000-2200-00000D000000}">
      <formula1>"买卖合同,购房发票"</formula1>
    </dataValidation>
    <dataValidation type="list" allowBlank="1" showInputMessage="1" showErrorMessage="1" sqref="H88" xr:uid="{00000000-0002-0000-2200-00000E000000}">
      <formula1>"仅含出让金,出让金+开发费"</formula1>
    </dataValidation>
    <dataValidation type="list" allowBlank="1" showInputMessage="1" showErrorMessage="1" sqref="H91" xr:uid="{00000000-0002-0000-2200-00000F000000}">
      <formula1>"企业提供（在右侧录入）,——"</formula1>
    </dataValidation>
    <dataValidation type="list" allowBlank="1" showInputMessage="1" showErrorMessage="1" sqref="C33" xr:uid="{00000000-0002-0000-2200-000010000000}">
      <formula1>"成本比率,收益比率,自定义"</formula1>
    </dataValidation>
    <dataValidation type="list" allowBlank="1" showInputMessage="1" showErrorMessage="1" sqref="F45" xr:uid="{00000000-0002-0000-2200-000011000000}">
      <formula1>"100%,70%,56%"</formula1>
    </dataValidation>
    <dataValidation type="list" allowBlank="1" showInputMessage="1" showErrorMessage="1" sqref="D32" xr:uid="{00000000-0002-0000-2200-000012000000}">
      <formula1>"总价,楼面单价"</formula1>
    </dataValidation>
    <dataValidation type="list" allowBlank="1" showInputMessage="1" showErrorMessage="1" sqref="H58" xr:uid="{00000000-0002-0000-2200-000013000000}">
      <formula1>"转让取得,自行开发建设"</formula1>
    </dataValidation>
    <dataValidation type="list" allowBlank="1" showInputMessage="1" showErrorMessage="1" sqref="H48" xr:uid="{00000000-0002-0000-2200-000014000000}">
      <formula1>"情况1,情况2,情况3,情况4"</formula1>
    </dataValidation>
    <dataValidation type="list" allowBlank="1" showInputMessage="1" showErrorMessage="1" sqref="H55:H56" xr:uid="{00000000-0002-0000-2200-000015000000}">
      <formula1>"个人住宅,正常"</formula1>
    </dataValidation>
    <dataValidation type="list" allowBlank="1" showInputMessage="1" showErrorMessage="1" sqref="C4:D4 D33" xr:uid="{00000000-0002-0000-2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48</v>
      </c>
      <c r="D1" s="1496" t="s">
        <v>70</v>
      </c>
      <c r="E1" s="1497" t="s">
        <v>1107</v>
      </c>
      <c r="F1" s="1173">
        <f ca="1">J53</f>
        <v>32.32</v>
      </c>
      <c r="G1" s="1512">
        <f>MATCH(C1,'数据-取费表'!A6:A16,0)+5</f>
        <v>8</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11556</v>
      </c>
      <c r="C2" s="1521" t="s">
        <v>1236</v>
      </c>
      <c r="D2" s="1521"/>
      <c r="E2" s="1522"/>
      <c r="F2" s="1523"/>
      <c r="G2" s="2880"/>
      <c r="H2" s="2869"/>
      <c r="I2" s="2869"/>
      <c r="J2" s="2869"/>
      <c r="K2" s="2870"/>
      <c r="L2" s="2869"/>
      <c r="M2" s="2869"/>
    </row>
    <row r="3" spans="1:37" ht="18" customHeight="1" thickBot="1">
      <c r="A3" s="1524" t="s">
        <v>1237</v>
      </c>
      <c r="B3" s="1525">
        <f ca="1">IF(ISERROR(B2*10000/F43),0,ROUND(B2*10000/F43,0))</f>
        <v>6133</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719</v>
      </c>
      <c r="D5" s="1498" t="s">
        <v>1122</v>
      </c>
      <c r="E5" s="1183"/>
      <c r="F5" s="1184"/>
      <c r="G5" s="1518"/>
      <c r="H5" s="305">
        <v>1</v>
      </c>
      <c r="I5" s="306" t="s">
        <v>1121</v>
      </c>
      <c r="J5" s="1182">
        <f ca="1">J6+J10+J12</f>
        <v>0</v>
      </c>
      <c r="K5" s="1498" t="s">
        <v>1122</v>
      </c>
      <c r="L5" s="1183"/>
      <c r="M5" s="1184"/>
    </row>
    <row r="6" spans="1:37" ht="18" customHeight="1">
      <c r="A6" s="1181" t="s">
        <v>822</v>
      </c>
      <c r="B6" s="3591" t="s">
        <v>1123</v>
      </c>
      <c r="C6" s="1186">
        <f ca="1">ROUND(F6*F8*F7*(1-F9)/10000,0)</f>
        <v>719</v>
      </c>
      <c r="D6" s="160" t="s">
        <v>2605</v>
      </c>
      <c r="E6" s="308" t="s">
        <v>1125</v>
      </c>
      <c r="F6" s="309">
        <f ca="1">INDIRECT("'数据-取费表'!u"&amp;$G$1)</f>
        <v>1700</v>
      </c>
      <c r="G6" s="1518"/>
      <c r="H6" s="1181" t="s">
        <v>822</v>
      </c>
      <c r="I6" s="3591" t="s">
        <v>1123</v>
      </c>
      <c r="J6" s="307">
        <f ca="1">ROUND(M6*M8*M7*(1-M9)/10000,0)</f>
        <v>0</v>
      </c>
      <c r="K6" s="160" t="s">
        <v>2604</v>
      </c>
      <c r="L6" s="308" t="s">
        <v>1125</v>
      </c>
      <c r="M6" s="309">
        <f ca="1">INDIRECT("'数据-取费表'!z"&amp;$G$1)</f>
        <v>0</v>
      </c>
    </row>
    <row r="7" spans="1:37" ht="18" customHeight="1">
      <c r="A7" s="1185"/>
      <c r="B7" s="3592"/>
      <c r="C7" s="1187"/>
      <c r="D7" s="313"/>
      <c r="E7" s="3185" t="s">
        <v>1126</v>
      </c>
      <c r="F7" s="309">
        <f ca="1">IF(INDIRECT("'数据-取费表'!ah"&amp;$G$1)="",INDIRECT("'数据-取费表'!k"&amp;$G$1),INDIRECT("'数据-取费表'!ah"&amp;$G$1))</f>
        <v>371</v>
      </c>
      <c r="G7" s="1518"/>
      <c r="H7" s="310"/>
      <c r="I7" s="3592"/>
      <c r="J7" s="312"/>
      <c r="K7" s="313"/>
      <c r="L7" s="308" t="s">
        <v>1126</v>
      </c>
      <c r="M7" s="309">
        <f ca="1">F7</f>
        <v>371</v>
      </c>
    </row>
    <row r="8" spans="1:37" ht="18" customHeight="1">
      <c r="A8" s="310"/>
      <c r="B8" s="3592"/>
      <c r="C8" s="312"/>
      <c r="D8" s="313"/>
      <c r="E8" s="308" t="s">
        <v>1127</v>
      </c>
      <c r="F8" s="309">
        <f ca="1">INDIRECT("'数据-取费表'!ai"&amp;$G$1)</f>
        <v>12</v>
      </c>
      <c r="G8" s="1518"/>
      <c r="H8" s="310"/>
      <c r="I8" s="3592"/>
      <c r="J8" s="312"/>
      <c r="K8" s="313"/>
      <c r="L8" s="308" t="s">
        <v>1127</v>
      </c>
      <c r="M8" s="309">
        <f ca="1">INDIRECT("'数据-取费表'!ai"&amp;$G$1)</f>
        <v>12</v>
      </c>
    </row>
    <row r="9" spans="1:37" ht="18" customHeight="1">
      <c r="A9" s="310"/>
      <c r="B9" s="3593"/>
      <c r="C9" s="312"/>
      <c r="D9" s="313"/>
      <c r="E9" s="308" t="s">
        <v>1128</v>
      </c>
      <c r="F9" s="318">
        <f ca="1">INDIRECT("'数据-取费表'!w"&amp;$G$1)</f>
        <v>0.05</v>
      </c>
      <c r="G9" s="1518"/>
      <c r="H9" s="310"/>
      <c r="I9" s="3593"/>
      <c r="J9" s="312"/>
      <c r="K9" s="313"/>
      <c r="L9" s="319" t="s">
        <v>1128</v>
      </c>
      <c r="M9" s="320">
        <f ca="1">INDIRECT("'数据-取费表'!ab"&amp;$G$1)</f>
        <v>0</v>
      </c>
    </row>
    <row r="10" spans="1:37" ht="18" customHeight="1">
      <c r="A10" s="1181" t="s">
        <v>826</v>
      </c>
      <c r="B10" s="1499" t="s">
        <v>1129</v>
      </c>
      <c r="C10" s="322">
        <f ca="1">ROUND(IF(F10="押一",C6/12*F11,IF(F10="押二",C6/12*2*F11,IF(F10="押三",C6/12*3*F11,C11*F11))),0)</f>
        <v>0</v>
      </c>
      <c r="D10" s="1500" t="s">
        <v>2612</v>
      </c>
      <c r="E10" s="319" t="s">
        <v>1130</v>
      </c>
      <c r="F10" s="1228" t="s">
        <v>3734</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11850</v>
      </c>
      <c r="D13" s="3182" t="s">
        <v>1135</v>
      </c>
      <c r="E13" s="3182"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8479</v>
      </c>
      <c r="D14" s="3188" t="s">
        <v>1138</v>
      </c>
      <c r="E14" s="3187"/>
      <c r="F14" s="325"/>
      <c r="G14" s="1518"/>
      <c r="H14" s="1093" t="s">
        <v>822</v>
      </c>
      <c r="I14" s="308" t="s">
        <v>1139</v>
      </c>
      <c r="J14" s="24">
        <f ca="1">C29</f>
        <v>12092</v>
      </c>
      <c r="K14" s="3184"/>
      <c r="L14" s="896"/>
      <c r="M14" s="897"/>
    </row>
    <row r="15" spans="1:37" s="1531" customFormat="1" ht="18" customHeight="1" thickBot="1">
      <c r="A15" s="1093" t="s">
        <v>823</v>
      </c>
      <c r="B15" s="308" t="s">
        <v>1140</v>
      </c>
      <c r="C15" s="24">
        <f ca="1">ROUND(C14*F15,0)</f>
        <v>424</v>
      </c>
      <c r="D15" s="3183" t="s">
        <v>1141</v>
      </c>
      <c r="E15" s="3183"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165</v>
      </c>
      <c r="K16" s="1199" t="s">
        <v>1145</v>
      </c>
      <c r="L16" s="3190"/>
      <c r="M16" s="1184"/>
    </row>
    <row r="17" spans="1:37" s="1531" customFormat="1" ht="18" customHeight="1">
      <c r="A17" s="1093" t="s">
        <v>1110</v>
      </c>
      <c r="B17" s="308" t="s">
        <v>1146</v>
      </c>
      <c r="C17" s="24">
        <f ca="1">ROUND(F17*(F43+INDIRECT("'数据-取费表'!S"&amp;$G$1))/10000,0)</f>
        <v>377</v>
      </c>
      <c r="D17" s="308" t="s">
        <v>1147</v>
      </c>
      <c r="E17" s="308" t="s">
        <v>1148</v>
      </c>
      <c r="F17" s="26">
        <f>'数据-取费表'!B35</f>
        <v>200</v>
      </c>
      <c r="G17" s="1530"/>
      <c r="H17" s="1093" t="s">
        <v>822</v>
      </c>
      <c r="I17" s="308" t="s">
        <v>1149</v>
      </c>
      <c r="J17" s="2483">
        <f ca="1">ROUND(IF(AND(项目基本情况!B11="自然人",项目基本情况!B10="北京市"),J6*M17/(1+'数据-取费表'!C42),J18+J19+J20),0)</f>
        <v>104</v>
      </c>
      <c r="K17" s="3188" t="s">
        <v>1150</v>
      </c>
      <c r="L17" s="3189"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127</v>
      </c>
      <c r="D18" s="308" t="s">
        <v>1141</v>
      </c>
      <c r="E18" s="308" t="s">
        <v>1142</v>
      </c>
      <c r="F18" s="328">
        <f>'数据-取费表'!B36</f>
        <v>1.4999999999999999E-2</v>
      </c>
      <c r="G18" s="1530"/>
      <c r="H18" s="1093" t="s">
        <v>821</v>
      </c>
      <c r="I18" s="308" t="s">
        <v>1153</v>
      </c>
      <c r="J18" s="24">
        <f ca="1">ROUND(J6*M18/(1+'数据-取费表'!C42),2)</f>
        <v>0</v>
      </c>
      <c r="K18" s="3189"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9407</v>
      </c>
      <c r="D19" s="136" t="s">
        <v>1156</v>
      </c>
      <c r="E19" s="3192"/>
      <c r="F19" s="26"/>
      <c r="G19" s="1518"/>
      <c r="H19" s="1093" t="s">
        <v>823</v>
      </c>
      <c r="I19" s="308" t="s">
        <v>1157</v>
      </c>
      <c r="J19" s="24">
        <f ca="1">IF(K19="按租金收入计税",ROUND(J6*M19/(1+'数据-取费表'!C42),2),ROUND(C29*M19*0.7,2))</f>
        <v>101.57</v>
      </c>
      <c r="K19" s="1504" t="s">
        <v>1158</v>
      </c>
      <c r="L19" s="308" t="s">
        <v>1142</v>
      </c>
      <c r="M19" s="328">
        <f>IF(K19="按租金收入计税",'数据-取费表'!B51,'数据-取费表'!B50)</f>
        <v>1.2E-2</v>
      </c>
    </row>
    <row r="20" spans="1:37" s="1531" customFormat="1" ht="18" customHeight="1">
      <c r="A20" s="1093" t="s">
        <v>826</v>
      </c>
      <c r="B20" s="308" t="s">
        <v>1159</v>
      </c>
      <c r="C20" s="24">
        <f ca="1">ROUND(C19*F20,0)</f>
        <v>188</v>
      </c>
      <c r="D20" s="329" t="s">
        <v>1160</v>
      </c>
      <c r="E20" s="308" t="s">
        <v>1142</v>
      </c>
      <c r="F20" s="328">
        <f>'数据-取费表'!B37</f>
        <v>0.02</v>
      </c>
      <c r="G20" s="1530"/>
      <c r="H20" s="1093" t="s">
        <v>1109</v>
      </c>
      <c r="I20" s="160" t="s">
        <v>1161</v>
      </c>
      <c r="J20" s="25">
        <f ca="1">ROUND(M20*M21/10000,2)</f>
        <v>2.6</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1084.72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3192"/>
      <c r="F22" s="26"/>
      <c r="G22" s="1518"/>
      <c r="H22" s="1093" t="s">
        <v>826</v>
      </c>
      <c r="I22" s="308" t="s">
        <v>1169</v>
      </c>
      <c r="J22" s="24">
        <f ca="1">ROUND(J14*M22,1)</f>
        <v>60.5</v>
      </c>
      <c r="K22" s="3189" t="s">
        <v>1170</v>
      </c>
      <c r="L22" s="308" t="s">
        <v>1142</v>
      </c>
      <c r="M22" s="334">
        <f ca="1">INDIRECT("'数据-取费表'!Ak"&amp;$G$1)</f>
        <v>5.0000000000000001E-3</v>
      </c>
    </row>
    <row r="23" spans="1:37" s="1531" customFormat="1" ht="18" customHeight="1">
      <c r="A23" s="1093" t="s">
        <v>821</v>
      </c>
      <c r="B23" s="308" t="s">
        <v>1171</v>
      </c>
      <c r="C23" s="24">
        <f ca="1">IF('数据-取费表'!B22&lt;=1,ROUND(C19*F24*F23/2,0)+ROUND(C20*F24*F23/2,0),ROUND(C19*(POWER((1+F24),F23/2)-1),0)+ROUND(C20*(POWER((1+F24),F23/2)-1),0))</f>
        <v>611</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3189" t="s">
        <v>1174</v>
      </c>
      <c r="L23" s="308" t="s">
        <v>1142</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1112</v>
      </c>
      <c r="I24" s="1202" t="s">
        <v>1159</v>
      </c>
      <c r="J24" s="1203">
        <f ca="1">ROUND(J5*M24,1)</f>
        <v>0</v>
      </c>
      <c r="K24" s="1204" t="s">
        <v>1179</v>
      </c>
      <c r="L24" s="1202" t="s">
        <v>1142</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3192"/>
      <c r="F25" s="26"/>
      <c r="G25" s="1518"/>
      <c r="H25" s="1191" t="s">
        <v>818</v>
      </c>
      <c r="I25" s="1206" t="s">
        <v>1183</v>
      </c>
      <c r="J25" s="316">
        <f ca="1">J5-J16</f>
        <v>-165</v>
      </c>
      <c r="K25" s="1207" t="s">
        <v>1184</v>
      </c>
      <c r="L25" s="1208"/>
      <c r="M25" s="1209"/>
    </row>
    <row r="26" spans="1:37" ht="13">
      <c r="A26" s="1093" t="s">
        <v>821</v>
      </c>
      <c r="B26" s="308" t="s">
        <v>1185</v>
      </c>
      <c r="C26" s="24">
        <f ca="1">ROUND((C19+C20)*F26,0)</f>
        <v>960</v>
      </c>
      <c r="D26" s="329" t="s">
        <v>1186</v>
      </c>
      <c r="E26" s="319" t="s">
        <v>1187</v>
      </c>
      <c r="F26" s="318">
        <f ca="1">INDIRECT("'数据-取费表'!q"&amp;$G$1)</f>
        <v>0.1</v>
      </c>
      <c r="G26" s="1518"/>
      <c r="H26" s="305" t="s">
        <v>819</v>
      </c>
      <c r="I26" s="306" t="s">
        <v>1188</v>
      </c>
      <c r="J26" s="307">
        <f ca="1">IF(J5&lt;&gt;0,ROUND(J25*(1-((1+M28)/(1+M26))^M27)/(M26-M28),0),0)</f>
        <v>0</v>
      </c>
      <c r="K26" s="330" t="s">
        <v>1189</v>
      </c>
      <c r="L26" s="308" t="s">
        <v>1190</v>
      </c>
      <c r="M26" s="318">
        <f ca="1">INDIRECT("'数据-取费表'!I"&amp;$G$1)</f>
        <v>5.5E-2</v>
      </c>
    </row>
    <row r="27" spans="1:37" ht="18" customHeight="1">
      <c r="A27" s="1093" t="s">
        <v>823</v>
      </c>
      <c r="B27" s="308" t="s">
        <v>1191</v>
      </c>
      <c r="C27" s="24">
        <f ca="1">ROUND(F21*F26,4)</f>
        <v>2E-3</v>
      </c>
      <c r="D27" s="329" t="s">
        <v>1192</v>
      </c>
      <c r="E27" s="3183"/>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12092</v>
      </c>
      <c r="D29" s="1204"/>
      <c r="E29" s="1202"/>
      <c r="F29" s="1205"/>
      <c r="G29" s="1530"/>
      <c r="H29" s="340" t="s">
        <v>820</v>
      </c>
      <c r="I29" s="341" t="s">
        <v>1199</v>
      </c>
      <c r="J29" s="342">
        <f ca="1">ROUND(J26/(1+F40)^F41,0)</f>
        <v>0</v>
      </c>
      <c r="K29" s="343" t="s">
        <v>1200</v>
      </c>
      <c r="L29" s="344"/>
      <c r="M29" s="345">
        <f ca="1">INDIRECT("'数据-取费表'!k"&amp;$G$1)</f>
        <v>18842.53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206</v>
      </c>
      <c r="D30" s="1199" t="s">
        <v>1145</v>
      </c>
      <c r="E30" s="319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123</v>
      </c>
      <c r="D31" s="3188" t="s">
        <v>1150</v>
      </c>
      <c r="E31" s="3189"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38.35</v>
      </c>
      <c r="D32" s="3189"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82.17</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2.6</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1084.72</v>
      </c>
      <c r="G35" s="1518"/>
      <c r="H35" s="2871"/>
      <c r="I35" s="1532"/>
      <c r="J35" s="1533"/>
      <c r="K35" s="2875"/>
      <c r="L35" s="2874"/>
      <c r="M35" s="2874"/>
    </row>
    <row r="36" spans="1:18" ht="18" customHeight="1">
      <c r="A36" s="1214" t="s">
        <v>826</v>
      </c>
      <c r="B36" s="308" t="s">
        <v>1169</v>
      </c>
      <c r="C36" s="24">
        <f ca="1">ROUND(C29*F36,1)</f>
        <v>60.5</v>
      </c>
      <c r="D36" s="3189" t="s">
        <v>1202</v>
      </c>
      <c r="E36" s="308" t="s">
        <v>1142</v>
      </c>
      <c r="F36" s="334">
        <f ca="1">INDIRECT("'数据-取费表'!Ak"&amp;$G$1)</f>
        <v>5.0000000000000001E-3</v>
      </c>
      <c r="G36" s="1518"/>
      <c r="H36" s="2874"/>
      <c r="I36" s="1532"/>
      <c r="J36" s="1533"/>
      <c r="K36" s="2716"/>
      <c r="L36" s="2874"/>
      <c r="M36" s="2874"/>
    </row>
    <row r="37" spans="1:18" ht="18" customHeight="1">
      <c r="A37" s="1093" t="s">
        <v>862</v>
      </c>
      <c r="B37" s="308" t="s">
        <v>1173</v>
      </c>
      <c r="C37" s="24">
        <f ca="1">ROUND(C13*F37,1)</f>
        <v>11.9</v>
      </c>
      <c r="D37" s="3189" t="s">
        <v>1174</v>
      </c>
      <c r="E37" s="308" t="s">
        <v>1142</v>
      </c>
      <c r="F37" s="336">
        <f ca="1">INDIRECT("'数据-取费表'!Al"&amp;$G$1)</f>
        <v>1E-3</v>
      </c>
      <c r="G37" s="1518"/>
      <c r="H37" s="2874"/>
      <c r="I37" s="1532"/>
      <c r="J37" s="1533"/>
      <c r="K37" s="2716"/>
      <c r="L37" s="2874"/>
      <c r="M37" s="2874"/>
    </row>
    <row r="38" spans="1:18" ht="18" customHeight="1" thickBot="1">
      <c r="A38" s="1201" t="s">
        <v>1112</v>
      </c>
      <c r="B38" s="1202" t="s">
        <v>1159</v>
      </c>
      <c r="C38" s="1203">
        <f ca="1">ROUND(C5*F38,1)</f>
        <v>10.8</v>
      </c>
      <c r="D38" s="1204" t="s">
        <v>1179</v>
      </c>
      <c r="E38" s="1202" t="s">
        <v>1142</v>
      </c>
      <c r="F38" s="1198">
        <f ca="1">INDIRECT("'数据-取费表'!Am"&amp;$G$1)</f>
        <v>1.4999999999999999E-2</v>
      </c>
      <c r="G38" s="1518"/>
      <c r="H38" s="2874"/>
      <c r="I38" s="1532"/>
      <c r="J38" s="1533"/>
      <c r="K38" s="2878"/>
      <c r="L38" s="2874"/>
      <c r="M38" s="2874"/>
    </row>
    <row r="39" spans="1:18" ht="24.65" customHeight="1" thickTop="1">
      <c r="A39" s="1191" t="s">
        <v>818</v>
      </c>
      <c r="B39" s="1206" t="s">
        <v>1183</v>
      </c>
      <c r="C39" s="316">
        <f ca="1">C5-C30</f>
        <v>513</v>
      </c>
      <c r="D39" s="1207" t="s">
        <v>1184</v>
      </c>
      <c r="E39" s="1208"/>
      <c r="F39" s="1209"/>
      <c r="G39" s="1518"/>
      <c r="H39" s="2874"/>
      <c r="I39" s="1532"/>
      <c r="J39" s="1533"/>
      <c r="K39" s="2878"/>
      <c r="L39" s="2874"/>
      <c r="M39" s="2874"/>
    </row>
    <row r="40" spans="1:18" ht="18" customHeight="1">
      <c r="A40" s="305" t="s">
        <v>819</v>
      </c>
      <c r="B40" s="306" t="s">
        <v>1205</v>
      </c>
      <c r="C40" s="307">
        <f ca="1">ROUND(C39*(1-((1+F42)/(1+F40))^F41)/(F40-F42),0)</f>
        <v>11067</v>
      </c>
      <c r="D40" s="330" t="s">
        <v>1189</v>
      </c>
      <c r="E40" s="308" t="s">
        <v>1190</v>
      </c>
      <c r="F40" s="318">
        <f ca="1">INDIRECT("'数据-取费表'!I"&amp;$G$1)</f>
        <v>5.5E-2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32.32</v>
      </c>
      <c r="G41" s="1518"/>
      <c r="H41" s="1305"/>
      <c r="I41" s="1532"/>
      <c r="J41" s="1533"/>
      <c r="K41" s="2716"/>
      <c r="L41" s="1305"/>
      <c r="M41" s="1305"/>
    </row>
    <row r="42" spans="1:18" ht="18" customHeight="1">
      <c r="A42" s="314"/>
      <c r="B42" s="315"/>
      <c r="C42" s="316"/>
      <c r="D42" s="333"/>
      <c r="E42" s="308" t="s">
        <v>1197</v>
      </c>
      <c r="F42" s="318">
        <f ca="1">INDIRECT("'数据-取费表'!v"&amp;$G$1)</f>
        <v>0.03</v>
      </c>
      <c r="G42" s="1518"/>
      <c r="H42" s="1305"/>
      <c r="I42" s="1532"/>
      <c r="J42" s="1533"/>
      <c r="K42" s="2716"/>
      <c r="L42" s="1305"/>
      <c r="M42" s="1305"/>
    </row>
    <row r="43" spans="1:18" ht="18" customHeight="1" thickBot="1">
      <c r="A43" s="340" t="s">
        <v>820</v>
      </c>
      <c r="B43" s="341" t="s">
        <v>1207</v>
      </c>
      <c r="C43" s="342">
        <f ca="1">ROUND(C40*10000/F43,0)</f>
        <v>5873</v>
      </c>
      <c r="D43" s="343" t="s">
        <v>1208</v>
      </c>
      <c r="E43" s="344" t="s">
        <v>1209</v>
      </c>
      <c r="F43" s="345">
        <f ca="1">INDIRECT("'数据-取费表'!k"&amp;$G$1)</f>
        <v>18842.53</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-27373</v>
      </c>
      <c r="D46" s="1540" t="str">
        <f>C2</f>
        <v>万元</v>
      </c>
      <c r="E46" s="1534"/>
      <c r="F46" s="1534"/>
      <c r="I46" s="1541" t="s">
        <v>1241</v>
      </c>
      <c r="J46" s="1542"/>
      <c r="K46" s="1543"/>
      <c r="L46" s="1544">
        <f ca="1">IF(M47="住宅",0,IF(L48&gt;J51,L60,J60))</f>
        <v>489</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50</v>
      </c>
      <c r="M47" s="1514" t="str">
        <f>IF(ISNUMBER(FIND("住宅",C1)),"住宅","非住宅")</f>
        <v>非住宅</v>
      </c>
      <c r="O47" s="1552" t="s">
        <v>827</v>
      </c>
      <c r="P47" s="1553" t="s">
        <v>1248</v>
      </c>
      <c r="Q47" s="1554">
        <f ca="1">C40+J29</f>
        <v>11067</v>
      </c>
      <c r="R47" s="1554" t="s">
        <v>1249</v>
      </c>
    </row>
    <row r="48" spans="1:18" s="1518" customFormat="1" ht="43.5" thickBot="1">
      <c r="A48" s="1222" t="s">
        <v>863</v>
      </c>
      <c r="B48" s="306" t="s">
        <v>1121</v>
      </c>
      <c r="C48" s="3191">
        <f ca="1">C49+C53+C55</f>
        <v>0</v>
      </c>
      <c r="D48" s="1224"/>
      <c r="E48" s="1225"/>
      <c r="F48" s="1073"/>
      <c r="G48" s="731"/>
      <c r="H48" s="732"/>
      <c r="I48" s="1555" t="s">
        <v>1250</v>
      </c>
      <c r="J48" s="1556" t="s">
        <v>3730</v>
      </c>
      <c r="K48" s="1557" t="s">
        <v>1251</v>
      </c>
      <c r="L48" s="1558">
        <f ca="1">INDIRECT("'数据-取费表'!f"&amp;$G$1)</f>
        <v>32.32</v>
      </c>
      <c r="O48" s="1552" t="s">
        <v>828</v>
      </c>
      <c r="P48" s="1553" t="s">
        <v>1252</v>
      </c>
      <c r="Q48" s="1554">
        <f ca="1">J60</f>
        <v>489</v>
      </c>
      <c r="R48" s="1554" t="s">
        <v>1253</v>
      </c>
    </row>
    <row r="49" spans="1:18" s="1518" customFormat="1" ht="13.5" thickBot="1">
      <c r="A49" s="1086" t="s">
        <v>864</v>
      </c>
      <c r="B49" s="1505" t="s">
        <v>1210</v>
      </c>
      <c r="C49" s="1226">
        <f ca="1">ROUND(F49*F51*F50*(1-F52)/10000,0)</f>
        <v>0</v>
      </c>
      <c r="D49" s="1166" t="s">
        <v>2604</v>
      </c>
      <c r="E49" s="1506" t="s">
        <v>1211</v>
      </c>
      <c r="F49" s="1171"/>
      <c r="G49" s="1559"/>
      <c r="H49" s="732"/>
      <c r="I49" s="1555" t="s">
        <v>1254</v>
      </c>
      <c r="J49" s="1560">
        <v>2021</v>
      </c>
      <c r="K49" s="1557" t="s">
        <v>1255</v>
      </c>
      <c r="L49" s="1561"/>
      <c r="O49" s="1562" t="s">
        <v>829</v>
      </c>
      <c r="P49" s="1553" t="s">
        <v>1256</v>
      </c>
      <c r="Q49" s="1554">
        <f ca="1">C29</f>
        <v>12092</v>
      </c>
      <c r="R49" s="1554" t="s">
        <v>1249</v>
      </c>
    </row>
    <row r="50" spans="1:18" s="1518" customFormat="1" ht="13.5" thickBot="1">
      <c r="A50" s="1087"/>
      <c r="B50" s="1090"/>
      <c r="C50" s="1230"/>
      <c r="D50" s="1064"/>
      <c r="E50" s="1167" t="s">
        <v>1126</v>
      </c>
      <c r="F50" s="1168">
        <f ca="1">F7</f>
        <v>371</v>
      </c>
      <c r="H50" s="732"/>
      <c r="I50" s="1555" t="s">
        <v>1257</v>
      </c>
      <c r="J50" s="1563">
        <f>SUMPRODUCT((I63:I65=J47)*(J62:L62=J48)*(J63:L65))</f>
        <v>60</v>
      </c>
      <c r="K50" s="1557" t="s">
        <v>1258</v>
      </c>
      <c r="L50" s="1561"/>
      <c r="M50" s="1564"/>
      <c r="O50" s="1562" t="s">
        <v>830</v>
      </c>
      <c r="P50" s="1553" t="s">
        <v>1259</v>
      </c>
      <c r="Q50" s="1565">
        <f ca="1">J58</f>
        <v>0.44500000000000001</v>
      </c>
      <c r="R50" s="1554"/>
    </row>
    <row r="51" spans="1:18" s="1518" customFormat="1" ht="13.5" thickBot="1">
      <c r="A51" s="1088"/>
      <c r="B51" s="1090"/>
      <c r="C51" s="1091"/>
      <c r="D51" s="1064"/>
      <c r="E51" s="1092" t="s">
        <v>1127</v>
      </c>
      <c r="F51" s="309">
        <f ca="1">F8</f>
        <v>12</v>
      </c>
      <c r="I51" s="1566" t="s">
        <v>1260</v>
      </c>
      <c r="J51" s="1567">
        <f>IF(J49="",J50,J49+J50-YEAR('数据-取费表'!B2))</f>
        <v>59</v>
      </c>
      <c r="K51" s="1568" t="s">
        <v>1261</v>
      </c>
      <c r="L51" s="1569">
        <f ca="1">ROUND(-PV(INDIRECT("'数据-取费表'!h"&amp;$G$1),J51,(C39-C13*C76),0),0)</f>
        <v>-5974</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1572">
        <f>'收益法(商业)'!J52</f>
        <v>7.6999999999999999E-2</v>
      </c>
      <c r="K52" s="1571" t="s">
        <v>1264</v>
      </c>
      <c r="L52" s="1572"/>
      <c r="O52" s="1562" t="s">
        <v>832</v>
      </c>
      <c r="P52" s="1553" t="s">
        <v>1265</v>
      </c>
      <c r="Q52" s="1554">
        <f ca="1">J53</f>
        <v>32.32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32.32</v>
      </c>
      <c r="K53" s="3589" t="s">
        <v>1268</v>
      </c>
      <c r="L53" s="3590"/>
      <c r="O53" s="1552" t="s">
        <v>833</v>
      </c>
      <c r="P53" s="1553" t="s">
        <v>1269</v>
      </c>
      <c r="Q53" s="1554">
        <f ca="1">Q47+Q48</f>
        <v>11556</v>
      </c>
      <c r="R53" s="1554" t="s">
        <v>834</v>
      </c>
    </row>
    <row r="54" spans="1:18" s="1518" customFormat="1" ht="26.5" thickBot="1">
      <c r="A54" s="1267"/>
      <c r="B54" s="1501" t="s">
        <v>1108</v>
      </c>
      <c r="C54" s="1070"/>
      <c r="D54" s="1500"/>
      <c r="E54" s="318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3186"/>
      <c r="F55" s="1574"/>
      <c r="I55" s="1577" t="s">
        <v>1271</v>
      </c>
      <c r="J55" s="1578">
        <f ca="1">ROUND(IF(J47="钢混",J57/J50,1-(1-2%)*(J50-J57)/J50),3)</f>
        <v>0.44500000000000001</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11850</v>
      </c>
      <c r="D56" s="1581"/>
      <c r="E56" s="1582"/>
      <c r="F56" s="1574"/>
      <c r="I56" s="1583" t="s">
        <v>1274</v>
      </c>
      <c r="J56" s="1584" t="s">
        <v>3746</v>
      </c>
      <c r="K56" s="1555" t="s">
        <v>1275</v>
      </c>
      <c r="L56" s="1558" t="str">
        <f ca="1">IF(L48&lt;J51,"——",L48-J53)</f>
        <v>——</v>
      </c>
      <c r="O56" s="1552" t="s">
        <v>827</v>
      </c>
      <c r="P56" s="1553" t="s">
        <v>1248</v>
      </c>
      <c r="Q56" s="1554">
        <f ca="1">C40+J29</f>
        <v>11067</v>
      </c>
      <c r="R56" s="1554" t="s">
        <v>1249</v>
      </c>
    </row>
    <row r="57" spans="1:18" s="1518" customFormat="1" ht="26.5" thickBot="1">
      <c r="A57" s="1585"/>
      <c r="B57" s="1061" t="s">
        <v>1198</v>
      </c>
      <c r="C57" s="244">
        <f ca="1">C29</f>
        <v>12092</v>
      </c>
      <c r="D57" s="1586"/>
      <c r="E57" s="1587"/>
      <c r="F57" s="1588"/>
      <c r="I57" s="1589" t="s">
        <v>1276</v>
      </c>
      <c r="J57" s="1590">
        <f ca="1">IF(OR(M47="住宅",J51&lt;L48,J56="是"),"——",J51-L48)</f>
        <v>26.68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1090</v>
      </c>
      <c r="D58" s="1071" t="s">
        <v>1145</v>
      </c>
      <c r="E58" s="1072"/>
      <c r="F58" s="1073"/>
      <c r="I58" s="1589" t="s">
        <v>1280</v>
      </c>
      <c r="J58" s="1591">
        <f ca="1">IF(J55&lt;0.4,0.4,J55)</f>
        <v>0.44500000000000001</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1018</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5381</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489</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1157</v>
      </c>
      <c r="C61" s="24">
        <f ca="1">IF(项目基本情况!B11="自然人","——",IF(D61="按租金收入计税",ROUND(C49*F61/(1+'数据-取费表'!C42),2),IF(D61="按房产原值计税",ROUND(C57*F61*0.7,2),INDIRECT("'数据-取费表'!Aj"&amp;$G$1))))</f>
        <v>1015.73</v>
      </c>
      <c r="D61" s="1504" t="s">
        <v>1158</v>
      </c>
      <c r="E61" s="1061" t="s">
        <v>1142</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1161</v>
      </c>
      <c r="C62" s="25">
        <f ca="1">IF(项目基本情况!B11="自然人","——",ROUND(F62*F63/10000,2))</f>
        <v>2.6</v>
      </c>
      <c r="D62" s="1076" t="s">
        <v>1162</v>
      </c>
      <c r="E62" s="1061" t="s">
        <v>1163</v>
      </c>
      <c r="F62" s="331">
        <f t="shared" si="0"/>
        <v>24</v>
      </c>
      <c r="I62" s="1596" t="s">
        <v>1290</v>
      </c>
      <c r="J62" s="1597" t="s">
        <v>1291</v>
      </c>
      <c r="K62" s="1597" t="s">
        <v>1292</v>
      </c>
      <c r="L62" s="1597" t="s">
        <v>1293</v>
      </c>
      <c r="M62" s="1598" t="s">
        <v>1294</v>
      </c>
      <c r="O62" s="1552" t="s">
        <v>833</v>
      </c>
      <c r="P62" s="1553" t="s">
        <v>1269</v>
      </c>
      <c r="Q62" s="1554">
        <f ca="1">Q56+Q57</f>
        <v>11067</v>
      </c>
      <c r="R62" s="1554" t="s">
        <v>834</v>
      </c>
    </row>
    <row r="63" spans="1:18" s="1518" customFormat="1" ht="13.5" thickBot="1">
      <c r="A63" s="332"/>
      <c r="B63" s="1067"/>
      <c r="C63" s="29"/>
      <c r="D63" s="1077"/>
      <c r="E63" s="1061" t="s">
        <v>1167</v>
      </c>
      <c r="F63" s="309">
        <f t="shared" ca="1" si="0"/>
        <v>1084.72</v>
      </c>
      <c r="I63" s="1596" t="s">
        <v>1296</v>
      </c>
      <c r="J63" s="1597">
        <v>70</v>
      </c>
      <c r="K63" s="1597">
        <v>50</v>
      </c>
      <c r="L63" s="1597">
        <v>80</v>
      </c>
      <c r="M63" s="1599">
        <v>0.02</v>
      </c>
      <c r="O63" s="1537" t="s">
        <v>1297</v>
      </c>
      <c r="P63" s="1515"/>
      <c r="Q63" s="1515"/>
      <c r="R63" s="1515"/>
    </row>
    <row r="64" spans="1:18" s="1518" customFormat="1" ht="13.5" thickBot="1">
      <c r="A64" s="1093" t="s">
        <v>826</v>
      </c>
      <c r="B64" s="1061" t="s">
        <v>1169</v>
      </c>
      <c r="C64" s="24">
        <f ca="1">ROUND(C57*F64,1)</f>
        <v>60.5</v>
      </c>
      <c r="D64" s="1075" t="s">
        <v>1202</v>
      </c>
      <c r="E64" s="1061" t="s">
        <v>1142</v>
      </c>
      <c r="F64" s="334">
        <f t="shared" ca="1" si="0"/>
        <v>5.0000000000000001E-3</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11.9</v>
      </c>
      <c r="D65" s="1075" t="s">
        <v>1174</v>
      </c>
      <c r="E65" s="1061" t="s">
        <v>1142</v>
      </c>
      <c r="F65" s="336">
        <f t="shared" ca="1" si="0"/>
        <v>1E-3</v>
      </c>
      <c r="I65" s="1596" t="s">
        <v>1299</v>
      </c>
      <c r="J65" s="1597">
        <v>40</v>
      </c>
      <c r="K65" s="1597">
        <v>30</v>
      </c>
      <c r="L65" s="1597">
        <v>50</v>
      </c>
      <c r="M65" s="1599">
        <v>0.02</v>
      </c>
      <c r="O65" s="1552" t="s">
        <v>827</v>
      </c>
      <c r="P65" s="1553" t="s">
        <v>1248</v>
      </c>
      <c r="Q65" s="1554">
        <f ca="1">C40+J29</f>
        <v>11067</v>
      </c>
      <c r="R65" s="1554" t="s">
        <v>1249</v>
      </c>
    </row>
    <row r="66" spans="1:18" s="1518" customFormat="1" ht="16" thickBot="1">
      <c r="A66" s="1093" t="s">
        <v>1224</v>
      </c>
      <c r="B66" s="1061" t="s">
        <v>1159</v>
      </c>
      <c r="C66" s="24">
        <f ca="1">ROUND(C48*F66,1)</f>
        <v>0</v>
      </c>
      <c r="D66" s="1075" t="s">
        <v>1179</v>
      </c>
      <c r="E66" s="1061" t="s">
        <v>1142</v>
      </c>
      <c r="F66" s="318">
        <f t="shared" ca="1" si="0"/>
        <v>1.4999999999999999E-2</v>
      </c>
      <c r="O66" s="1552" t="s">
        <v>828</v>
      </c>
      <c r="P66" s="1553" t="s">
        <v>1278</v>
      </c>
      <c r="Q66" s="1554">
        <f ca="1">L60</f>
        <v>0</v>
      </c>
      <c r="R66" s="1554" t="s">
        <v>1301</v>
      </c>
    </row>
    <row r="67" spans="1:18" s="1518" customFormat="1" ht="26.5" thickBot="1">
      <c r="A67" s="1068" t="s">
        <v>818</v>
      </c>
      <c r="B67" s="1078" t="s">
        <v>1183</v>
      </c>
      <c r="C67" s="322">
        <f ca="1">C48-C58</f>
        <v>-1090</v>
      </c>
      <c r="D67" s="1074" t="s">
        <v>1184</v>
      </c>
      <c r="E67" s="1079"/>
      <c r="F67" s="1080"/>
      <c r="O67" s="1562" t="s">
        <v>829</v>
      </c>
      <c r="P67" s="1553" t="s">
        <v>1282</v>
      </c>
      <c r="Q67" s="1600">
        <f ca="1">L51</f>
        <v>-5974</v>
      </c>
      <c r="R67" s="1554" t="s">
        <v>1302</v>
      </c>
    </row>
    <row r="68" spans="1:18" s="1518" customFormat="1" ht="16" thickBot="1">
      <c r="A68" s="1058" t="s">
        <v>819</v>
      </c>
      <c r="B68" s="1059" t="s">
        <v>1205</v>
      </c>
      <c r="C68" s="307">
        <f ca="1">ROUND(C67*(1-((1+F70)/(1+F68))^F69)/(F68-F70),0)</f>
        <v>-16306</v>
      </c>
      <c r="D68" s="1076" t="s">
        <v>1189</v>
      </c>
      <c r="E68" s="1061" t="s">
        <v>1190</v>
      </c>
      <c r="F68" s="318">
        <f ca="1">F40</f>
        <v>5.5E-2</v>
      </c>
      <c r="O68" s="1562" t="s">
        <v>830</v>
      </c>
      <c r="P68" s="1601" t="s">
        <v>1303</v>
      </c>
      <c r="Q68" s="1554">
        <f ca="1">ROUND(Q69-Q70*Q71,0)</f>
        <v>-317</v>
      </c>
      <c r="R68" s="1554" t="s">
        <v>838</v>
      </c>
    </row>
    <row r="69" spans="1:18" s="1518" customFormat="1" ht="13.5" thickBot="1">
      <c r="A69" s="1062"/>
      <c r="B69" s="1063"/>
      <c r="C69" s="312"/>
      <c r="D69" s="1081" t="s">
        <v>1193</v>
      </c>
      <c r="E69" s="1061" t="s">
        <v>1194</v>
      </c>
      <c r="F69" s="339">
        <f ca="1">F41</f>
        <v>32.32</v>
      </c>
      <c r="O69" s="1562" t="s">
        <v>835</v>
      </c>
      <c r="P69" s="1601" t="s">
        <v>1304</v>
      </c>
      <c r="Q69" s="1554">
        <f ca="1">C39</f>
        <v>513</v>
      </c>
      <c r="R69" s="1554" t="s">
        <v>1249</v>
      </c>
    </row>
    <row r="70" spans="1:18" s="1518" customFormat="1" ht="13.5" thickBot="1">
      <c r="A70" s="1065"/>
      <c r="B70" s="1066"/>
      <c r="C70" s="316"/>
      <c r="D70" s="1077"/>
      <c r="E70" s="1061" t="s">
        <v>1197</v>
      </c>
      <c r="F70" s="1165"/>
      <c r="O70" s="1562" t="s">
        <v>836</v>
      </c>
      <c r="P70" s="1601" t="s">
        <v>1305</v>
      </c>
      <c r="Q70" s="1554">
        <f ca="1">C13</f>
        <v>11850</v>
      </c>
      <c r="R70" s="1554" t="s">
        <v>1249</v>
      </c>
    </row>
    <row r="71" spans="1:18" s="1518" customFormat="1" ht="13.5" thickBot="1">
      <c r="A71" s="1082" t="s">
        <v>820</v>
      </c>
      <c r="B71" s="1083" t="s">
        <v>1207</v>
      </c>
      <c r="C71" s="342">
        <f ca="1">ROUND(C68*10000/F71,0)</f>
        <v>-8654</v>
      </c>
      <c r="D71" s="1084" t="s">
        <v>1208</v>
      </c>
      <c r="E71" s="1085" t="s">
        <v>1209</v>
      </c>
      <c r="F71" s="345">
        <f ca="1">F43</f>
        <v>18842.53</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830</v>
      </c>
      <c r="D75" s="1518"/>
      <c r="E75" s="1518"/>
      <c r="F75" s="1518"/>
      <c r="K75" s="1536"/>
      <c r="L75" s="1518"/>
      <c r="O75" s="1552" t="s">
        <v>833</v>
      </c>
      <c r="P75" s="1553" t="s">
        <v>1269</v>
      </c>
      <c r="Q75" s="1554">
        <f ca="1">Q65+Q66</f>
        <v>11067</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-0.6180000000000001</v>
      </c>
    </row>
    <row r="80" spans="1:18" ht="13">
      <c r="B80" s="346" t="s">
        <v>1231</v>
      </c>
      <c r="C80" s="280">
        <f ca="1">ROUND(C75/C39,3)</f>
        <v>1.6180000000000001</v>
      </c>
    </row>
    <row r="81" spans="2:3" ht="13.5">
      <c r="B81" s="276" t="s">
        <v>1232</v>
      </c>
      <c r="C81" s="244"/>
    </row>
    <row r="82" spans="2:3" ht="13">
      <c r="B82" s="279" t="s">
        <v>1233</v>
      </c>
      <c r="C82" s="281">
        <f ca="1">1-C83</f>
        <v>-7.0999999999999952E-2</v>
      </c>
    </row>
    <row r="83" spans="2:3" ht="13">
      <c r="B83" s="279" t="s">
        <v>1234</v>
      </c>
      <c r="C83" s="280">
        <f ca="1">ROUND(C13/C40,3)</f>
        <v>1.071</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zoomScaleNormal="70" zoomScaleSheetLayoutView="100" workbookViewId="0">
      <selection activeCell="C21" sqref="C21"/>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48</v>
      </c>
      <c r="C1" s="204"/>
      <c r="D1" s="204"/>
      <c r="E1" s="204"/>
      <c r="F1" s="204"/>
      <c r="G1" s="1240">
        <f>MATCH(B1,'数据-取费表'!A6:A16,0)+5</f>
        <v>8</v>
      </c>
    </row>
    <row r="2" spans="1:9" s="206" customFormat="1" ht="18" customHeight="1">
      <c r="A2" s="207" t="s">
        <v>1114</v>
      </c>
      <c r="B2" s="208">
        <f ca="1">IF(D2="——",C52,C52-E2)</f>
        <v>28823</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ROUND(B2*10000/(IF(B1="",'数据-汇总表'!E3,INDIRECT("'数据-取费表'!k"&amp;$G$1))),0)</f>
        <v>15297</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12492</v>
      </c>
      <c r="D5" s="217" t="s">
        <v>1910</v>
      </c>
      <c r="E5" s="218" t="s">
        <v>1911</v>
      </c>
      <c r="F5" s="218" t="s">
        <v>1912</v>
      </c>
      <c r="G5" s="219"/>
    </row>
    <row r="6" spans="1:9" s="220" customFormat="1" ht="13.5" customHeight="1">
      <c r="A6" s="866" t="s">
        <v>610</v>
      </c>
      <c r="B6" s="221" t="s">
        <v>1914</v>
      </c>
      <c r="C6" s="222">
        <f>[4]基准地价修正!$E$42</f>
        <v>11756</v>
      </c>
      <c r="D6" s="223"/>
      <c r="E6" s="224"/>
      <c r="F6" s="224"/>
      <c r="G6" s="225"/>
    </row>
    <row r="7" spans="1:9" s="220" customFormat="1" ht="13.5" customHeight="1">
      <c r="A7" s="866" t="s">
        <v>611</v>
      </c>
      <c r="B7" s="221" t="s">
        <v>1916</v>
      </c>
      <c r="C7" s="226">
        <f>ROUND(C6*F7,0)</f>
        <v>359</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377</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377</v>
      </c>
      <c r="D10" s="934">
        <f ca="1">IF(B1="",'数据-汇总表'!E6,IF(INDIRECT("'数据-取费表'!c"&amp;$G$1)="住宅",INDIRECT("'数据-取费表'!s"&amp;$G$1),INDIRECT("'数据-取费表'!k"&amp;$G$1)+INDIRECT("'数据-取费表'!s"&amp;$G$1)))</f>
        <v>18842.53</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18842.53</v>
      </c>
      <c r="E19" s="217">
        <f>'数据-取费表'!B31</f>
        <v>200</v>
      </c>
      <c r="F19" s="237"/>
      <c r="G19" s="1991" t="s">
        <v>3741</v>
      </c>
    </row>
    <row r="20" spans="1:7" s="220" customFormat="1" ht="13.5" customHeight="1">
      <c r="A20" s="261" t="s">
        <v>1934</v>
      </c>
      <c r="B20" s="216" t="s">
        <v>1935</v>
      </c>
      <c r="C20" s="238">
        <f ca="1">ROUND((C5+C19)*F20,0)</f>
        <v>250</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1657</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1641</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16</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1274</v>
      </c>
      <c r="D27" s="241">
        <f ca="1">C29</f>
        <v>2E-3</v>
      </c>
      <c r="E27" s="242" t="s">
        <v>1939</v>
      </c>
      <c r="F27" s="252">
        <f ca="1">IF(B1="",'数据-取费表'!Q16,INDIRECT("'数据-取费表'!q"&amp;$G$1))</f>
        <v>0.1</v>
      </c>
      <c r="G27" s="253" t="s">
        <v>1956</v>
      </c>
    </row>
    <row r="28" spans="1:7" s="220" customFormat="1" ht="13.5" customHeight="1">
      <c r="A28" s="868" t="s">
        <v>610</v>
      </c>
      <c r="B28" s="254" t="s">
        <v>1957</v>
      </c>
      <c r="C28" s="255">
        <f ca="1">ROUND((C5+C19+C20)*F27*'数据-取费表'!B21/'数据-取费表'!B20,0)</f>
        <v>1274</v>
      </c>
      <c r="D28" s="241"/>
      <c r="E28" s="242"/>
      <c r="F28" s="252"/>
      <c r="G28" s="253"/>
    </row>
    <row r="29" spans="1:7" s="220" customFormat="1" ht="13.5" customHeight="1">
      <c r="A29" s="868" t="s">
        <v>611</v>
      </c>
      <c r="B29" s="254" t="s">
        <v>1958</v>
      </c>
      <c r="C29" s="244">
        <f ca="1">ROUND(C21*F27*'数据-取费表'!B21/'数据-取费表'!B20,4)</f>
        <v>2E-3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16973</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9407</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8479</v>
      </c>
      <c r="D34" s="223"/>
      <c r="E34" s="226"/>
      <c r="F34" s="263">
        <f ca="1">IF('数据-取费表'!B24=0,1,IF(B1="",'数据-取费表'!N16,INDIRECT("'数据-取费表'!n"&amp;$G$1)))</f>
        <v>1</v>
      </c>
      <c r="G34" s="225" t="s">
        <v>1967</v>
      </c>
    </row>
    <row r="35" spans="1:7" ht="13.5" customHeight="1">
      <c r="A35" s="868" t="s">
        <v>615</v>
      </c>
      <c r="B35" s="221" t="s">
        <v>1968</v>
      </c>
      <c r="C35" s="226">
        <f ca="1">ROUND(C34*F35,0)</f>
        <v>424</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377</v>
      </c>
      <c r="D37" s="223">
        <f ca="1">D19</f>
        <v>18842.53</v>
      </c>
      <c r="E37" s="255">
        <f>'数据-取费表'!B35</f>
        <v>200</v>
      </c>
      <c r="F37" s="265"/>
      <c r="G37" s="267" t="s">
        <v>1973</v>
      </c>
    </row>
    <row r="38" spans="1:7" ht="13.5" customHeight="1">
      <c r="A38" s="868" t="s">
        <v>618</v>
      </c>
      <c r="B38" s="221" t="s">
        <v>1974</v>
      </c>
      <c r="C38" s="226">
        <f ca="1">ROUND(C34*F38,0)</f>
        <v>127</v>
      </c>
      <c r="D38" s="226"/>
      <c r="E38" s="226"/>
      <c r="F38" s="265">
        <f>'数据-取费表'!B36</f>
        <v>1.4999999999999999E-2</v>
      </c>
      <c r="G38" s="225" t="s">
        <v>1969</v>
      </c>
    </row>
    <row r="39" spans="1:7" s="220" customFormat="1" ht="13.5" customHeight="1">
      <c r="A39" s="261" t="s">
        <v>1932</v>
      </c>
      <c r="B39" s="216" t="s">
        <v>1935</v>
      </c>
      <c r="C39" s="238">
        <f ca="1">ROUND(C33*F20,0)</f>
        <v>188</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611</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599</v>
      </c>
      <c r="D42" s="244"/>
      <c r="E42" s="244"/>
      <c r="F42" s="245"/>
      <c r="G42" s="3371" t="s">
        <v>1985</v>
      </c>
    </row>
    <row r="43" spans="1:7" ht="13.5" customHeight="1">
      <c r="A43" s="868" t="s">
        <v>611</v>
      </c>
      <c r="B43" s="221" t="s">
        <v>1947</v>
      </c>
      <c r="C43" s="244">
        <f ca="1">ROUND(IF('数据-取费表'!B22&lt;=1,C39*F22*'数据-取费表'!B21/2,C39*(POWER((1+F22),'数据-取费表'!B21/2)-1)),0)</f>
        <v>12</v>
      </c>
      <c r="D43" s="244"/>
      <c r="E43" s="244"/>
      <c r="F43" s="245"/>
      <c r="G43" s="3372"/>
    </row>
    <row r="44" spans="1:7" ht="13.5" customHeight="1">
      <c r="A44" s="868" t="s">
        <v>612</v>
      </c>
      <c r="B44" s="221" t="s">
        <v>1950</v>
      </c>
      <c r="C44" s="244">
        <f ca="1">ROUND(IF('数据-取费表'!B22&lt;=1,C40*F22*'数据-取费表'!B21/2,C40*(POWER((1+F22),'数据-取费表'!B21/2)-1)),4)</f>
        <v>1.2999999999999999E-3</v>
      </c>
      <c r="D44" s="244"/>
      <c r="E44" s="244"/>
      <c r="F44" s="245"/>
      <c r="G44" s="3373"/>
    </row>
    <row r="45" spans="1:7" s="220" customFormat="1" ht="13.5" customHeight="1">
      <c r="A45" s="261" t="s">
        <v>1941</v>
      </c>
      <c r="B45" s="250" t="s">
        <v>1954</v>
      </c>
      <c r="C45" s="251">
        <f ca="1">C46</f>
        <v>960</v>
      </c>
      <c r="D45" s="241">
        <f ca="1">C47</f>
        <v>2E-3</v>
      </c>
      <c r="E45" s="242" t="s">
        <v>1980</v>
      </c>
      <c r="F45" s="2486">
        <f ca="1">F27</f>
        <v>0.1</v>
      </c>
      <c r="G45" s="253" t="s">
        <v>1989</v>
      </c>
    </row>
    <row r="46" spans="1:7" s="220" customFormat="1" ht="13.5" customHeight="1">
      <c r="A46" s="868" t="s">
        <v>610</v>
      </c>
      <c r="B46" s="254" t="s">
        <v>1990</v>
      </c>
      <c r="C46" s="255">
        <f ca="1">ROUND((C33+C39)*F27,0)</f>
        <v>960</v>
      </c>
      <c r="D46" s="269"/>
      <c r="E46" s="242"/>
      <c r="F46" s="252"/>
      <c r="G46" s="253"/>
    </row>
    <row r="47" spans="1:7" s="220" customFormat="1" ht="13.5" customHeight="1">
      <c r="A47" s="868" t="s">
        <v>611</v>
      </c>
      <c r="B47" s="254" t="s">
        <v>1991</v>
      </c>
      <c r="C47" s="244">
        <f ca="1">ROUND(C40*F27,4)</f>
        <v>2E-3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12092</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11850</v>
      </c>
      <c r="D51" s="238"/>
      <c r="E51" s="238"/>
      <c r="F51" s="270"/>
      <c r="G51" s="240" t="s">
        <v>2001</v>
      </c>
    </row>
    <row r="52" spans="1:7" s="214" customFormat="1" ht="16.5" thickBot="1">
      <c r="A52" s="271" t="s">
        <v>2002</v>
      </c>
      <c r="B52" s="272"/>
      <c r="C52" s="273">
        <f ca="1">C31+C51</f>
        <v>28823</v>
      </c>
      <c r="D52" s="272"/>
      <c r="E52" s="272"/>
      <c r="F52" s="272"/>
      <c r="G52" s="274"/>
    </row>
    <row r="55" spans="1:7" ht="15.5">
      <c r="B55" s="276" t="s">
        <v>2003</v>
      </c>
      <c r="C55" s="277"/>
    </row>
    <row r="56" spans="1:7" ht="13">
      <c r="B56" s="279" t="s">
        <v>1233</v>
      </c>
      <c r="C56" s="281">
        <f ca="1">1-C57</f>
        <v>0.58899999999999997</v>
      </c>
    </row>
    <row r="57" spans="1:7" ht="13">
      <c r="B57" s="279" t="s">
        <v>1234</v>
      </c>
      <c r="C57" s="280">
        <f ca="1">ROUND(C51/C52,3)</f>
        <v>0.41099999999999998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G9" xr:uid="{00000000-0002-0000-2400-000002000000}">
      <formula1>"部分缴纳,全部缴纳"</formula1>
    </dataValidation>
    <dataValidation type="list" allowBlank="1" showInputMessage="1" showErrorMessage="1" sqref="B1" xr:uid="{00000000-0002-0000-2400-000003000000}">
      <formula1>项目类型</formula1>
    </dataValidation>
    <dataValidation type="list" allowBlank="1" showInputMessage="1" showErrorMessage="1" sqref="G19" xr:uid="{00000000-0002-0000-2400-000004000000}">
      <formula1>"已包含在土地取得成本中,未包含在土地取得成本中"</formula1>
    </dataValidation>
    <dataValidation type="list" allowBlank="1" showInputMessage="1" showErrorMessage="1" sqref="G8" xr:uid="{00000000-0002-0000-24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AJ512"/>
  <sheetViews>
    <sheetView view="pageBreakPreview" topLeftCell="A115" zoomScaleNormal="100" zoomScaleSheetLayoutView="100" zoomScalePageLayoutView="80" workbookViewId="0">
      <selection activeCell="F38" sqref="F38"/>
    </sheetView>
  </sheetViews>
  <sheetFormatPr defaultColWidth="12.6328125" defaultRowHeight="21.75" customHeight="1"/>
  <cols>
    <col min="1" max="2" width="12.6328125" style="1888"/>
    <col min="3" max="4" width="12.6328125" style="1888" customWidth="1"/>
    <col min="5" max="9" width="12.6328125" style="1888"/>
    <col min="10" max="11" width="12.6328125" style="734" customWidth="1"/>
    <col min="12" max="12" width="12.6328125" style="734"/>
    <col min="13" max="13" width="14.08984375" style="734" bestFit="1" customWidth="1"/>
    <col min="14" max="26" width="12.6328125" style="734"/>
    <col min="27" max="35" width="12.6328125" style="1887"/>
    <col min="36" max="16384" width="12.6328125" style="1888"/>
  </cols>
  <sheetData>
    <row r="1" spans="1:12" ht="21.75" customHeight="1" thickBot="1">
      <c r="A1" s="1772" t="s">
        <v>1703</v>
      </c>
      <c r="B1" s="1882"/>
      <c r="C1" s="1883" t="s">
        <v>3718</v>
      </c>
      <c r="D1" s="1882"/>
      <c r="E1" s="1882"/>
      <c r="F1" s="1884" t="s">
        <v>1704</v>
      </c>
      <c r="G1" s="1696"/>
      <c r="H1" s="1885" t="str">
        <f>IF(G1="现房","——","估价对象范围")</f>
        <v>估价对象范围</v>
      </c>
      <c r="I1" s="1886"/>
    </row>
    <row r="2" spans="1:12" ht="21.75" customHeight="1" thickBot="1">
      <c r="A2" s="3479" t="str">
        <f>项目基本情况!S2</f>
        <v>北京市朝阳区朝阳门南大街10号房地产</v>
      </c>
      <c r="B2" s="3480"/>
      <c r="C2" s="3480"/>
      <c r="D2" s="3480"/>
      <c r="E2" s="3480"/>
      <c r="F2" s="3480"/>
      <c r="G2" s="3480"/>
      <c r="H2" s="3480"/>
      <c r="I2" s="3481"/>
    </row>
    <row r="3" spans="1:12" ht="13">
      <c r="A3" s="3483" t="s">
        <v>1705</v>
      </c>
      <c r="B3" s="3484"/>
      <c r="C3" s="3484"/>
      <c r="D3" s="3484"/>
      <c r="E3" s="3484"/>
      <c r="F3" s="3484"/>
      <c r="G3" s="3484"/>
      <c r="H3" s="3484"/>
      <c r="I3" s="3484"/>
    </row>
    <row r="4" spans="1:12" ht="14">
      <c r="A4" s="1889" t="s">
        <v>1706</v>
      </c>
      <c r="B4" s="1890" t="s">
        <v>1707</v>
      </c>
      <c r="C4" s="1891" t="s">
        <v>3737</v>
      </c>
      <c r="D4" s="1891" t="s">
        <v>3755</v>
      </c>
      <c r="E4" s="3485" t="s">
        <v>1708</v>
      </c>
      <c r="F4" s="3486"/>
      <c r="G4" s="3486"/>
      <c r="H4" s="3486"/>
      <c r="I4" s="3487"/>
      <c r="K4" s="151" t="str">
        <f>IF(ISNUMBER(FIND("比较法",'结果表(仓储)'!C4)),"比较法",IF(ISNUMBER(FIND("成本法",'结果表(仓储)'!C4)),"成本法",IF(ISNUMBER(FIND("假设开发法",'结果表(仓储)'!C4)),"假设开发法",IF(ISNUMBER(FIND("收益法",'结果表(仓储)'!C4)),"收益法","基准地价系数修正法"))))</f>
        <v>收益法</v>
      </c>
      <c r="L4" s="151"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3">
      <c r="A5" s="3459" t="s">
        <v>1709</v>
      </c>
      <c r="B5" s="3446">
        <v>25</v>
      </c>
      <c r="C5" s="3462"/>
      <c r="D5" s="3482"/>
      <c r="E5" s="136" t="s">
        <v>1710</v>
      </c>
      <c r="F5" s="1892"/>
      <c r="G5" s="1892"/>
      <c r="H5" s="1892"/>
      <c r="I5" s="1507"/>
    </row>
    <row r="6" spans="1:12" ht="13">
      <c r="A6" s="3459"/>
      <c r="B6" s="3446"/>
      <c r="C6" s="3463"/>
      <c r="D6" s="3482"/>
      <c r="E6" s="136" t="s">
        <v>1711</v>
      </c>
      <c r="F6" s="1892"/>
      <c r="G6" s="1892"/>
      <c r="H6" s="1892"/>
      <c r="I6" s="1507"/>
    </row>
    <row r="7" spans="1:12" ht="13">
      <c r="A7" s="3459"/>
      <c r="B7" s="3446"/>
      <c r="C7" s="3464"/>
      <c r="D7" s="3482"/>
      <c r="E7" s="136" t="s">
        <v>1712</v>
      </c>
      <c r="F7" s="1892"/>
      <c r="G7" s="1892"/>
      <c r="H7" s="1892"/>
      <c r="I7" s="1507"/>
    </row>
    <row r="8" spans="1:12" ht="13">
      <c r="A8" s="3459" t="s">
        <v>1713</v>
      </c>
      <c r="B8" s="3446">
        <v>15</v>
      </c>
      <c r="C8" s="3462"/>
      <c r="D8" s="3482"/>
      <c r="E8" s="136" t="s">
        <v>1714</v>
      </c>
      <c r="F8" s="1892"/>
      <c r="G8" s="1892"/>
      <c r="H8" s="1892"/>
      <c r="I8" s="1507"/>
    </row>
    <row r="9" spans="1:12" ht="13">
      <c r="A9" s="3459"/>
      <c r="B9" s="3446"/>
      <c r="C9" s="3464"/>
      <c r="D9" s="3482"/>
      <c r="E9" s="136" t="s">
        <v>1715</v>
      </c>
      <c r="F9" s="1892"/>
      <c r="G9" s="1892"/>
      <c r="H9" s="1892"/>
      <c r="I9" s="1507"/>
    </row>
    <row r="10" spans="1:12" ht="13">
      <c r="A10" s="3459" t="s">
        <v>1716</v>
      </c>
      <c r="B10" s="3446">
        <v>15</v>
      </c>
      <c r="C10" s="3462"/>
      <c r="D10" s="3482"/>
      <c r="E10" s="136" t="s">
        <v>1717</v>
      </c>
      <c r="F10" s="1892"/>
      <c r="G10" s="1892"/>
      <c r="H10" s="1892"/>
      <c r="I10" s="1507"/>
    </row>
    <row r="11" spans="1:12" ht="13">
      <c r="A11" s="3459"/>
      <c r="B11" s="3446"/>
      <c r="C11" s="3464"/>
      <c r="D11" s="3482"/>
      <c r="E11" s="136" t="s">
        <v>1718</v>
      </c>
      <c r="F11" s="1892"/>
      <c r="G11" s="1892"/>
      <c r="H11" s="1892"/>
      <c r="I11" s="1507"/>
    </row>
    <row r="12" spans="1:12" ht="13">
      <c r="A12" s="3459" t="s">
        <v>1719</v>
      </c>
      <c r="B12" s="3446">
        <v>15</v>
      </c>
      <c r="C12" s="3462"/>
      <c r="D12" s="3482"/>
      <c r="E12" s="136" t="s">
        <v>1720</v>
      </c>
      <c r="F12" s="1892"/>
      <c r="G12" s="1892"/>
      <c r="H12" s="1892"/>
      <c r="I12" s="1507"/>
    </row>
    <row r="13" spans="1:12" ht="13">
      <c r="A13" s="3459"/>
      <c r="B13" s="3446"/>
      <c r="C13" s="3464"/>
      <c r="D13" s="3482"/>
      <c r="E13" s="136" t="s">
        <v>1721</v>
      </c>
      <c r="F13" s="1892"/>
      <c r="G13" s="1892"/>
      <c r="H13" s="1892"/>
      <c r="I13" s="1507"/>
    </row>
    <row r="14" spans="1:12" ht="13">
      <c r="A14" s="3459" t="s">
        <v>1722</v>
      </c>
      <c r="B14" s="3446">
        <v>30</v>
      </c>
      <c r="C14" s="3462">
        <v>6</v>
      </c>
      <c r="D14" s="3482">
        <v>4</v>
      </c>
      <c r="E14" s="136" t="s">
        <v>1723</v>
      </c>
      <c r="F14" s="1892"/>
      <c r="G14" s="1892"/>
      <c r="H14" s="1892"/>
      <c r="I14" s="1507"/>
    </row>
    <row r="15" spans="1:12" ht="13">
      <c r="A15" s="3459"/>
      <c r="B15" s="3446"/>
      <c r="C15" s="3463"/>
      <c r="D15" s="3482"/>
      <c r="E15" s="136" t="s">
        <v>1724</v>
      </c>
      <c r="F15" s="1892"/>
      <c r="G15" s="1892"/>
      <c r="H15" s="1892"/>
      <c r="I15" s="1507"/>
    </row>
    <row r="16" spans="1:12" ht="13">
      <c r="A16" s="3459"/>
      <c r="B16" s="3446"/>
      <c r="C16" s="3464"/>
      <c r="D16" s="3482"/>
      <c r="E16" s="136" t="s">
        <v>1725</v>
      </c>
      <c r="F16" s="1892"/>
      <c r="G16" s="1892"/>
      <c r="H16" s="1892"/>
      <c r="I16" s="1507"/>
    </row>
    <row r="17" spans="1:36" ht="14">
      <c r="A17" s="1893" t="s">
        <v>1726</v>
      </c>
      <c r="B17" s="60"/>
      <c r="C17" s="137">
        <f>SUM(C5:C16)</f>
        <v>6</v>
      </c>
      <c r="D17" s="137">
        <f>SUM(D5:D16)</f>
        <v>4</v>
      </c>
      <c r="E17" s="134"/>
      <c r="F17" s="134"/>
      <c r="G17" s="134"/>
      <c r="H17" s="134"/>
      <c r="I17" s="134"/>
      <c r="K17" s="308"/>
      <c r="L17" s="308" t="s">
        <v>1727</v>
      </c>
      <c r="M17" s="308" t="s">
        <v>1728</v>
      </c>
    </row>
    <row r="18" spans="1:36" ht="32.15" customHeight="1" thickBot="1">
      <c r="A18" s="1894" t="s">
        <v>1729</v>
      </c>
      <c r="B18" s="1895"/>
      <c r="C18" s="138">
        <f>ROUND(C17/SUM(C17:D17),2)</f>
        <v>0.6</v>
      </c>
      <c r="D18" s="138">
        <f>1-C18</f>
        <v>0.4</v>
      </c>
      <c r="E18" s="3469" t="s">
        <v>2628</v>
      </c>
      <c r="F18" s="3470"/>
      <c r="G18" s="3470"/>
      <c r="H18" s="3470"/>
      <c r="I18" s="3470"/>
      <c r="K18" s="308" t="s">
        <v>1730</v>
      </c>
      <c r="L18" s="308">
        <f>IF(C1="",'数据-汇总表'!E3,SUMIF(项目类型,C1,'数据-汇总表'!E17:E26)+SUMIF(项目类型,C1,'数据-汇总表'!I17:I26))</f>
        <v>2640.82</v>
      </c>
      <c r="M18" s="308">
        <f>IF(C1="",'数据-汇总表'!E3,SUMIF(项目类型,C1,'数据-汇总表'!E17:E26))</f>
        <v>2640.82</v>
      </c>
    </row>
    <row r="19" spans="1:36" ht="14">
      <c r="A19" s="1896" t="s">
        <v>1731</v>
      </c>
      <c r="B19" s="1897" t="s">
        <v>1732</v>
      </c>
      <c r="C19" s="139">
        <f ca="1">SUMIF(INDIRECT("'"&amp;C4&amp;"'"&amp;"!A:A"),'结果表(仓储)'!B19,INDIRECT("'"&amp;C4&amp;"'"&amp;"!B:B"))</f>
        <v>7946</v>
      </c>
      <c r="D19" s="140">
        <f ca="1">SUMIF(INDIRECT("'"&amp;D4&amp;"'"&amp;"!A:A"),'结果表(仓储)'!B19,INDIRECT("'"&amp;D4&amp;"'"&amp;"!B:B"))</f>
        <v>5415</v>
      </c>
      <c r="E19" s="1896" t="s">
        <v>1733</v>
      </c>
      <c r="F19" s="1897" t="s">
        <v>1732</v>
      </c>
      <c r="G19" s="141">
        <f ca="1">ROUND(C19*$C$18+D19*$D$18,0)</f>
        <v>6934</v>
      </c>
      <c r="H19" s="1898" t="s">
        <v>1734</v>
      </c>
      <c r="I19" s="134"/>
      <c r="K19" s="308" t="s">
        <v>1735</v>
      </c>
      <c r="L19" s="308">
        <f>IF(C1="",'数据-汇总表'!D3,SUMIF(项目类型,C1,'数据-汇总表'!D17:D26)+SUMIF(项目类型,C1,'数据-汇总表'!H17:H27))</f>
        <v>152.03</v>
      </c>
      <c r="M19" s="308">
        <f>IF(C1="",'数据-汇总表'!D3,SUMIF(项目类型,C1,'数据-汇总表'!D17:D26))</f>
        <v>152.03</v>
      </c>
    </row>
    <row r="20" spans="1:36" ht="14">
      <c r="A20" s="1899"/>
      <c r="B20" s="1137" t="s">
        <v>1736</v>
      </c>
      <c r="C20" s="142">
        <f ca="1">SUMIF(INDIRECT("'"&amp;C4&amp;"'"&amp;"!A:A"),'结果表(仓储)'!B20,INDIRECT("'"&amp;C4&amp;"'"&amp;"!B:B"))</f>
        <v>30089</v>
      </c>
      <c r="D20" s="143">
        <f ca="1">SUMIF(INDIRECT("'"&amp;D4&amp;"'"&amp;"!A:A"),'结果表(仓储)'!B20,INDIRECT("'"&amp;D4&amp;"'"&amp;"!B:B"))</f>
        <v>20505</v>
      </c>
      <c r="E20" s="1899"/>
      <c r="F20" s="1137" t="s">
        <v>1736</v>
      </c>
      <c r="G20" s="144">
        <f ca="1">ROUND(C20*$C$18+D20*$D$18,0)</f>
        <v>26255</v>
      </c>
      <c r="H20" s="897" t="s">
        <v>1737</v>
      </c>
      <c r="I20" s="134"/>
    </row>
    <row r="21" spans="1:36" ht="15" customHeight="1" thickBot="1">
      <c r="A21" s="917"/>
      <c r="B21" s="1900" t="s">
        <v>1738</v>
      </c>
      <c r="C21" s="728">
        <f ca="1">ROUND(C19*10000/L19,0)</f>
        <v>522660</v>
      </c>
      <c r="D21" s="729">
        <f ca="1">ROUND(D19*10000/L19,0)</f>
        <v>356180</v>
      </c>
      <c r="E21" s="917"/>
      <c r="F21" s="1900" t="s">
        <v>1738</v>
      </c>
      <c r="G21" s="145">
        <f ca="1">ROUND(G19*10000/L19,0)</f>
        <v>456094</v>
      </c>
      <c r="H21" s="1901" t="s">
        <v>1737</v>
      </c>
      <c r="I21" s="134"/>
    </row>
    <row r="22" spans="1:36" ht="14.5" thickBot="1">
      <c r="A22" s="1823" t="s">
        <v>1739</v>
      </c>
      <c r="B22" s="1902"/>
      <c r="C22" s="1903"/>
      <c r="D22" s="730">
        <f ca="1">IF(C19&lt;D19,D19/C19-1,C19/D19-1)</f>
        <v>0.46740535549399809</v>
      </c>
      <c r="E22" s="134"/>
      <c r="F22" s="134"/>
      <c r="G22" s="134"/>
      <c r="H22" s="134"/>
      <c r="I22" s="134"/>
    </row>
    <row r="23" spans="1:36" ht="13" thickBot="1">
      <c r="A23" s="1882"/>
      <c r="B23" s="1882"/>
      <c r="C23" s="1882"/>
      <c r="D23" s="1882"/>
      <c r="E23" s="134"/>
      <c r="F23" s="134"/>
      <c r="G23" s="134"/>
      <c r="H23" s="134"/>
      <c r="I23" s="134"/>
    </row>
    <row r="24" spans="1:36" ht="14">
      <c r="A24" s="3453" t="s">
        <v>1740</v>
      </c>
      <c r="B24" s="1897" t="s">
        <v>1732</v>
      </c>
      <c r="C24" s="141">
        <f>IF(B30=0,0,D30)</f>
        <v>0</v>
      </c>
      <c r="D24" s="1904"/>
      <c r="E24" s="134"/>
      <c r="F24" s="134"/>
      <c r="G24" s="134"/>
      <c r="H24" s="134"/>
      <c r="I24" s="134"/>
    </row>
    <row r="25" spans="1:36" ht="14">
      <c r="A25" s="3454"/>
      <c r="B25" s="1137" t="s">
        <v>1736</v>
      </c>
      <c r="C25" s="146">
        <f>IF(B30=0,0,C30)</f>
        <v>0</v>
      </c>
      <c r="D25" s="1905"/>
      <c r="E25" s="134"/>
      <c r="F25" s="134"/>
      <c r="G25" s="134"/>
      <c r="H25" s="134"/>
      <c r="I25" s="134"/>
    </row>
    <row r="26" spans="1:36" ht="13.5" customHeight="1">
      <c r="A26" s="1906" t="s">
        <v>1741</v>
      </c>
      <c r="B26" s="147" t="s">
        <v>1742</v>
      </c>
      <c r="C26" s="147" t="s">
        <v>1743</v>
      </c>
      <c r="D26" s="148" t="s">
        <v>1744</v>
      </c>
      <c r="E26" s="134"/>
      <c r="F26" s="134"/>
      <c r="G26" s="134"/>
      <c r="H26" s="134"/>
      <c r="I26" s="134"/>
    </row>
    <row r="27" spans="1:36" ht="14">
      <c r="A27" s="1906"/>
      <c r="B27" s="147">
        <v>0</v>
      </c>
      <c r="C27" s="147">
        <v>0</v>
      </c>
      <c r="D27" s="148">
        <f>ROUND(C27*B27/10000,0)</f>
        <v>0</v>
      </c>
      <c r="E27" s="134"/>
      <c r="F27" s="134"/>
      <c r="G27" s="134"/>
      <c r="H27" s="134"/>
      <c r="I27" s="134"/>
    </row>
    <row r="28" spans="1:36" ht="14">
      <c r="A28" s="1906"/>
      <c r="B28" s="147"/>
      <c r="C28" s="147"/>
      <c r="D28" s="148"/>
      <c r="E28" s="134"/>
      <c r="F28" s="134"/>
      <c r="G28" s="134"/>
      <c r="H28" s="134"/>
      <c r="I28" s="134"/>
    </row>
    <row r="29" spans="1:36" ht="14">
      <c r="A29" s="1906"/>
      <c r="B29" s="147"/>
      <c r="C29" s="147"/>
      <c r="D29" s="148"/>
      <c r="E29" s="134"/>
      <c r="F29" s="134"/>
      <c r="G29" s="134"/>
      <c r="H29" s="134"/>
      <c r="I29" s="134"/>
    </row>
    <row r="30" spans="1:36" ht="14.5" thickBot="1">
      <c r="A30" s="147" t="s">
        <v>1745</v>
      </c>
      <c r="B30" s="147"/>
      <c r="C30" s="147"/>
      <c r="D30" s="147"/>
      <c r="E30" s="2470" t="s">
        <v>2629</v>
      </c>
      <c r="F30" s="134"/>
      <c r="G30" s="134"/>
      <c r="H30" s="134"/>
      <c r="I30" s="134"/>
    </row>
    <row r="31" spans="1:36" s="2476" customFormat="1" ht="26.5" customHeight="1" thickTop="1" thickBot="1">
      <c r="A31" s="2471"/>
      <c r="B31" s="2472"/>
      <c r="C31" s="2472"/>
      <c r="D31" s="2472"/>
      <c r="E31" s="2472"/>
      <c r="F31" s="2472"/>
      <c r="G31" s="2472"/>
      <c r="H31" s="2472"/>
      <c r="I31" s="2473" t="s">
        <v>2630</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thickTop="1" thickBot="1">
      <c r="A32" s="1908" t="s">
        <v>1746</v>
      </c>
      <c r="B32" s="1909"/>
      <c r="C32" s="149">
        <f ca="1">IF(D32="总价",G19-C24,G20-C25)</f>
        <v>6934</v>
      </c>
      <c r="D32" s="1910" t="s">
        <v>3744</v>
      </c>
      <c r="E32" s="134"/>
      <c r="F32" s="134"/>
      <c r="G32" s="134"/>
      <c r="H32" s="134"/>
      <c r="I32" s="134"/>
    </row>
    <row r="33" spans="1:15" ht="14">
      <c r="A33" s="874" t="s">
        <v>1747</v>
      </c>
      <c r="B33" s="1911"/>
      <c r="C33" s="1912" t="s">
        <v>3745</v>
      </c>
      <c r="D33" s="1913" t="s">
        <v>3755</v>
      </c>
      <c r="E33" s="1914" t="s">
        <v>1748</v>
      </c>
      <c r="F33" s="1915" t="str">
        <f>IF(D32="楼面单价","取值（单价）","取值（总价）")</f>
        <v>取值（总价）</v>
      </c>
      <c r="G33" s="134"/>
      <c r="H33" s="134"/>
      <c r="I33" s="134"/>
    </row>
    <row r="34" spans="1:15" ht="14">
      <c r="A34" s="1916"/>
      <c r="B34" s="1917" t="s">
        <v>1749</v>
      </c>
      <c r="C34" s="153">
        <f ca="1">IF(C33="自定义",F34,C32-C35)</f>
        <v>4715</v>
      </c>
      <c r="D34" s="950">
        <f ca="1">IF(C33="自定义",ROUND(C34/C32,3),IF(C33="收益比率",SUMIF(INDIRECT("'"&amp;D33&amp;"'"&amp;"!b:b"),"土地收益比率",INDIRECT("'"&amp;D33&amp;"'"&amp;"!c:c")),SUMIF(INDIRECT("'"&amp;D33&amp;"'"&amp;"!b:b"),"土地成本比率",INDIRECT("'"&amp;D33&amp;"'"&amp;"!c:c"))))</f>
        <v>0.67999999999999994</v>
      </c>
      <c r="E34" s="1918" t="s">
        <v>1750</v>
      </c>
      <c r="F34" s="1450"/>
      <c r="G34" s="134"/>
      <c r="H34" s="134"/>
      <c r="I34" s="134"/>
    </row>
    <row r="35" spans="1:15" ht="14.5" thickBot="1">
      <c r="A35" s="1919"/>
      <c r="B35" s="1920" t="s">
        <v>1751</v>
      </c>
      <c r="C35" s="1284">
        <f ca="1">IF(C33="自定义",F35,ROUND(C32*D35,0))</f>
        <v>2219</v>
      </c>
      <c r="D35" s="1285">
        <f ca="1">IF(C33="自定义",ROUND(C35/C32,3),IF(C33="收益比率",SUMIF(INDIRECT("'"&amp;D33&amp;"'"&amp;"!b:b"),"建筑物收益比率",INDIRECT("'"&amp;D33&amp;"'"&amp;"!c:c")),SUMIF(INDIRECT("'"&amp;D33&amp;"'"&amp;"!b:b"),"建筑物成本比率",INDIRECT("'"&amp;D33&amp;"'"&amp;"!c:c"))))</f>
        <v>0.32</v>
      </c>
      <c r="E35" s="1921" t="s">
        <v>1752</v>
      </c>
      <c r="F35" s="159"/>
      <c r="G35" s="134"/>
      <c r="H35" s="134"/>
      <c r="I35" s="134"/>
    </row>
    <row r="36" spans="1:15" ht="14.5" thickBot="1">
      <c r="A36" s="3473" t="s">
        <v>1753</v>
      </c>
      <c r="B36" s="1922" t="s">
        <v>1754</v>
      </c>
      <c r="C36" s="150"/>
      <c r="D36" s="1923"/>
      <c r="E36" s="1924"/>
      <c r="F36" s="1925"/>
      <c r="G36" s="134"/>
      <c r="H36" s="134"/>
      <c r="I36" s="134"/>
    </row>
    <row r="37" spans="1:15" ht="14.5" thickBot="1">
      <c r="A37" s="3474"/>
      <c r="B37" s="1809" t="s">
        <v>1755</v>
      </c>
      <c r="C37" s="152"/>
      <c r="D37" s="1253"/>
      <c r="E37" s="1253"/>
      <c r="F37" s="1925"/>
      <c r="G37" s="134"/>
      <c r="H37" s="134"/>
      <c r="I37" s="134"/>
    </row>
    <row r="38" spans="1:15" ht="14.5" thickBot="1">
      <c r="A38" s="3475"/>
      <c r="B38" s="1926" t="s">
        <v>1756</v>
      </c>
      <c r="C38" s="683"/>
      <c r="D38" s="1927" t="s">
        <v>1757</v>
      </c>
      <c r="E38" s="1253"/>
      <c r="F38" s="1925"/>
      <c r="G38" s="134"/>
      <c r="H38" s="134"/>
      <c r="I38" s="134"/>
    </row>
    <row r="39" spans="1:15" ht="14">
      <c r="A39" s="1899" t="s">
        <v>1758</v>
      </c>
      <c r="B39" s="1928" t="s">
        <v>1742</v>
      </c>
      <c r="C39" s="1929" t="s">
        <v>1743</v>
      </c>
      <c r="D39" s="1929" t="s">
        <v>1761</v>
      </c>
      <c r="E39" s="1930" t="s">
        <v>1744</v>
      </c>
      <c r="F39" s="1925"/>
      <c r="G39" s="134"/>
      <c r="H39" s="134"/>
      <c r="I39" s="134"/>
    </row>
    <row r="40" spans="1:15" ht="14">
      <c r="A40" s="1931" t="s">
        <v>1763</v>
      </c>
      <c r="B40" s="154"/>
      <c r="C40" s="155"/>
      <c r="D40" s="155"/>
      <c r="E40" s="156"/>
      <c r="F40" s="1925"/>
      <c r="G40" s="134"/>
      <c r="H40" s="134"/>
      <c r="I40" s="134"/>
    </row>
    <row r="41" spans="1:15" ht="14">
      <c r="A41" s="1931" t="s">
        <v>1764</v>
      </c>
      <c r="B41" s="154"/>
      <c r="C41" s="155"/>
      <c r="D41" s="155"/>
      <c r="E41" s="156"/>
      <c r="F41" s="1925"/>
      <c r="G41" s="134"/>
      <c r="H41" s="134"/>
      <c r="I41" s="134"/>
    </row>
    <row r="42" spans="1:15" ht="14.5" thickBot="1">
      <c r="A42" s="1932"/>
      <c r="B42" s="157"/>
      <c r="C42" s="158"/>
      <c r="D42" s="158"/>
      <c r="E42" s="159"/>
      <c r="F42" s="1925"/>
      <c r="G42" s="134"/>
      <c r="H42" s="134"/>
      <c r="I42" s="134"/>
    </row>
    <row r="43" spans="1:15" ht="12.5">
      <c r="A43" s="1712"/>
      <c r="B43" s="1712"/>
      <c r="C43" s="1712"/>
      <c r="D43" s="1712"/>
      <c r="E43" s="1712"/>
      <c r="F43" s="1933"/>
      <c r="G43" s="1933"/>
      <c r="H43" s="1933"/>
      <c r="I43" s="1934"/>
    </row>
    <row r="44" spans="1:15" ht="18">
      <c r="A44" s="1935" t="s">
        <v>1765</v>
      </c>
      <c r="B44" s="1936"/>
      <c r="C44" s="1936"/>
      <c r="D44" s="1937"/>
      <c r="E44" s="1937"/>
      <c r="F44" s="1938"/>
      <c r="G44" s="1938"/>
      <c r="H44" s="1938"/>
      <c r="I44" s="1938"/>
      <c r="J44" s="1939" t="s">
        <v>1766</v>
      </c>
      <c r="K44" s="1940"/>
      <c r="L44" s="1940"/>
      <c r="M44" s="1940"/>
      <c r="N44" s="1940"/>
      <c r="O44" s="1940"/>
    </row>
    <row r="45" spans="1:15" ht="14.25" customHeight="1" thickBot="1">
      <c r="A45" s="3450" t="s">
        <v>1767</v>
      </c>
      <c r="B45" s="3451"/>
      <c r="C45" s="3452"/>
      <c r="D45" s="160">
        <f ca="1">ROUND(H101*F45,0)</f>
        <v>6934</v>
      </c>
      <c r="E45" s="161" t="s">
        <v>1768</v>
      </c>
      <c r="F45" s="162">
        <v>1</v>
      </c>
      <c r="G45" s="163" t="s">
        <v>1769</v>
      </c>
      <c r="H45" s="134"/>
      <c r="I45" s="134"/>
      <c r="J45" s="3526" t="s">
        <v>1770</v>
      </c>
      <c r="K45" s="3526"/>
      <c r="L45" s="3526"/>
      <c r="M45" s="3526"/>
      <c r="N45" s="3526"/>
      <c r="O45" s="3526"/>
    </row>
    <row r="46" spans="1:15" ht="14.25" customHeight="1">
      <c r="A46" s="3447" t="s">
        <v>1771</v>
      </c>
      <c r="B46" s="3448"/>
      <c r="C46" s="3448"/>
      <c r="D46" s="3448"/>
      <c r="E46" s="3448"/>
      <c r="F46" s="3448"/>
      <c r="G46" s="3449"/>
      <c r="H46" s="1941"/>
      <c r="I46" s="164"/>
      <c r="J46" s="3314">
        <v>1</v>
      </c>
      <c r="K46" s="3507" t="s">
        <v>1772</v>
      </c>
      <c r="L46" s="3507"/>
      <c r="M46" s="3527"/>
      <c r="N46" s="3527"/>
      <c r="O46" s="3527"/>
    </row>
    <row r="47" spans="1:15" ht="12" customHeight="1">
      <c r="A47" s="165" t="s">
        <v>1773</v>
      </c>
      <c r="B47" s="166"/>
      <c r="C47" s="167"/>
      <c r="D47" s="1199" t="s">
        <v>1774</v>
      </c>
      <c r="E47" s="308" t="s">
        <v>1775</v>
      </c>
      <c r="F47" s="168" t="s">
        <v>1776</v>
      </c>
      <c r="G47" s="2718" t="s">
        <v>1777</v>
      </c>
      <c r="H47" s="2719"/>
      <c r="I47" s="164"/>
      <c r="J47" s="3314">
        <v>2</v>
      </c>
      <c r="K47" s="3507" t="s">
        <v>1778</v>
      </c>
      <c r="L47" s="3507"/>
      <c r="M47" s="3528">
        <f>'数据-取费表'!B2</f>
        <v>44691</v>
      </c>
      <c r="N47" s="3528"/>
      <c r="O47" s="3528"/>
    </row>
    <row r="48" spans="1:15" ht="26">
      <c r="A48" s="3478" t="s">
        <v>1779</v>
      </c>
      <c r="B48" s="3461"/>
      <c r="C48" s="3461"/>
      <c r="D48" s="3316" t="b">
        <f>IF(H48="情况1",0,IF(H48="情况2",D52,IF(H48="情况3",D53,IF(H48="情况4",D54))))</f>
        <v>0</v>
      </c>
      <c r="E48" s="3307" t="str">
        <f>IF(H48="情况4","(销售额-原购置价)×税（费）率","销售额×税（费）率")</f>
        <v>销售额×税（费）率</v>
      </c>
      <c r="F48" s="2720">
        <f>IF(H48="情况1","免征",'数据-取费表'!B41)</f>
        <v>5.6000000000000001E-2</v>
      </c>
      <c r="G48" s="2721" t="s">
        <v>1780</v>
      </c>
      <c r="H48" s="2722"/>
      <c r="I48" s="1941"/>
      <c r="J48" s="3314">
        <v>3</v>
      </c>
      <c r="K48" s="3507" t="s">
        <v>1781</v>
      </c>
      <c r="L48" s="3507"/>
      <c r="M48" s="3529">
        <f ca="1">H101</f>
        <v>6934</v>
      </c>
      <c r="N48" s="3529"/>
      <c r="O48" s="3529"/>
    </row>
    <row r="49" spans="1:35" ht="25.5" customHeight="1">
      <c r="A49" s="3311" t="s">
        <v>1782</v>
      </c>
      <c r="B49" s="3445" t="s">
        <v>1783</v>
      </c>
      <c r="C49" s="3445"/>
      <c r="D49" s="1725">
        <v>0</v>
      </c>
      <c r="E49" s="330" t="s">
        <v>1784</v>
      </c>
      <c r="F49" s="3301" t="s">
        <v>34</v>
      </c>
      <c r="G49" s="3513"/>
      <c r="H49" s="2477" t="s">
        <v>2631</v>
      </c>
      <c r="I49" s="2478"/>
      <c r="J49" s="3314">
        <v>4</v>
      </c>
      <c r="K49" s="3507" t="str">
        <f>IF(项目基本情况!E8="房地产抵押价值","房地产抵押价值","抵押担保权已注销时的房地产抵押价值")</f>
        <v>房地产抵押价值</v>
      </c>
      <c r="L49" s="3507"/>
      <c r="M49" s="3529">
        <f ca="1">IF(项目基本情况!E8="房地产抵押价值",H107,H109)</f>
        <v>6934</v>
      </c>
      <c r="N49" s="3529"/>
      <c r="O49" s="3529"/>
    </row>
    <row r="50" spans="1:35" ht="25.5" customHeight="1">
      <c r="A50" s="2723"/>
      <c r="B50" s="3445" t="s">
        <v>1785</v>
      </c>
      <c r="C50" s="3445"/>
      <c r="D50" s="2724"/>
      <c r="E50" s="338"/>
      <c r="F50" s="3301"/>
      <c r="G50" s="3514"/>
      <c r="H50" s="2479" t="s">
        <v>2632</v>
      </c>
      <c r="I50" s="2478"/>
      <c r="J50" s="3526" t="s">
        <v>1786</v>
      </c>
      <c r="K50" s="3526"/>
      <c r="L50" s="3526"/>
      <c r="M50" s="3526"/>
      <c r="N50" s="3526"/>
      <c r="O50" s="3526"/>
    </row>
    <row r="51" spans="1:35" ht="20.5" customHeight="1">
      <c r="A51" s="2725"/>
      <c r="B51" s="3445" t="s">
        <v>1787</v>
      </c>
      <c r="C51" s="3445"/>
      <c r="D51" s="1199"/>
      <c r="E51" s="333"/>
      <c r="F51" s="3301"/>
      <c r="G51" s="3515"/>
      <c r="H51" s="2479" t="s">
        <v>2633</v>
      </c>
      <c r="I51" s="2478"/>
      <c r="J51" s="3313" t="s">
        <v>1788</v>
      </c>
      <c r="K51" s="3507" t="s">
        <v>1789</v>
      </c>
      <c r="L51" s="3507"/>
      <c r="M51" s="3313" t="s">
        <v>1790</v>
      </c>
      <c r="N51" s="3313" t="s">
        <v>1791</v>
      </c>
      <c r="O51" s="3313" t="s">
        <v>1792</v>
      </c>
    </row>
    <row r="52" spans="1:35" ht="24" customHeight="1">
      <c r="A52" s="3306" t="s">
        <v>1793</v>
      </c>
      <c r="B52" s="3445" t="s">
        <v>1794</v>
      </c>
      <c r="C52" s="3445"/>
      <c r="D52" s="1199">
        <f ca="1">ROUND(D45*'数据-取费表'!B41/(1+'数据-取费表'!C42),0)</f>
        <v>370</v>
      </c>
      <c r="E52" s="3307" t="s">
        <v>1795</v>
      </c>
      <c r="F52" s="2726">
        <f>'数据-取费表'!B41</f>
        <v>5.6000000000000001E-2</v>
      </c>
      <c r="G52" s="2727"/>
      <c r="H52" s="2716"/>
      <c r="I52" s="1942"/>
      <c r="J52" s="3314">
        <v>1</v>
      </c>
      <c r="K52" s="3508" t="s">
        <v>1796</v>
      </c>
      <c r="L52" s="3508"/>
      <c r="M52" s="2697" t="b">
        <f>D48</f>
        <v>0</v>
      </c>
      <c r="N52" s="3314" t="str">
        <f>E48</f>
        <v>销售额×税（费）率</v>
      </c>
      <c r="O52" s="2698">
        <f>F48</f>
        <v>5.6000000000000001E-2</v>
      </c>
    </row>
    <row r="53" spans="1:35" ht="12" customHeight="1">
      <c r="A53" s="3306" t="s">
        <v>1797</v>
      </c>
      <c r="B53" s="3471" t="s">
        <v>2788</v>
      </c>
      <c r="C53" s="3472"/>
      <c r="D53" s="1199">
        <f ca="1">ROUND(D45*'数据-取费表'!B41/(1+'数据-取费表'!C42),0)</f>
        <v>370</v>
      </c>
      <c r="E53" s="3307" t="s">
        <v>1795</v>
      </c>
      <c r="F53" s="2726">
        <f>'数据-取费表'!B41</f>
        <v>5.6000000000000001E-2</v>
      </c>
      <c r="G53" s="2727"/>
      <c r="H53" s="2716"/>
      <c r="I53" s="1942"/>
      <c r="J53" s="3314">
        <v>2</v>
      </c>
      <c r="K53" s="3508" t="s">
        <v>1798</v>
      </c>
      <c r="L53" s="3508"/>
      <c r="M53" s="2697">
        <f t="shared" ref="M53:O54" ca="1" si="0">D55</f>
        <v>3</v>
      </c>
      <c r="N53" s="3314" t="str">
        <f t="shared" si="0"/>
        <v>销售额×税（费）率</v>
      </c>
      <c r="O53" s="2698" t="str">
        <f t="shared" si="0"/>
        <v>免征</v>
      </c>
    </row>
    <row r="54" spans="1:35" ht="12" customHeight="1">
      <c r="A54" s="3306" t="s">
        <v>1799</v>
      </c>
      <c r="B54" s="3471" t="s">
        <v>2789</v>
      </c>
      <c r="C54" s="3472"/>
      <c r="D54" s="1199">
        <f ca="1">C68</f>
        <v>370</v>
      </c>
      <c r="E54" s="333" t="s">
        <v>1800</v>
      </c>
      <c r="F54" s="2726">
        <f>'数据-取费表'!B41</f>
        <v>5.6000000000000001E-2</v>
      </c>
      <c r="G54" s="2727"/>
      <c r="H54" s="2728"/>
      <c r="I54" s="1942"/>
      <c r="J54" s="3314">
        <v>3</v>
      </c>
      <c r="K54" s="3508" t="s">
        <v>1801</v>
      </c>
      <c r="L54" s="3508"/>
      <c r="M54" s="2697">
        <f t="shared" ca="1" si="0"/>
        <v>3924</v>
      </c>
      <c r="N54" s="3314" t="str">
        <f t="shared" si="0"/>
        <v>增值额×税（费）率</v>
      </c>
      <c r="O54" s="2699" t="str">
        <f t="shared" si="0"/>
        <v>免征</v>
      </c>
    </row>
    <row r="55" spans="1:35" ht="24" customHeight="1">
      <c r="A55" s="3460" t="s">
        <v>1802</v>
      </c>
      <c r="B55" s="3461"/>
      <c r="C55" s="3461"/>
      <c r="D55" s="3316">
        <f ca="1">IF(H55="个人住宅",0,ROUND(D45*I55,0))</f>
        <v>3</v>
      </c>
      <c r="E55" s="3307" t="s">
        <v>1803</v>
      </c>
      <c r="F55" s="2726" t="str">
        <f>IF(H55="正常",I55,"免征")</f>
        <v>免征</v>
      </c>
      <c r="G55" s="2727"/>
      <c r="H55" s="2722"/>
      <c r="I55" s="170">
        <f>'数据-取费表'!B49</f>
        <v>5.0000000000000001E-4</v>
      </c>
      <c r="J55" s="3314">
        <f>IF(H59="非个人房产","",4)</f>
        <v>4</v>
      </c>
      <c r="K55" s="3508" t="str">
        <f>IF(H59="非个人房产","——","个人所得税")</f>
        <v>个人所得税</v>
      </c>
      <c r="L55" s="3508"/>
      <c r="M55" s="2700">
        <f ca="1">D59</f>
        <v>66</v>
      </c>
      <c r="N55" s="3315" t="str">
        <f>E59</f>
        <v>差额计税</v>
      </c>
      <c r="O55" s="2701">
        <f>F59</f>
        <v>0.01</v>
      </c>
    </row>
    <row r="56" spans="1:35" ht="26">
      <c r="A56" s="3460" t="s">
        <v>1804</v>
      </c>
      <c r="B56" s="3461"/>
      <c r="C56" s="3461"/>
      <c r="D56" s="3316">
        <f ca="1">IF(H56="个人住宅",D57,D58)</f>
        <v>3924</v>
      </c>
      <c r="E56" s="3307" t="s">
        <v>1805</v>
      </c>
      <c r="F56" s="2726" t="str">
        <f>IF(H56="正常",F58,"免征")</f>
        <v>免征</v>
      </c>
      <c r="G56" s="2729" t="s">
        <v>1806</v>
      </c>
      <c r="H56" s="2730"/>
      <c r="I56" s="1943"/>
      <c r="J56" s="3314" t="str">
        <f>IF(项目基本情况!K6="上海银行",IF(J55="",4,J55+1),"")</f>
        <v/>
      </c>
      <c r="K56" s="3531" t="str">
        <f>IF(项目基本情况!K6="上海银行","其他处置费用","")</f>
        <v/>
      </c>
      <c r="L56" s="3532"/>
      <c r="M56" s="2697" t="str">
        <f>IF(项目基本情况!K6="上海银行",M69,"")</f>
        <v/>
      </c>
      <c r="N56" s="3531" t="str">
        <f>IF(项目基本情况!K6="上海银行","包含处置中涉及的律师、诉讼、拍卖、评估等费用","")</f>
        <v/>
      </c>
      <c r="O56" s="3534"/>
    </row>
    <row r="57" spans="1:35" ht="13">
      <c r="A57" s="3306" t="s">
        <v>1782</v>
      </c>
      <c r="B57" s="3471" t="s">
        <v>1807</v>
      </c>
      <c r="C57" s="3472"/>
      <c r="D57" s="1725">
        <v>0</v>
      </c>
      <c r="E57" s="330" t="s">
        <v>1784</v>
      </c>
      <c r="F57" s="308"/>
      <c r="G57" s="2727"/>
      <c r="H57" s="2731"/>
      <c r="I57" s="1943"/>
      <c r="J57" s="3508">
        <f>IF(AND(J55="",J56=""),4,IF(项目基本情况!K6="上海银行",'结果表(仓储)'!J56+1,'结果表(仓储)'!J55+1))</f>
        <v>5</v>
      </c>
      <c r="K57" s="3508" t="s">
        <v>1808</v>
      </c>
      <c r="L57" s="2702" t="s">
        <v>1809</v>
      </c>
      <c r="M57" s="2703"/>
      <c r="N57" s="2704">
        <f ca="1">SUMIF(M52:M56,"&lt;9e307")</f>
        <v>3993</v>
      </c>
      <c r="O57" s="2705"/>
      <c r="P57" s="2864">
        <f ca="1">N57/M49</f>
        <v>0.57585809056821458</v>
      </c>
    </row>
    <row r="58" spans="1:35" ht="26">
      <c r="A58" s="3306" t="s">
        <v>1793</v>
      </c>
      <c r="B58" s="3471" t="s">
        <v>1810</v>
      </c>
      <c r="C58" s="3445"/>
      <c r="D58" s="3316">
        <f ca="1">IF(H58="转让取得",C81,C97)</f>
        <v>3924</v>
      </c>
      <c r="E58" s="3307" t="s">
        <v>1805</v>
      </c>
      <c r="F58" s="308" t="s">
        <v>34</v>
      </c>
      <c r="G58" s="2727"/>
      <c r="H58" s="2730"/>
      <c r="I58" s="1943"/>
      <c r="J58" s="3508"/>
      <c r="K58" s="3508"/>
      <c r="L58" s="2702" t="s">
        <v>1811</v>
      </c>
      <c r="M58" s="2706"/>
      <c r="N58" s="2707" t="str">
        <f ca="1">NUMBERSTRING(INT(N57*10000),2)&amp;"元整"</f>
        <v>叁仟玖佰玖拾叁万元整</v>
      </c>
      <c r="O58" s="2708"/>
    </row>
    <row r="59" spans="1:35" ht="26.5" thickBot="1">
      <c r="A59" s="3511" t="s">
        <v>1812</v>
      </c>
      <c r="B59" s="3512"/>
      <c r="C59" s="3512"/>
      <c r="D59" s="2732">
        <f ca="1">IF(H59="非个人房产","——",IF(H59="个人住宅（满五唯一有凭证）",0,IF(H59="个人其他（无凭证）",ROUND(D45*F59,0),ROUND(C67*F59,0))))</f>
        <v>66</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1806</v>
      </c>
      <c r="H59" s="2481"/>
      <c r="I59" s="2480" t="s">
        <v>2634</v>
      </c>
      <c r="J59" s="3509">
        <f>J57+1</f>
        <v>6</v>
      </c>
      <c r="K59" s="3508" t="s">
        <v>1813</v>
      </c>
      <c r="L59" s="3314" t="s">
        <v>1809</v>
      </c>
      <c r="M59" s="2709"/>
      <c r="N59" s="2710">
        <f ca="1">M49-N57</f>
        <v>2941</v>
      </c>
      <c r="O59" s="2711"/>
    </row>
    <row r="60" spans="1:35" ht="12" customHeight="1">
      <c r="A60" s="1944"/>
      <c r="B60" s="1882"/>
      <c r="C60" s="1882"/>
      <c r="D60" s="1882"/>
      <c r="E60" s="1713"/>
      <c r="F60" s="1943"/>
      <c r="G60" s="1943"/>
      <c r="H60" s="1945"/>
      <c r="I60" s="134"/>
      <c r="J60" s="3510"/>
      <c r="K60" s="3508"/>
      <c r="L60" s="2702" t="s">
        <v>1811</v>
      </c>
      <c r="M60" s="2706"/>
      <c r="N60" s="2707" t="str">
        <f ca="1">NUMBERSTRING(INT(N59*10000),2)&amp;"元整"</f>
        <v>贰仟玖佰肆拾壹万元整</v>
      </c>
      <c r="O60" s="2708"/>
    </row>
    <row r="61" spans="1:35" ht="13.5" thickBot="1">
      <c r="A61" s="3458" t="s">
        <v>1814</v>
      </c>
      <c r="B61" s="3458"/>
      <c r="C61" s="3458"/>
      <c r="D61" s="3458"/>
      <c r="E61" s="3458"/>
      <c r="F61" s="1943"/>
      <c r="G61" s="1943"/>
      <c r="H61" s="1945"/>
      <c r="I61" s="134"/>
      <c r="J61" s="3314">
        <f>J59+1</f>
        <v>7</v>
      </c>
      <c r="K61" s="3508" t="s">
        <v>1815</v>
      </c>
      <c r="L61" s="3508"/>
      <c r="M61" s="2712"/>
      <c r="N61" s="2713">
        <f ca="1">ROUND(N59*10000/'数据-汇总表'!E3,0)</f>
        <v>298</v>
      </c>
      <c r="O61" s="2714"/>
    </row>
    <row r="62" spans="1:35" ht="13">
      <c r="A62" s="3476" t="s">
        <v>1816</v>
      </c>
      <c r="B62" s="3477"/>
      <c r="C62" s="3310"/>
      <c r="D62" s="3310" t="s">
        <v>1817</v>
      </c>
      <c r="E62" s="171" t="s">
        <v>1818</v>
      </c>
      <c r="F62" s="1943"/>
      <c r="G62" s="1943"/>
      <c r="H62" s="1945"/>
      <c r="I62" s="134"/>
    </row>
    <row r="63" spans="1:35" ht="13">
      <c r="A63" s="178" t="s">
        <v>594</v>
      </c>
      <c r="B63" s="172" t="s">
        <v>1819</v>
      </c>
      <c r="C63" s="2736">
        <f ca="1">ROUND((C64+C65)/(1+'数据-取费表'!C42),0)</f>
        <v>6604</v>
      </c>
      <c r="D63" s="172"/>
      <c r="E63" s="173"/>
      <c r="F63" s="1943"/>
      <c r="G63" s="1943"/>
      <c r="H63" s="1945"/>
      <c r="I63" s="134"/>
      <c r="J63" s="3533" t="s">
        <v>1820</v>
      </c>
      <c r="K63" s="3317" t="s">
        <v>1821</v>
      </c>
      <c r="L63" s="3317">
        <f ca="1">IF(M49&gt;10000,M49*0.5%,IF(AND(M49&gt;1000,M49&lt;=10000),M49*1%,IF(AND(M49&gt;100,M49&lt;=1000),M49*3%,IF(AND(M49&gt;10,M49&lt;=100),M49*5%,M49*8%))))</f>
        <v>69.34</v>
      </c>
      <c r="M63" s="308">
        <f ca="1">ROUND(L63,1)</f>
        <v>69.3</v>
      </c>
      <c r="N63" s="2715"/>
      <c r="Z63" s="1887"/>
      <c r="AI63" s="1888"/>
    </row>
    <row r="64" spans="1:35" ht="14.25" customHeight="1">
      <c r="A64" s="174" t="s">
        <v>589</v>
      </c>
      <c r="B64" s="175" t="s">
        <v>1822</v>
      </c>
      <c r="C64" s="2737">
        <f ca="1">D45</f>
        <v>6934</v>
      </c>
      <c r="D64" s="175" t="s">
        <v>32</v>
      </c>
      <c r="E64" s="177"/>
      <c r="F64" s="1943"/>
      <c r="G64" s="1943"/>
      <c r="H64" s="1945"/>
      <c r="I64" s="134"/>
      <c r="J64" s="3533"/>
      <c r="K64" s="3317" t="s">
        <v>1823</v>
      </c>
      <c r="L64" s="3317">
        <f ca="1">IF(M49&gt;2000,M49*0.5%,IF(AND(M49&gt;1000,M49&lt;=2000),M49*0.6%,IF(AND(M49&gt;500,M49&lt;=1000),M49*0.7%,IF(AND(M49&gt;200,M49&lt;=500),M49*0.8%,IF(AND(M49&gt;100,M49&lt;=200),M49*0.9%,IF(AND(M49&gt;50,M49&lt;=100),M49*1%,IF(AND(M49&gt;20,M49&lt;=50),M49*1.5%,IF(AND(M49&gt;10,M49&lt;=20),M49*2%,IF(AND(M49&gt;1,M49&lt;=10),M49*2.5%)))))))))</f>
        <v>34.67</v>
      </c>
      <c r="M64" s="308">
        <f t="shared" ref="M64:M65" ca="1" si="1">ROUND(L64,1)</f>
        <v>34.700000000000003</v>
      </c>
      <c r="N64" s="2716" t="s">
        <v>1824</v>
      </c>
      <c r="Z64" s="1887"/>
      <c r="AI64" s="1888"/>
    </row>
    <row r="65" spans="1:35" ht="14.25" customHeight="1">
      <c r="A65" s="174" t="s">
        <v>590</v>
      </c>
      <c r="B65" s="175" t="s">
        <v>1825</v>
      </c>
      <c r="C65" s="2738"/>
      <c r="D65" s="175"/>
      <c r="E65" s="177"/>
      <c r="F65" s="1943"/>
      <c r="G65" s="1943"/>
      <c r="H65" s="1945"/>
      <c r="I65" s="134"/>
      <c r="J65" s="3533"/>
      <c r="K65" s="3317" t="s">
        <v>1826</v>
      </c>
      <c r="L65" s="3317">
        <f ca="1">IF(M49&gt;1000,M49*0.1%,IF(AND(M49&gt;500,M49&lt;=1000),M49*0.5%,IF(AND(M49&gt;50,M49&lt;=500),M49*1%,IF(AND(M49&gt;1,M49&lt;=50),M49*1.5%))))</f>
        <v>6.9340000000000002</v>
      </c>
      <c r="M65" s="308">
        <f t="shared" ca="1" si="1"/>
        <v>6.9</v>
      </c>
      <c r="N65" s="2716" t="s">
        <v>1824</v>
      </c>
      <c r="Z65" s="1887"/>
      <c r="AI65" s="1888"/>
    </row>
    <row r="66" spans="1:35" ht="14.25" customHeight="1">
      <c r="A66" s="178" t="s">
        <v>591</v>
      </c>
      <c r="B66" s="179" t="s">
        <v>1827</v>
      </c>
      <c r="C66" s="2739"/>
      <c r="D66" s="179" t="s">
        <v>32</v>
      </c>
      <c r="E66" s="1459" t="s">
        <v>1092</v>
      </c>
      <c r="F66" s="1943"/>
      <c r="G66" s="1943"/>
      <c r="H66" s="1945"/>
      <c r="I66" s="134"/>
      <c r="J66" s="3533"/>
      <c r="K66" s="3317" t="s">
        <v>1828</v>
      </c>
      <c r="L66" s="3317">
        <f ca="1">M49*0.5%</f>
        <v>34.67</v>
      </c>
      <c r="M66" s="308">
        <f ca="1">IF(L66&gt;0.5,0.5,ROUND(L66,0))</f>
        <v>0.5</v>
      </c>
      <c r="N66" s="2716" t="s">
        <v>1829</v>
      </c>
      <c r="Z66" s="1887"/>
      <c r="AI66" s="1888"/>
    </row>
    <row r="67" spans="1:35" ht="14.25" customHeight="1">
      <c r="A67" s="178" t="s">
        <v>592</v>
      </c>
      <c r="B67" s="179" t="s">
        <v>1830</v>
      </c>
      <c r="C67" s="2740">
        <f ca="1">C63-C66</f>
        <v>6604</v>
      </c>
      <c r="D67" s="175" t="s">
        <v>32</v>
      </c>
      <c r="E67" s="177"/>
      <c r="F67" s="1943"/>
      <c r="G67" s="1943"/>
      <c r="H67" s="1945"/>
      <c r="I67" s="134"/>
      <c r="J67" s="3533"/>
      <c r="K67" s="3317" t="s">
        <v>1831</v>
      </c>
      <c r="L67" s="3317">
        <f ca="1">IF(M49&gt;=10000,(8.25+(M49-10000)*0.01%),IF(AND(M49&gt;=8000,M49&lt;10000),(7.85+(M49-8000)*0.02%),IF(AND(M49&gt;=5000,M49&lt;8000),(6.65+(M49-5000)*0.04%),IF(AND(M49&gt;=2000,M49&lt;5000),(4.25+(PM49-2000)*0.08%),IF(AND(M49&gt;=1000,M49&lt;2000),(2.75+(M49-1000)*0.15%),IF(AND(M49&gt;=100,M49&lt;1000),(0.5+(M49-100)*0.25%),IF(AND(M49&gt;0,M49&lt;100),M49*0.5%)))))))</f>
        <v>7.4236000000000004</v>
      </c>
      <c r="M67" s="308">
        <f ca="1">ROUND(L67*0.9,1)</f>
        <v>6.7</v>
      </c>
      <c r="N67" s="2715"/>
      <c r="Z67" s="1887"/>
      <c r="AI67" s="1888"/>
    </row>
    <row r="68" spans="1:35" ht="14.25" customHeight="1" thickBot="1">
      <c r="A68" s="181" t="s">
        <v>593</v>
      </c>
      <c r="B68" s="182" t="s">
        <v>1832</v>
      </c>
      <c r="C68" s="2741">
        <f ca="1">IF(C67&lt;=0,0,ROUND(C67*D68,0))</f>
        <v>370</v>
      </c>
      <c r="D68" s="2742">
        <f>'数据-取费表'!B41</f>
        <v>5.6000000000000001E-2</v>
      </c>
      <c r="E68" s="184"/>
      <c r="F68" s="1943"/>
      <c r="G68" s="1943"/>
      <c r="H68" s="1945"/>
      <c r="I68" s="134"/>
      <c r="J68" s="3533"/>
      <c r="K68" s="3317" t="s">
        <v>1833</v>
      </c>
      <c r="L68" s="3317">
        <f ca="1">IF(M49&gt;10000,M49*0.5%,IF(AND(M49&gt;5000,M49&lt;=10000),M49*1%,IF(AND(M49&gt;1000,M49&lt;=5000),M49*2%,IF(AND(M49&gt;200,M49&lt;=1000),M49*3%,M49*5%))))</f>
        <v>69.34</v>
      </c>
      <c r="M68" s="308">
        <f ca="1">ROUND(L68,1)</f>
        <v>69.3</v>
      </c>
      <c r="N68" s="2715"/>
      <c r="Z68" s="1887"/>
      <c r="AI68" s="1888"/>
    </row>
    <row r="69" spans="1:35" s="1907" customFormat="1" ht="16.5" customHeight="1">
      <c r="A69" s="1946"/>
      <c r="B69" s="1947"/>
      <c r="C69" s="1948"/>
      <c r="D69" s="1949"/>
      <c r="E69" s="1950"/>
      <c r="F69" s="1713"/>
      <c r="G69" s="1713"/>
      <c r="H69" s="1712"/>
      <c r="I69" s="1882"/>
      <c r="J69" s="3533"/>
      <c r="K69" s="3317" t="s">
        <v>1834</v>
      </c>
      <c r="L69" s="3317"/>
      <c r="M69" s="308">
        <f ca="1">ROUND(SUM(M63:M68),0)</f>
        <v>187</v>
      </c>
      <c r="N69" s="2717">
        <f ca="1">M69/M49</f>
        <v>2.6968560715315833E-2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4.5" thickBot="1">
      <c r="A70" s="3495" t="s">
        <v>1835</v>
      </c>
      <c r="B70" s="3496"/>
      <c r="C70" s="3496"/>
      <c r="D70" s="3496"/>
      <c r="E70" s="3496"/>
      <c r="F70" s="3496"/>
      <c r="G70" s="3496"/>
      <c r="H70" s="3496"/>
      <c r="I70" s="1951"/>
      <c r="J70" s="2865"/>
      <c r="K70" s="2865"/>
      <c r="L70" s="2865"/>
      <c r="M70" s="2865"/>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
      <c r="A71" s="3476" t="s">
        <v>1816</v>
      </c>
      <c r="B71" s="3477"/>
      <c r="C71" s="3310"/>
      <c r="D71" s="3310" t="s">
        <v>1817</v>
      </c>
      <c r="E71" s="185" t="s">
        <v>1818</v>
      </c>
      <c r="F71" s="186"/>
      <c r="G71" s="186"/>
      <c r="H71" s="187"/>
      <c r="I71" s="1955"/>
      <c r="J71" s="2865"/>
      <c r="K71" s="2865"/>
      <c r="L71" s="2865"/>
      <c r="M71" s="2865"/>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
      <c r="A72" s="178" t="s">
        <v>594</v>
      </c>
      <c r="B72" s="179" t="s">
        <v>1836</v>
      </c>
      <c r="C72" s="2740">
        <f ca="1">ROUND(D45/(1+'数据-取费表'!C42),0)</f>
        <v>6604</v>
      </c>
      <c r="D72" s="175" t="s">
        <v>32</v>
      </c>
      <c r="E72" s="3309"/>
      <c r="F72" s="3302"/>
      <c r="G72" s="3302"/>
      <c r="H72" s="188"/>
      <c r="I72" s="1955"/>
      <c r="J72" s="2865"/>
      <c r="K72" s="2865"/>
      <c r="L72" s="2865"/>
      <c r="M72" s="2865"/>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
      <c r="A73" s="178" t="s">
        <v>591</v>
      </c>
      <c r="B73" s="168" t="s">
        <v>1837</v>
      </c>
      <c r="C73" s="2740">
        <f ca="1">C74+C78</f>
        <v>40</v>
      </c>
      <c r="D73" s="175" t="s">
        <v>32</v>
      </c>
      <c r="E73" s="3309"/>
      <c r="F73" s="3302"/>
      <c r="G73" s="33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6">
      <c r="A74" s="174" t="s">
        <v>589</v>
      </c>
      <c r="B74" s="175" t="s">
        <v>1838</v>
      </c>
      <c r="C74" s="175">
        <f>ROUND(IF(G77="2016年5月1日后购买",C75/(1+'数据-取费表'!C42)+C76+C77,C75+C76+C77),0)</f>
        <v>0</v>
      </c>
      <c r="D74" s="175" t="s">
        <v>32</v>
      </c>
      <c r="E74" s="3309"/>
      <c r="F74" s="3302"/>
      <c r="G74" s="33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
      <c r="A75" s="174" t="s">
        <v>595</v>
      </c>
      <c r="B75" s="175" t="s">
        <v>1839</v>
      </c>
      <c r="C75" s="2743"/>
      <c r="D75" s="175" t="s">
        <v>32</v>
      </c>
      <c r="E75" s="190" t="s">
        <v>1840</v>
      </c>
      <c r="F75" s="2744"/>
      <c r="G75" s="190" t="s">
        <v>1841</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1842</v>
      </c>
      <c r="C76" s="175">
        <f>IF(F75="购房发票",ROUND(C75*H75*D76,0),0)</f>
        <v>0</v>
      </c>
      <c r="D76" s="2746">
        <v>0.05</v>
      </c>
      <c r="E76" s="3471" t="s">
        <v>1843</v>
      </c>
      <c r="F76" s="3445"/>
      <c r="G76" s="3445"/>
      <c r="H76" s="3494"/>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1844</v>
      </c>
      <c r="C77" s="175">
        <f>ROUND(IF(G77="个人住宅",0,IF(G77="2016年5月1日前购买",C75*D77,C75*D77/(1+'数据-取费表'!C42))),0)</f>
        <v>0</v>
      </c>
      <c r="D77" s="2747">
        <f>'数据-取费表'!B48+'数据-取费表'!B49</f>
        <v>3.0499999999999999E-2</v>
      </c>
      <c r="E77" s="3316" t="s">
        <v>1845</v>
      </c>
      <c r="F77" s="192"/>
      <c r="G77" s="1957"/>
      <c r="H77" s="3312"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1846</v>
      </c>
      <c r="C78" s="2748">
        <f ca="1">ROUND(D45*D78/(1+'数据-取费表'!C42),0)</f>
        <v>40</v>
      </c>
      <c r="D78" s="2749">
        <f>'数据-取费表'!B43</f>
        <v>6.000000000000001E-3</v>
      </c>
      <c r="E78" s="3455" t="s">
        <v>1847</v>
      </c>
      <c r="F78" s="3456"/>
      <c r="G78" s="3456"/>
      <c r="H78" s="3465"/>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
      <c r="A79" s="178" t="s">
        <v>592</v>
      </c>
      <c r="B79" s="179" t="s">
        <v>1848</v>
      </c>
      <c r="C79" s="2740">
        <f ca="1">C72-C73</f>
        <v>6564</v>
      </c>
      <c r="D79" s="175" t="s">
        <v>32</v>
      </c>
      <c r="E79" s="3309"/>
      <c r="F79" s="3302"/>
      <c r="G79" s="33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6">
      <c r="A80" s="178" t="s">
        <v>599</v>
      </c>
      <c r="B80" s="179" t="s">
        <v>1849</v>
      </c>
      <c r="C80" s="2750">
        <f ca="1">IF(C79&lt;=0,0,C79/C73)</f>
        <v>164.1</v>
      </c>
      <c r="D80" s="175" t="s">
        <v>32</v>
      </c>
      <c r="E80" s="3316" t="str">
        <f ca="1">IF(C80&gt;=200%,"增值额超过扣除项目金额200%",IF(C80&gt;=100%,"增值额超过扣除项目金额100%，未超过200%",IF(C80&gt;=50%,"增值额超过扣除项目金额50%，未超过100%",IF(C80&lt;50%,"增值额未超过扣除项目金额50%"))))</f>
        <v>增值额超过扣除项目金额200%</v>
      </c>
      <c r="F80" s="3302"/>
      <c r="G80" s="33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6.5" thickBot="1">
      <c r="A81" s="181" t="s">
        <v>600</v>
      </c>
      <c r="B81" s="182" t="s">
        <v>1850</v>
      </c>
      <c r="C81" s="2751">
        <f ca="1">ROUND(IF(C79&lt;=0,0,IF(C80&gt;=200%,C79*60%-C73*35%,IF(C80&gt;=100%,C79*50%-C73*15%,IF(C80&gt;=50%,C79*40%-C73*5%,IF(C80&lt;50%,C79*30%,0))))),0)</f>
        <v>3924</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4.5" thickBot="1">
      <c r="A83" s="3495" t="s">
        <v>1851</v>
      </c>
      <c r="B83" s="3496"/>
      <c r="C83" s="3496"/>
      <c r="D83" s="3496"/>
      <c r="E83" s="3496"/>
      <c r="F83" s="3496"/>
      <c r="G83" s="3496"/>
      <c r="H83" s="3496"/>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
      <c r="A84" s="3476" t="s">
        <v>1816</v>
      </c>
      <c r="B84" s="3477"/>
      <c r="C84" s="3310"/>
      <c r="D84" s="3310" t="s">
        <v>1817</v>
      </c>
      <c r="E84" s="185" t="s">
        <v>1818</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
      <c r="A85" s="178" t="s">
        <v>594</v>
      </c>
      <c r="B85" s="179" t="s">
        <v>1836</v>
      </c>
      <c r="C85" s="2740">
        <f ca="1">ROUND(D45/(1+'数据-取费表'!C42),0)</f>
        <v>6604</v>
      </c>
      <c r="D85" s="175" t="s">
        <v>32</v>
      </c>
      <c r="E85" s="3309"/>
      <c r="F85" s="3302"/>
      <c r="G85" s="33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
      <c r="A86" s="178" t="s">
        <v>591</v>
      </c>
      <c r="B86" s="168" t="s">
        <v>1837</v>
      </c>
      <c r="C86" s="2740">
        <f ca="1">IF(H88="仅含出让金",C87+C90+C91+C92+C93+C94,C87+C91+C92+C93+C94)</f>
        <v>40</v>
      </c>
      <c r="D86" s="2753"/>
      <c r="E86" s="3309"/>
      <c r="F86" s="3302"/>
      <c r="G86" s="33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
      <c r="A87" s="174" t="s">
        <v>589</v>
      </c>
      <c r="B87" s="175" t="s">
        <v>1852</v>
      </c>
      <c r="C87" s="2748">
        <f>C88+C89</f>
        <v>0</v>
      </c>
      <c r="D87" s="2749"/>
      <c r="E87" s="3303"/>
      <c r="F87" s="3304"/>
      <c r="G87" s="3304"/>
      <c r="H87" s="3308"/>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
      <c r="A88" s="174" t="s">
        <v>595</v>
      </c>
      <c r="B88" s="175" t="s">
        <v>1853</v>
      </c>
      <c r="C88" s="2754"/>
      <c r="D88" s="2749"/>
      <c r="E88" s="199" t="s">
        <v>1854</v>
      </c>
      <c r="F88" s="3304"/>
      <c r="G88" s="200" t="s">
        <v>1855</v>
      </c>
      <c r="H88" s="1959"/>
      <c r="I88" s="1956"/>
      <c r="J88" s="2693" t="s">
        <v>2785</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
      <c r="A89" s="174" t="s">
        <v>596</v>
      </c>
      <c r="B89" s="175" t="s">
        <v>1844</v>
      </c>
      <c r="C89" s="2748">
        <f>ROUND(C88*D89,0)</f>
        <v>0</v>
      </c>
      <c r="D89" s="2749">
        <f>'数据-取费表'!B48+'数据-取费表'!B49</f>
        <v>3.0499999999999999E-2</v>
      </c>
      <c r="E89" s="199" t="s">
        <v>1856</v>
      </c>
      <c r="F89" s="3304"/>
      <c r="G89" s="3304"/>
      <c r="H89" s="3308"/>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
      <c r="A90" s="174" t="s">
        <v>590</v>
      </c>
      <c r="B90" s="175" t="s">
        <v>1857</v>
      </c>
      <c r="C90" s="2754"/>
      <c r="D90" s="2749"/>
      <c r="E90" s="199" t="str">
        <f>IF(H88="-","土地取得成本中已包含该笔费用"," ")</f>
        <v xml:space="preserve"> </v>
      </c>
      <c r="F90" s="3304"/>
      <c r="G90" s="3535" t="s">
        <v>2626</v>
      </c>
      <c r="H90" s="3536"/>
      <c r="I90" s="1956"/>
      <c r="J90" s="2693" t="s">
        <v>2786</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1858</v>
      </c>
      <c r="B91" s="175" t="s">
        <v>1859</v>
      </c>
      <c r="C91" s="2748">
        <f>IF(H91="——",成本法!C33,I91)</f>
        <v>0</v>
      </c>
      <c r="D91" s="2749"/>
      <c r="E91" s="3455" t="s">
        <v>1860</v>
      </c>
      <c r="F91" s="3456"/>
      <c r="G91" s="3456"/>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1861</v>
      </c>
      <c r="B92" s="175" t="s">
        <v>1862</v>
      </c>
      <c r="C92" s="2748">
        <f>ROUND((C87+C90+C91)*D92,0)</f>
        <v>0</v>
      </c>
      <c r="D92" s="2755"/>
      <c r="E92" s="3455" t="s">
        <v>1863</v>
      </c>
      <c r="F92" s="3456"/>
      <c r="G92" s="3456"/>
      <c r="H92" s="3465"/>
      <c r="I92" s="1956"/>
      <c r="J92" s="2694" t="s">
        <v>2787</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1864</v>
      </c>
      <c r="B93" s="175" t="s">
        <v>1846</v>
      </c>
      <c r="C93" s="2748">
        <f ca="1">ROUND(D45*D93/(1+'数据-取费表'!C42),0)</f>
        <v>40</v>
      </c>
      <c r="D93" s="2749">
        <f>'数据-取费表'!B43</f>
        <v>6.000000000000001E-3</v>
      </c>
      <c r="E93" s="3455" t="s">
        <v>1847</v>
      </c>
      <c r="F93" s="3456"/>
      <c r="G93" s="3456"/>
      <c r="H93" s="3465"/>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1865</v>
      </c>
      <c r="B94" s="175" t="s">
        <v>1866</v>
      </c>
      <c r="C94" s="2754">
        <f>ROUND((C87+C90+C91)*D94,0)</f>
        <v>0</v>
      </c>
      <c r="D94" s="2749">
        <v>0.2</v>
      </c>
      <c r="E94" s="3466" t="s">
        <v>1867</v>
      </c>
      <c r="F94" s="3467"/>
      <c r="G94" s="3467"/>
      <c r="H94" s="3468"/>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
      <c r="A95" s="178" t="s">
        <v>592</v>
      </c>
      <c r="B95" s="179" t="s">
        <v>1848</v>
      </c>
      <c r="C95" s="2740">
        <f ca="1">ROUND(C85-C86,0)</f>
        <v>6564</v>
      </c>
      <c r="D95" s="175" t="s">
        <v>32</v>
      </c>
      <c r="E95" s="3309"/>
      <c r="F95" s="3302"/>
      <c r="G95" s="33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6">
      <c r="A96" s="178" t="s">
        <v>599</v>
      </c>
      <c r="B96" s="179" t="s">
        <v>1849</v>
      </c>
      <c r="C96" s="2750">
        <f ca="1">IF(C95&lt;=0,0,C95/C86)</f>
        <v>164.1</v>
      </c>
      <c r="D96" s="175" t="s">
        <v>32</v>
      </c>
      <c r="E96" s="3316" t="str">
        <f ca="1">IF(C96&gt;=200%,"增值额超过扣除项目金额200%",IF(C96&gt;=100%,"增值额超过扣除项目金额100%，未超过200%",IF(C96&gt;=50%,"增值额超过扣除项目金额50%，未超过100%",IF(C96&lt;50%,"增值额未超过扣除项目金额50%"))))</f>
        <v>增值额超过扣除项目金额200%</v>
      </c>
      <c r="F96" s="3302"/>
      <c r="G96" s="33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6.5" thickBot="1">
      <c r="A97" s="181" t="s">
        <v>600</v>
      </c>
      <c r="B97" s="182" t="s">
        <v>1850</v>
      </c>
      <c r="C97" s="2751">
        <f ca="1">ROUND(IF(C95&lt;=0,0,IF(C96&gt;=200%,C95*60%-C86*35%,IF(C96&gt;=100%,C95*50%-C86*15%,IF(C96&gt;=50%,C95*40%-C86*5%,IF(C96&lt;50%,C95*30%,0))))),0)</f>
        <v>3924</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1868</v>
      </c>
      <c r="B99" s="1882"/>
      <c r="C99" s="1882"/>
      <c r="D99" s="1882"/>
      <c r="E99" s="1713"/>
      <c r="F99" s="1713"/>
      <c r="G99" s="1713"/>
      <c r="H99" s="1712"/>
      <c r="I99" s="134"/>
    </row>
    <row r="100" spans="1:35" ht="18.75" customHeight="1">
      <c r="A100" s="3428" t="s">
        <v>1869</v>
      </c>
      <c r="B100" s="3429"/>
      <c r="C100" s="3429"/>
      <c r="D100" s="3457"/>
      <c r="E100" s="3429" t="s">
        <v>1870</v>
      </c>
      <c r="F100" s="3429"/>
      <c r="G100" s="3429"/>
      <c r="H100" s="3457"/>
      <c r="I100" s="134"/>
    </row>
    <row r="101" spans="1:35" ht="18.75" customHeight="1">
      <c r="A101" s="3516" t="s">
        <v>1871</v>
      </c>
      <c r="B101" s="3517"/>
      <c r="C101" s="2757" t="str">
        <f>C4</f>
        <v>收益法(仓储)</v>
      </c>
      <c r="D101" s="2758" t="str">
        <f>D4</f>
        <v>成本法 (仓储)</v>
      </c>
      <c r="E101" s="3530" t="s">
        <v>1872</v>
      </c>
      <c r="F101" s="3489"/>
      <c r="G101" s="1962" t="s">
        <v>1873</v>
      </c>
      <c r="H101" s="2767">
        <f ca="1">H118</f>
        <v>6934</v>
      </c>
      <c r="I101" s="134"/>
    </row>
    <row r="102" spans="1:35" ht="18.75" customHeight="1">
      <c r="A102" s="3491" t="s">
        <v>1874</v>
      </c>
      <c r="B102" s="2756" t="s">
        <v>1873</v>
      </c>
      <c r="C102" s="2757">
        <f ca="1">C19</f>
        <v>7946</v>
      </c>
      <c r="D102" s="2758">
        <f ca="1">D19</f>
        <v>5415</v>
      </c>
      <c r="E102" s="3530"/>
      <c r="F102" s="3489"/>
      <c r="G102" s="1962" t="s">
        <v>1875</v>
      </c>
      <c r="H102" s="2727">
        <f ca="1">I118</f>
        <v>26257</v>
      </c>
      <c r="I102" s="134"/>
    </row>
    <row r="103" spans="1:35" ht="42.75" customHeight="1">
      <c r="A103" s="3491"/>
      <c r="B103" s="2756" t="s">
        <v>1875</v>
      </c>
      <c r="C103" s="2759">
        <f ca="1">C20</f>
        <v>30089</v>
      </c>
      <c r="D103" s="2760">
        <f ca="1">D20</f>
        <v>20505</v>
      </c>
      <c r="E103" s="3524" t="s">
        <v>1876</v>
      </c>
      <c r="F103" s="3525"/>
      <c r="G103" s="1963" t="s">
        <v>1877</v>
      </c>
      <c r="H103" s="2767">
        <f>IF(D36="正常操作",H104+H105+H106,H105+H106)</f>
        <v>0</v>
      </c>
      <c r="I103" s="134"/>
    </row>
    <row r="104" spans="1:35" ht="18.75" customHeight="1">
      <c r="A104" s="3491" t="s">
        <v>1878</v>
      </c>
      <c r="B104" s="2761" t="s">
        <v>1873</v>
      </c>
      <c r="C104" s="2762">
        <f ca="1">H118</f>
        <v>6934</v>
      </c>
      <c r="D104" s="2763"/>
      <c r="E104" s="1809" t="s">
        <v>1879</v>
      </c>
      <c r="F104" s="1801"/>
      <c r="G104" s="1963" t="s">
        <v>1877</v>
      </c>
      <c r="H104" s="2768">
        <f>IF(D36="同一抵押权人同一抵押物续贷",C36&amp;"（续贷，未扣减，详见特别提示）",C36)</f>
        <v>0</v>
      </c>
      <c r="I104" s="134"/>
    </row>
    <row r="105" spans="1:35" ht="18.75" customHeight="1" thickBot="1">
      <c r="A105" s="3492"/>
      <c r="B105" s="2764" t="s">
        <v>1875</v>
      </c>
      <c r="C105" s="2765">
        <f ca="1">I118</f>
        <v>26257</v>
      </c>
      <c r="D105" s="2766"/>
      <c r="E105" s="1809" t="s">
        <v>1880</v>
      </c>
      <c r="F105" s="1801"/>
      <c r="G105" s="1963" t="s">
        <v>1877</v>
      </c>
      <c r="H105" s="2769">
        <f>C37</f>
        <v>0</v>
      </c>
      <c r="I105" s="134"/>
    </row>
    <row r="106" spans="1:35" ht="18.75" customHeight="1">
      <c r="A106" s="1882" t="s">
        <v>1881</v>
      </c>
      <c r="B106" s="1882"/>
      <c r="C106" s="1882"/>
      <c r="D106" s="1882"/>
      <c r="E106" s="1964" t="s">
        <v>1882</v>
      </c>
      <c r="F106" s="1801"/>
      <c r="G106" s="1963" t="s">
        <v>1877</v>
      </c>
      <c r="H106" s="2769">
        <f>C38</f>
        <v>0</v>
      </c>
      <c r="I106" s="134"/>
    </row>
    <row r="107" spans="1:35" ht="18.75" customHeight="1">
      <c r="A107" s="134"/>
      <c r="B107" s="134"/>
      <c r="C107" s="134"/>
      <c r="D107" s="134"/>
      <c r="E107" s="3488" t="str">
        <f>IF(项目基本情况!E8="已注销","——","3.房地产抵押价值")</f>
        <v>3.房地产抵押价值</v>
      </c>
      <c r="F107" s="3489"/>
      <c r="G107" s="1962" t="s">
        <v>1873</v>
      </c>
      <c r="H107" s="2767">
        <f ca="1">IF(E107="——","——",H101-H103)</f>
        <v>6934</v>
      </c>
      <c r="I107" s="134"/>
    </row>
    <row r="108" spans="1:35" ht="18.75" customHeight="1">
      <c r="A108" s="134"/>
      <c r="B108" s="134"/>
      <c r="C108" s="134"/>
      <c r="D108" s="134"/>
      <c r="E108" s="3488"/>
      <c r="F108" s="3489"/>
      <c r="G108" s="1962" t="s">
        <v>1875</v>
      </c>
      <c r="H108" s="2727">
        <f ca="1">ROUND(H107*10000/'数据-汇总表'!E3,0)</f>
        <v>703</v>
      </c>
      <c r="I108" s="134"/>
    </row>
    <row r="109" spans="1:35" ht="18.75" customHeight="1">
      <c r="A109" s="134"/>
      <c r="B109" s="134"/>
      <c r="C109" s="134"/>
      <c r="D109" s="134"/>
      <c r="E109" s="3488" t="str">
        <f>IF(项目基本情况!E8="已注销及未注销","4.抵押担保权已注销时的房地产抵押价值",IF(项目基本情况!E8="已注销","3.抵押担保权已注销时的房地产抵押价值","——"))</f>
        <v>——</v>
      </c>
      <c r="F109" s="3489"/>
      <c r="G109" s="1962" t="s">
        <v>1873</v>
      </c>
      <c r="H109" s="2770" t="str">
        <f>IF(E109="——","——",H101-H105-H106)</f>
        <v>——</v>
      </c>
      <c r="I109" s="134"/>
    </row>
    <row r="110" spans="1:35" ht="18.75" customHeight="1">
      <c r="A110" s="134"/>
      <c r="B110" s="134"/>
      <c r="C110" s="134"/>
      <c r="D110" s="134"/>
      <c r="E110" s="3488"/>
      <c r="F110" s="3489"/>
      <c r="G110" s="1962" t="s">
        <v>1875</v>
      </c>
      <c r="H110" s="2727" t="str">
        <f>IF(H109="——","——",ROUND(H109*10000/'数据-汇总表'!E3,0))</f>
        <v>——</v>
      </c>
      <c r="I110" s="134"/>
    </row>
    <row r="111" spans="1:35" ht="18.75" customHeight="1">
      <c r="A111" s="134"/>
      <c r="B111" s="134"/>
      <c r="C111" s="134"/>
      <c r="D111" s="134"/>
      <c r="E111" s="3518" t="str">
        <f>IF(项目基本情况!E9="抵押净值",IF(OR(项目基本情况!E8="已注销",项目基本情况!E8="房地产抵押价值"),"4.抵押净值","5.抵押净值"),"——")</f>
        <v>——</v>
      </c>
      <c r="F111" s="3490"/>
      <c r="G111" s="1962" t="s">
        <v>1873</v>
      </c>
      <c r="H111" s="2767" t="str">
        <f>IF(E111="——","——",N59)</f>
        <v>——</v>
      </c>
      <c r="I111" s="134"/>
    </row>
    <row r="112" spans="1:35" ht="18.75" customHeight="1" thickBot="1">
      <c r="A112" s="134"/>
      <c r="B112" s="134"/>
      <c r="C112" s="134"/>
      <c r="D112" s="134"/>
      <c r="E112" s="3519"/>
      <c r="F112" s="3520"/>
      <c r="G112" s="1965" t="s">
        <v>1875</v>
      </c>
      <c r="H112" s="2771" t="str">
        <f>IF(E111="——","——",N61)</f>
        <v>——</v>
      </c>
      <c r="I112" s="134"/>
    </row>
    <row r="113" spans="1:27" ht="18.75" customHeight="1">
      <c r="A113" s="134"/>
      <c r="B113" s="134"/>
      <c r="C113" s="134"/>
      <c r="D113" s="134"/>
      <c r="E113" s="3493" t="s">
        <v>1881</v>
      </c>
      <c r="F113" s="3493"/>
      <c r="G113" s="3493"/>
      <c r="H113" s="3493"/>
      <c r="I113" s="134"/>
    </row>
    <row r="114" spans="1:27" ht="3.75" customHeight="1">
      <c r="A114" s="1882"/>
      <c r="B114" s="1882"/>
      <c r="C114" s="1882"/>
      <c r="D114" s="1882"/>
      <c r="E114" s="1944"/>
      <c r="F114" s="1944"/>
      <c r="G114" s="1944"/>
      <c r="H114" s="1944"/>
      <c r="I114" s="1882"/>
    </row>
    <row r="115" spans="1:27" ht="18.75" customHeight="1">
      <c r="A115" s="3503" t="s">
        <v>1883</v>
      </c>
      <c r="B115" s="3504"/>
      <c r="C115" s="3504"/>
      <c r="D115" s="3504"/>
      <c r="E115" s="3504"/>
      <c r="F115" s="3504"/>
      <c r="G115" s="3504"/>
      <c r="H115" s="3504"/>
      <c r="I115" s="3505"/>
    </row>
    <row r="116" spans="1:27" ht="27" customHeight="1">
      <c r="A116" s="3459" t="s">
        <v>1884</v>
      </c>
      <c r="B116" s="3440" t="s">
        <v>1885</v>
      </c>
      <c r="C116" s="3440" t="s">
        <v>1886</v>
      </c>
      <c r="D116" s="3442" t="s">
        <v>1887</v>
      </c>
      <c r="E116" s="3443"/>
      <c r="F116" s="3444" t="s">
        <v>1888</v>
      </c>
      <c r="G116" s="3444"/>
      <c r="H116" s="3459" t="s">
        <v>1889</v>
      </c>
      <c r="I116" s="3459"/>
    </row>
    <row r="117" spans="1:27" ht="18.75" customHeight="1">
      <c r="A117" s="3459"/>
      <c r="B117" s="3441"/>
      <c r="C117" s="3441"/>
      <c r="D117" s="3305" t="s">
        <v>1890</v>
      </c>
      <c r="E117" s="3305" t="s">
        <v>1891</v>
      </c>
      <c r="F117" s="3305" t="s">
        <v>1890</v>
      </c>
      <c r="G117" s="3305" t="s">
        <v>1892</v>
      </c>
      <c r="H117" s="3305" t="s">
        <v>1890</v>
      </c>
      <c r="I117" s="3305" t="s">
        <v>1892</v>
      </c>
    </row>
    <row r="118" spans="1:27" ht="24.75" customHeight="1">
      <c r="A118" s="2772" t="str">
        <f>项目基本情况!S2</f>
        <v>北京市朝阳区朝阳门南大街10号房地产</v>
      </c>
      <c r="B118" s="3305">
        <f>M18</f>
        <v>2640.82</v>
      </c>
      <c r="C118" s="3305">
        <f>M19</f>
        <v>152.03</v>
      </c>
      <c r="D118" s="3305">
        <f ca="1">ROUND(IF(D32="总价",C34,E118*B118/10000),0)</f>
        <v>4715</v>
      </c>
      <c r="E118" s="3305">
        <f ca="1">ROUND(IF(C33="自定义",IF(D32="楼面单价",C34,D118*10000/B118),I118-G118),0)</f>
        <v>17854</v>
      </c>
      <c r="F118" s="3305">
        <f ca="1">ROUND(IF(D32="总价",C35,G118*B118/10000),0)</f>
        <v>2219</v>
      </c>
      <c r="G118" s="3305">
        <f ca="1">ROUND(IF(D32="楼面单价",C35,F118*10000/B118),0)</f>
        <v>8403</v>
      </c>
      <c r="H118" s="3305">
        <f ca="1">ROUND(IF(D32="总价",C32,I118*B118/10000),0)</f>
        <v>6934</v>
      </c>
      <c r="I118" s="3305">
        <f ca="1">ROUND(IF(D32="楼面单价",C32,H118*10000/B118),0)</f>
        <v>26257</v>
      </c>
    </row>
    <row r="119" spans="1:27" ht="18.75" customHeight="1">
      <c r="A119" s="3459" t="s">
        <v>1893</v>
      </c>
      <c r="B119" s="3459"/>
      <c r="C119" s="3459"/>
      <c r="D119" s="3497" t="str">
        <f ca="1">NUMBERSTRING(INT(D118*10000),2)&amp;"元整"</f>
        <v>肆仟柒佰壹拾伍万元整</v>
      </c>
      <c r="E119" s="3499"/>
      <c r="F119" s="3497" t="str">
        <f ca="1">NUMBERSTRING(INT(F118*10000),2)&amp;"元整"</f>
        <v>贰仟贰佰壹拾玖万元整</v>
      </c>
      <c r="G119" s="3499"/>
      <c r="H119" s="3497" t="str">
        <f ca="1">NUMBERSTRING(INT(H118*10000),2)&amp;"元整"</f>
        <v>陆仟玖佰叁拾肆万元整</v>
      </c>
      <c r="I119" s="3499"/>
    </row>
    <row r="120" spans="1:27" ht="18.75" customHeight="1">
      <c r="A120" s="3521" t="str">
        <f>IF(项目基本情况!B9="房地产市场价值","",MID(E103,3,LEN(E103)-2))</f>
        <v>估价师知悉的法定优先受偿款</v>
      </c>
      <c r="B120" s="3522"/>
      <c r="C120" s="3523"/>
      <c r="D120" s="3521">
        <f>H103</f>
        <v>0</v>
      </c>
      <c r="E120" s="3522"/>
      <c r="F120" s="3522"/>
      <c r="G120" s="3522"/>
      <c r="H120" s="3522"/>
      <c r="I120" s="352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500" t="s">
        <v>1893</v>
      </c>
      <c r="B121" s="3501"/>
      <c r="C121" s="3502"/>
      <c r="D121" s="3497" t="str">
        <f>IF(D120=0,"零元整",NUMBERSTRING(INT(D120*10000),2)&amp;"元整")</f>
        <v>零元整</v>
      </c>
      <c r="E121" s="3498"/>
      <c r="F121" s="3498"/>
      <c r="G121" s="3498"/>
      <c r="H121" s="3498"/>
      <c r="I121" s="3499"/>
      <c r="AA121" s="734"/>
    </row>
    <row r="122" spans="1:27" ht="18.75" customHeight="1">
      <c r="A122" s="3490" t="str">
        <f>IF(项目基本情况!B9="房地产市场价值","",MID(E107,3,LEN(E107)-2))</f>
        <v>房地产抵押价值</v>
      </c>
      <c r="B122" s="3490"/>
      <c r="C122" s="3490"/>
      <c r="D122" s="3521">
        <f ca="1">H107</f>
        <v>6934</v>
      </c>
      <c r="E122" s="3522"/>
      <c r="F122" s="3522"/>
      <c r="G122" s="3522"/>
      <c r="H122" s="3522"/>
      <c r="I122" s="3523"/>
      <c r="AA122" s="734"/>
    </row>
    <row r="123" spans="1:27" ht="18.75" customHeight="1">
      <c r="A123" s="3459" t="s">
        <v>1893</v>
      </c>
      <c r="B123" s="3459"/>
      <c r="C123" s="3459"/>
      <c r="D123" s="3497" t="str">
        <f ca="1">NUMBERSTRING(INT(D122*10000),2)&amp;"元整"</f>
        <v>陆仟玖佰叁拾肆万元整</v>
      </c>
      <c r="E123" s="3498"/>
      <c r="F123" s="3498"/>
      <c r="G123" s="3498"/>
      <c r="H123" s="3498"/>
      <c r="I123" s="3499"/>
      <c r="AA123" s="734"/>
    </row>
    <row r="124" spans="1:27" ht="18.75" customHeight="1">
      <c r="A124" s="3490" t="str">
        <f>IF(项目基本情况!B9="房地产市场价值","",MID(E109,3,LEN(E109)-2))</f>
        <v/>
      </c>
      <c r="B124" s="3490"/>
      <c r="C124" s="3490"/>
      <c r="D124" s="3521" t="str">
        <f>H109</f>
        <v>——</v>
      </c>
      <c r="E124" s="3522"/>
      <c r="F124" s="3522"/>
      <c r="G124" s="3522"/>
      <c r="H124" s="3522"/>
      <c r="I124" s="3523"/>
      <c r="AA124" s="734"/>
    </row>
    <row r="125" spans="1:27" ht="18.75" customHeight="1">
      <c r="A125" s="3459" t="s">
        <v>1893</v>
      </c>
      <c r="B125" s="3459"/>
      <c r="C125" s="3459"/>
      <c r="D125" s="3497" t="e">
        <f>NUMBERSTRING(INT(D124*10000),2)&amp;"元整"</f>
        <v>#VALUE!</v>
      </c>
      <c r="E125" s="3498"/>
      <c r="F125" s="3498"/>
      <c r="G125" s="3498"/>
      <c r="H125" s="3498"/>
      <c r="I125" s="3499"/>
      <c r="AA125" s="734"/>
    </row>
    <row r="126" spans="1:27" ht="18.75" customHeight="1">
      <c r="A126" s="3490" t="str">
        <f>IF(项目基本情况!B9="房地产市场价值","",MID(E111,3,LEN(E111)-2))</f>
        <v/>
      </c>
      <c r="B126" s="3490"/>
      <c r="C126" s="3490"/>
      <c r="D126" s="3521" t="str">
        <f>H111</f>
        <v>——</v>
      </c>
      <c r="E126" s="3522"/>
      <c r="F126" s="3522"/>
      <c r="G126" s="3522"/>
      <c r="H126" s="3522"/>
      <c r="I126" s="3523"/>
      <c r="AA126" s="734"/>
    </row>
    <row r="127" spans="1:27" ht="18.75" customHeight="1">
      <c r="A127" s="3459" t="s">
        <v>1893</v>
      </c>
      <c r="B127" s="3459"/>
      <c r="C127" s="3459"/>
      <c r="D127" s="3497" t="e">
        <f>NUMBERSTRING(INT(D126*10000),2)&amp;"元整"</f>
        <v>#VALUE!</v>
      </c>
      <c r="E127" s="3498"/>
      <c r="F127" s="3498"/>
      <c r="G127" s="3498"/>
      <c r="H127" s="3498"/>
      <c r="I127" s="3499"/>
      <c r="AA127" s="734"/>
    </row>
    <row r="128" spans="1:27" ht="21.75" customHeight="1">
      <c r="A128" s="3506" t="s">
        <v>1894</v>
      </c>
      <c r="B128" s="3506"/>
      <c r="C128" s="3506"/>
      <c r="D128" s="3506"/>
      <c r="E128" s="3506"/>
      <c r="F128" s="3506"/>
      <c r="G128" s="3506"/>
      <c r="H128" s="3506"/>
      <c r="I128" s="3506"/>
      <c r="AA128" s="734"/>
    </row>
    <row r="129" spans="1:35" ht="21.75" customHeight="1">
      <c r="A129" s="1966" t="s">
        <v>1895</v>
      </c>
      <c r="B129" s="1967"/>
      <c r="C129" s="1968" t="s">
        <v>1896</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1897</v>
      </c>
      <c r="G135" s="1983"/>
      <c r="H135" s="1983"/>
      <c r="I135" s="1984" t="s">
        <v>1898</v>
      </c>
    </row>
    <row r="136" spans="1:35" ht="21.75" customHeight="1">
      <c r="A136" s="734"/>
      <c r="B136" s="1985"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1900</v>
      </c>
    </row>
    <row r="139" spans="1:35" ht="21.75" customHeight="1">
      <c r="A139" s="734"/>
      <c r="B139" s="1985" t="s">
        <v>1901</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1900</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xr:uid="{00000000-0002-0000-2500-000000000000}">
      <formula1>估价方法</formula1>
    </dataValidation>
    <dataValidation type="list" allowBlank="1" showInputMessage="1" showErrorMessage="1" sqref="H55:H56" xr:uid="{00000000-0002-0000-2500-000001000000}">
      <formula1>"个人住宅,正常"</formula1>
    </dataValidation>
    <dataValidation type="list" allowBlank="1" showInputMessage="1" showErrorMessage="1" sqref="H48" xr:uid="{00000000-0002-0000-2500-000002000000}">
      <formula1>"情况1,情况2,情况3,情况4"</formula1>
    </dataValidation>
    <dataValidation type="list" allowBlank="1" showInputMessage="1" showErrorMessage="1" sqref="H58" xr:uid="{00000000-0002-0000-2500-000003000000}">
      <formula1>"转让取得,自行开发建设"</formula1>
    </dataValidation>
    <dataValidation type="list" allowBlank="1" showInputMessage="1" showErrorMessage="1" sqref="D32" xr:uid="{00000000-0002-0000-2500-000004000000}">
      <formula1>"总价,楼面单价"</formula1>
    </dataValidation>
    <dataValidation type="list" allowBlank="1" showInputMessage="1" showErrorMessage="1" sqref="F45" xr:uid="{00000000-0002-0000-2500-000005000000}">
      <formula1>"100%,70%,56%"</formula1>
    </dataValidation>
    <dataValidation type="list" allowBlank="1" showInputMessage="1" showErrorMessage="1" sqref="C33" xr:uid="{00000000-0002-0000-2500-000006000000}">
      <formula1>"成本比率,收益比率,自定义"</formula1>
    </dataValidation>
    <dataValidation type="list" allowBlank="1" showInputMessage="1" showErrorMessage="1" sqref="H91" xr:uid="{00000000-0002-0000-2500-000007000000}">
      <formula1>"企业提供（在右侧录入）,——"</formula1>
    </dataValidation>
    <dataValidation type="list" allowBlank="1" showInputMessage="1" showErrorMessage="1" sqref="H88" xr:uid="{00000000-0002-0000-2500-000008000000}">
      <formula1>"仅含出让金,出让金+开发费"</formula1>
    </dataValidation>
    <dataValidation type="list" allowBlank="1" showInputMessage="1" showErrorMessage="1" sqref="F75" xr:uid="{00000000-0002-0000-2500-000009000000}">
      <formula1>"买卖合同,购房发票"</formula1>
    </dataValidation>
    <dataValidation type="list" allowBlank="1" showInputMessage="1" showErrorMessage="1" sqref="D36" xr:uid="{00000000-0002-0000-2500-00000A000000}">
      <formula1>"同一抵押权人同一抵押物续贷,注销后放款,正常操作"</formula1>
    </dataValidation>
    <dataValidation type="list" allowBlank="1" showInputMessage="1" showErrorMessage="1" sqref="B116:B117" xr:uid="{00000000-0002-0000-2500-00000B000000}">
      <formula1>"建筑面积,规划建筑面积,（规划）建筑面积"</formula1>
    </dataValidation>
    <dataValidation type="list" allowBlank="1" showInputMessage="1" showErrorMessage="1" sqref="C116:C117" xr:uid="{00000000-0002-0000-2500-00000C000000}">
      <formula1>"土地面积,分摊土地面积,（分摊）土地面积"</formula1>
    </dataValidation>
    <dataValidation type="list" allowBlank="1" showInputMessage="1" showErrorMessage="1" sqref="D116:E116" xr:uid="{00000000-0002-0000-2500-00000D000000}">
      <formula1>"出让国有建设用地使用权价值,划拨国有建设用地使用权价值"</formula1>
    </dataValidation>
    <dataValidation type="list" allowBlank="1" showInputMessage="1" showErrorMessage="1" sqref="F116:G116" xr:uid="{00000000-0002-0000-2500-00000E000000}">
      <formula1>"建筑物价值,在建建筑物价值,建筑物/在建建筑物价值"</formula1>
    </dataValidation>
    <dataValidation type="list" allowBlank="1" showInputMessage="1" showErrorMessage="1" sqref="C129" xr:uid="{00000000-0002-0000-2500-00000F000000}">
      <formula1>"无,有"</formula1>
    </dataValidation>
    <dataValidation type="list" showInputMessage="1" showErrorMessage="1" sqref="G1" xr:uid="{00000000-0002-0000-2500-000010000000}">
      <formula1>"现房,在建,土地,-"</formula1>
    </dataValidation>
    <dataValidation type="list" allowBlank="1" showInputMessage="1" showErrorMessage="1" sqref="I1" xr:uid="{00000000-0002-0000-2500-000011000000}">
      <formula1>"项目局部,项目全部,——"</formula1>
    </dataValidation>
    <dataValidation type="list" allowBlank="1" showInputMessage="1" showErrorMessage="1" sqref="C1" xr:uid="{00000000-0002-0000-2500-000012000000}">
      <formula1>项目类型</formula1>
    </dataValidation>
    <dataValidation type="list" allowBlank="1" showInputMessage="1" showErrorMessage="1" sqref="G77" xr:uid="{00000000-0002-0000-2500-000013000000}">
      <formula1>"个人住宅,2016年5月1日前购买,2016年5月1日后购买"</formula1>
    </dataValidation>
    <dataValidation type="list" allowBlank="1" showInputMessage="1" showErrorMessage="1" sqref="E103" xr:uid="{00000000-0002-0000-2500-000014000000}">
      <formula1>"2.估价师知悉的法定优先受偿款,2.估价师知悉的除抵押担保权以外的法定优先受偿款"</formula1>
    </dataValidation>
    <dataValidation type="list" allowBlank="1" showInputMessage="1" showErrorMessage="1" sqref="H59" xr:uid="{00000000-0002-0000-2500-000015000000}">
      <formula1>"非个人房产,个人住宅（满五唯一有凭证）,个人其他（有凭证）,个人其他（无凭证）"</formula1>
    </dataValidation>
    <dataValidation type="list" allowBlank="1" showInputMessage="1" showErrorMessage="1" sqref="D92" xr:uid="{00000000-0002-0000-2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2" customWidth="1"/>
    <col min="12" max="12" width="16.36328125" style="264" customWidth="1"/>
    <col min="13" max="13" width="13" style="264" customWidth="1"/>
    <col min="14" max="14" width="13.90625" style="1518" customWidth="1"/>
    <col min="15" max="15" width="5.08984375" style="1518" customWidth="1"/>
    <col min="16" max="16" width="25.90625" style="1518" customWidth="1"/>
    <col min="17" max="17" width="13.90625" style="1518" customWidth="1"/>
    <col min="18" max="18" width="20.453125" style="1518" customWidth="1"/>
    <col min="19" max="19" width="13.08984375" style="1518" customWidth="1"/>
    <col min="20" max="37" width="9" style="1518"/>
    <col min="38" max="16384" width="9" style="264"/>
  </cols>
  <sheetData>
    <row r="1" spans="1:37" s="299" customFormat="1" ht="21">
      <c r="A1" s="1509" t="s">
        <v>1309</v>
      </c>
      <c r="B1" s="722"/>
      <c r="C1" s="1513" t="s">
        <v>3718</v>
      </c>
      <c r="D1" s="1496" t="s">
        <v>70</v>
      </c>
      <c r="E1" s="1497" t="s">
        <v>1107</v>
      </c>
      <c r="F1" s="1173">
        <f ca="1">J53</f>
        <v>32.32</v>
      </c>
      <c r="G1" s="1512">
        <f>MATCH(C1,'数据-取费表'!A6:A16,0)+5</f>
        <v>9</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1235</v>
      </c>
      <c r="B2" s="1520">
        <f ca="1">C40+J29+L46</f>
        <v>7946</v>
      </c>
      <c r="C2" s="1521" t="s">
        <v>1236</v>
      </c>
      <c r="D2" s="1521"/>
      <c r="E2" s="1522"/>
      <c r="F2" s="1523"/>
      <c r="G2" s="2880"/>
      <c r="H2" s="2869"/>
      <c r="I2" s="2869"/>
      <c r="J2" s="2869"/>
      <c r="K2" s="2870"/>
      <c r="L2" s="2869"/>
      <c r="M2" s="2869"/>
    </row>
    <row r="3" spans="1:37" ht="18" customHeight="1" thickBot="1">
      <c r="A3" s="1524" t="s">
        <v>1237</v>
      </c>
      <c r="B3" s="1525">
        <f ca="1">IF(ISERROR(B2*10000/F43),0,ROUND(B2*10000/F43,0))</f>
        <v>30089</v>
      </c>
      <c r="C3" s="1521" t="s">
        <v>1238</v>
      </c>
      <c r="D3" s="1521"/>
      <c r="E3" s="1522"/>
      <c r="F3" s="1523"/>
      <c r="G3" s="2880"/>
      <c r="H3" s="692" t="s">
        <v>1308</v>
      </c>
      <c r="I3" s="1516"/>
      <c r="J3" s="1516"/>
      <c r="K3" s="1517"/>
      <c r="L3" s="1516"/>
      <c r="M3" s="1516"/>
    </row>
    <row r="4" spans="1:37" ht="18" customHeight="1">
      <c r="A4" s="301" t="s">
        <v>1116</v>
      </c>
      <c r="B4" s="302" t="s">
        <v>1117</v>
      </c>
      <c r="C4" s="302" t="s">
        <v>1118</v>
      </c>
      <c r="D4" s="302" t="s">
        <v>1119</v>
      </c>
      <c r="E4" s="303" t="s">
        <v>1120</v>
      </c>
      <c r="F4" s="304"/>
      <c r="G4" s="1518"/>
      <c r="H4" s="301" t="s">
        <v>1116</v>
      </c>
      <c r="I4" s="302" t="s">
        <v>1117</v>
      </c>
      <c r="J4" s="302" t="s">
        <v>1118</v>
      </c>
      <c r="K4" s="302" t="s">
        <v>1119</v>
      </c>
      <c r="L4" s="303" t="s">
        <v>1120</v>
      </c>
      <c r="M4" s="304"/>
    </row>
    <row r="5" spans="1:37" ht="18" customHeight="1">
      <c r="A5" s="305">
        <v>1</v>
      </c>
      <c r="B5" s="306" t="s">
        <v>1121</v>
      </c>
      <c r="C5" s="1182">
        <f ca="1">C6+C10+C12</f>
        <v>459</v>
      </c>
      <c r="D5" s="1498" t="s">
        <v>1122</v>
      </c>
      <c r="E5" s="1183"/>
      <c r="F5" s="1184"/>
      <c r="G5" s="1518"/>
      <c r="H5" s="305">
        <v>1</v>
      </c>
      <c r="I5" s="306" t="s">
        <v>1121</v>
      </c>
      <c r="J5" s="1182">
        <f ca="1">J6+J10+J12</f>
        <v>0</v>
      </c>
      <c r="K5" s="1498" t="s">
        <v>1122</v>
      </c>
      <c r="L5" s="1183"/>
      <c r="M5" s="1184"/>
    </row>
    <row r="6" spans="1:37" ht="18" customHeight="1">
      <c r="A6" s="1181" t="s">
        <v>822</v>
      </c>
      <c r="B6" s="3591" t="s">
        <v>1123</v>
      </c>
      <c r="C6" s="1186">
        <f ca="1">ROUND(F6*F8*F7*(1-F9)/10000,0)</f>
        <v>458</v>
      </c>
      <c r="D6" s="160" t="s">
        <v>2605</v>
      </c>
      <c r="E6" s="308" t="s">
        <v>1125</v>
      </c>
      <c r="F6" s="309">
        <f ca="1">INDIRECT("'数据-取费表'!u"&amp;$G$1)</f>
        <v>5</v>
      </c>
      <c r="G6" s="1518"/>
      <c r="H6" s="1181" t="s">
        <v>822</v>
      </c>
      <c r="I6" s="3591" t="s">
        <v>1123</v>
      </c>
      <c r="J6" s="307">
        <f ca="1">ROUND(M6*M8*M7*(1-M9)/10000,0)</f>
        <v>0</v>
      </c>
      <c r="K6" s="160" t="s">
        <v>2604</v>
      </c>
      <c r="L6" s="308" t="s">
        <v>1125</v>
      </c>
      <c r="M6" s="309">
        <f ca="1">INDIRECT("'数据-取费表'!z"&amp;$G$1)</f>
        <v>0</v>
      </c>
    </row>
    <row r="7" spans="1:37" ht="18" customHeight="1">
      <c r="A7" s="1185"/>
      <c r="B7" s="3592"/>
      <c r="C7" s="1187"/>
      <c r="D7" s="313"/>
      <c r="E7" s="3185" t="s">
        <v>1126</v>
      </c>
      <c r="F7" s="309">
        <f ca="1">IF(INDIRECT("'数据-取费表'!ah"&amp;$G$1)="",INDIRECT("'数据-取费表'!k"&amp;$G$1),INDIRECT("'数据-取费表'!ah"&amp;$G$1))</f>
        <v>2640.82</v>
      </c>
      <c r="G7" s="1518"/>
      <c r="H7" s="310"/>
      <c r="I7" s="3592"/>
      <c r="J7" s="312"/>
      <c r="K7" s="313"/>
      <c r="L7" s="308" t="s">
        <v>1126</v>
      </c>
      <c r="M7" s="309">
        <f ca="1">F7</f>
        <v>2640.82</v>
      </c>
    </row>
    <row r="8" spans="1:37" ht="18" customHeight="1">
      <c r="A8" s="310"/>
      <c r="B8" s="3592"/>
      <c r="C8" s="312"/>
      <c r="D8" s="313"/>
      <c r="E8" s="308" t="s">
        <v>1127</v>
      </c>
      <c r="F8" s="309">
        <f ca="1">INDIRECT("'数据-取费表'!ai"&amp;$G$1)</f>
        <v>365</v>
      </c>
      <c r="G8" s="1518"/>
      <c r="H8" s="310"/>
      <c r="I8" s="3592"/>
      <c r="J8" s="312"/>
      <c r="K8" s="313"/>
      <c r="L8" s="308" t="s">
        <v>1127</v>
      </c>
      <c r="M8" s="309">
        <f ca="1">INDIRECT("'数据-取费表'!ai"&amp;$G$1)</f>
        <v>365</v>
      </c>
    </row>
    <row r="9" spans="1:37" ht="18" customHeight="1">
      <c r="A9" s="310"/>
      <c r="B9" s="3593"/>
      <c r="C9" s="312"/>
      <c r="D9" s="313"/>
      <c r="E9" s="308" t="s">
        <v>1128</v>
      </c>
      <c r="F9" s="318">
        <f ca="1">INDIRECT("'数据-取费表'!w"&amp;$G$1)</f>
        <v>0.05</v>
      </c>
      <c r="G9" s="1518"/>
      <c r="H9" s="310"/>
      <c r="I9" s="3593"/>
      <c r="J9" s="312"/>
      <c r="K9" s="313"/>
      <c r="L9" s="319" t="s">
        <v>1128</v>
      </c>
      <c r="M9" s="320">
        <f ca="1">INDIRECT("'数据-取费表'!ab"&amp;$G$1)</f>
        <v>0</v>
      </c>
    </row>
    <row r="10" spans="1:37" ht="18" customHeight="1">
      <c r="A10" s="1181" t="s">
        <v>826</v>
      </c>
      <c r="B10" s="1499" t="s">
        <v>1129</v>
      </c>
      <c r="C10" s="322">
        <f ca="1">ROUND(IF(F10="押一",C6/12*F11,IF(F10="押二",C6/12*2*F11,IF(F10="押三",C6/12*3*F11,C11*F11))),0)</f>
        <v>1</v>
      </c>
      <c r="D10" s="1500" t="s">
        <v>2612</v>
      </c>
      <c r="E10" s="319" t="s">
        <v>1130</v>
      </c>
      <c r="F10" s="1228" t="s">
        <v>3727</v>
      </c>
      <c r="G10" s="1518"/>
      <c r="H10" s="1181" t="s">
        <v>826</v>
      </c>
      <c r="I10" s="1499" t="s">
        <v>1129</v>
      </c>
      <c r="J10" s="307">
        <f ca="1">ROUND(IF(M10="押一",J6/12*M11,IF(M10="押二",J6/12*2*M11,IF(M10="押三",J6/12*3*M11,J11*M11))),0)</f>
        <v>0</v>
      </c>
      <c r="K10" s="1500" t="s">
        <v>2612</v>
      </c>
      <c r="L10" s="319" t="s">
        <v>1130</v>
      </c>
      <c r="M10" s="1228" t="s">
        <v>1131</v>
      </c>
    </row>
    <row r="11" spans="1:37" ht="18" customHeight="1">
      <c r="A11" s="314"/>
      <c r="B11" s="1501" t="s">
        <v>1108</v>
      </c>
      <c r="C11" s="1070"/>
      <c r="D11" s="1502"/>
      <c r="E11" s="319" t="s">
        <v>1132</v>
      </c>
      <c r="F11" s="320">
        <f ca="1">'数据-取费表'!B39</f>
        <v>1.4999999999999999E-2</v>
      </c>
      <c r="G11" s="1518"/>
      <c r="H11" s="1189"/>
      <c r="I11" s="1501" t="s">
        <v>1108</v>
      </c>
      <c r="J11" s="1070"/>
      <c r="K11" s="693"/>
      <c r="L11" s="319" t="s">
        <v>1132</v>
      </c>
      <c r="M11" s="951">
        <f ca="1">'数据-取费表'!B39</f>
        <v>1.4999999999999999E-2</v>
      </c>
    </row>
    <row r="12" spans="1:37" ht="18" customHeight="1" thickBot="1">
      <c r="A12" s="1195" t="s">
        <v>862</v>
      </c>
      <c r="B12" s="1503" t="s">
        <v>1133</v>
      </c>
      <c r="C12" s="1196"/>
      <c r="D12" s="1197"/>
      <c r="E12" s="1202"/>
      <c r="F12" s="1198"/>
      <c r="G12" s="1518"/>
      <c r="H12" s="1195" t="s">
        <v>862</v>
      </c>
      <c r="I12" s="1503" t="s">
        <v>1133</v>
      </c>
      <c r="J12" s="1196"/>
      <c r="K12" s="1210"/>
      <c r="L12" s="1202"/>
      <c r="M12" s="1211"/>
    </row>
    <row r="13" spans="1:37" ht="18" customHeight="1" thickTop="1">
      <c r="A13" s="1191">
        <v>2</v>
      </c>
      <c r="B13" s="1192" t="s">
        <v>1134</v>
      </c>
      <c r="C13" s="316">
        <f ca="1">ROUND(C29*F13,0)</f>
        <v>1734</v>
      </c>
      <c r="D13" s="3182" t="s">
        <v>1135</v>
      </c>
      <c r="E13" s="3182" t="s">
        <v>1136</v>
      </c>
      <c r="F13" s="1194">
        <f ca="1">INDIRECT("'数据-取费表'!y"&amp;$G$1)</f>
        <v>0.98</v>
      </c>
      <c r="G13" s="1518"/>
      <c r="H13" s="1191">
        <v>2</v>
      </c>
      <c r="I13" s="1192" t="s">
        <v>1134</v>
      </c>
      <c r="J13" s="1180">
        <f ca="1">ROUND(J14*J15,0)</f>
        <v>0</v>
      </c>
      <c r="K13" s="1199" t="s">
        <v>1135</v>
      </c>
      <c r="L13" s="1526"/>
      <c r="M13" s="1527"/>
    </row>
    <row r="14" spans="1:37" ht="18" customHeight="1">
      <c r="A14" s="1093" t="s">
        <v>821</v>
      </c>
      <c r="B14" s="308" t="s">
        <v>1137</v>
      </c>
      <c r="C14" s="324">
        <f ca="1">INDIRECT("'数据-取费表'!m"&amp;$G$1)+INDIRECT("'数据-取费表'!t"&amp;$G$1)</f>
        <v>1188</v>
      </c>
      <c r="D14" s="3188" t="s">
        <v>1138</v>
      </c>
      <c r="E14" s="3187"/>
      <c r="F14" s="325"/>
      <c r="G14" s="1518"/>
      <c r="H14" s="1093" t="s">
        <v>822</v>
      </c>
      <c r="I14" s="308" t="s">
        <v>1139</v>
      </c>
      <c r="J14" s="24">
        <f ca="1">C29</f>
        <v>1769</v>
      </c>
      <c r="K14" s="3184"/>
      <c r="L14" s="896"/>
      <c r="M14" s="897"/>
    </row>
    <row r="15" spans="1:37" s="1531" customFormat="1" ht="18" customHeight="1" thickBot="1">
      <c r="A15" s="1093" t="s">
        <v>823</v>
      </c>
      <c r="B15" s="308" t="s">
        <v>1140</v>
      </c>
      <c r="C15" s="24">
        <f ca="1">ROUND(C14*F15,0)</f>
        <v>59</v>
      </c>
      <c r="D15" s="3183" t="s">
        <v>1141</v>
      </c>
      <c r="E15" s="3183" t="s">
        <v>1142</v>
      </c>
      <c r="F15" s="327">
        <f>'数据-取费表'!B33</f>
        <v>0.05</v>
      </c>
      <c r="G15" s="1530"/>
      <c r="H15" s="1201" t="s">
        <v>826</v>
      </c>
      <c r="I15" s="1202" t="s">
        <v>1136</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1109</v>
      </c>
      <c r="B16" s="308" t="s">
        <v>1143</v>
      </c>
      <c r="C16" s="24">
        <f ca="1">ROUND(INDIRECT("'数据-取费表'!m"&amp;$G$1)*F16,0)</f>
        <v>0</v>
      </c>
      <c r="D16" s="308" t="s">
        <v>1141</v>
      </c>
      <c r="E16" s="308" t="s">
        <v>1142</v>
      </c>
      <c r="F16" s="328">
        <f ca="1">IF(INDIRECT("'数据-取费表'!c"&amp;$G$1)="住宅",'数据-取费表'!B34,0)</f>
        <v>0</v>
      </c>
      <c r="G16" s="1518"/>
      <c r="H16" s="1191" t="s">
        <v>817</v>
      </c>
      <c r="I16" s="1192" t="s">
        <v>1144</v>
      </c>
      <c r="J16" s="316">
        <f ca="1">ROUND(J17+J22+J23+J24,0)</f>
        <v>24</v>
      </c>
      <c r="K16" s="1199" t="s">
        <v>1145</v>
      </c>
      <c r="L16" s="3190"/>
      <c r="M16" s="1184"/>
    </row>
    <row r="17" spans="1:37" s="1531" customFormat="1" ht="18" customHeight="1">
      <c r="A17" s="1093" t="s">
        <v>1110</v>
      </c>
      <c r="B17" s="308" t="s">
        <v>1146</v>
      </c>
      <c r="C17" s="24">
        <f ca="1">ROUND(F17*(F43+INDIRECT("'数据-取费表'!S"&amp;$G$1))/10000,0)</f>
        <v>53</v>
      </c>
      <c r="D17" s="308" t="s">
        <v>1147</v>
      </c>
      <c r="E17" s="308" t="s">
        <v>1148</v>
      </c>
      <c r="F17" s="26">
        <f>'数据-取费表'!B35</f>
        <v>200</v>
      </c>
      <c r="G17" s="1530"/>
      <c r="H17" s="1093" t="s">
        <v>822</v>
      </c>
      <c r="I17" s="308" t="s">
        <v>1149</v>
      </c>
      <c r="J17" s="2483">
        <f ca="1">ROUND(IF(AND(项目基本情况!B11="自然人",项目基本情况!B10="北京市"),J6*M17/(1+'数据-取费表'!C42),J18+J19+J20),0)</f>
        <v>15</v>
      </c>
      <c r="K17" s="3188" t="s">
        <v>1150</v>
      </c>
      <c r="L17" s="3189" t="s">
        <v>1151</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1111</v>
      </c>
      <c r="B18" s="308" t="s">
        <v>1152</v>
      </c>
      <c r="C18" s="24">
        <f ca="1">ROUND(C14*F18,0)</f>
        <v>18</v>
      </c>
      <c r="D18" s="308" t="s">
        <v>1141</v>
      </c>
      <c r="E18" s="308" t="s">
        <v>1142</v>
      </c>
      <c r="F18" s="328">
        <f>'数据-取费表'!B36</f>
        <v>1.4999999999999999E-2</v>
      </c>
      <c r="G18" s="1530"/>
      <c r="H18" s="1093" t="s">
        <v>821</v>
      </c>
      <c r="I18" s="308" t="s">
        <v>1153</v>
      </c>
      <c r="J18" s="24">
        <f ca="1">ROUND(J6*M18/(1+'数据-取费表'!C42),2)</f>
        <v>0</v>
      </c>
      <c r="K18" s="3189" t="s">
        <v>1154</v>
      </c>
      <c r="L18" s="308" t="s">
        <v>1142</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1155</v>
      </c>
      <c r="C19" s="24">
        <f ca="1">SUM(C14:C18)</f>
        <v>1318</v>
      </c>
      <c r="D19" s="136" t="s">
        <v>1156</v>
      </c>
      <c r="E19" s="3192"/>
      <c r="F19" s="26"/>
      <c r="G19" s="1518"/>
      <c r="H19" s="1093" t="s">
        <v>823</v>
      </c>
      <c r="I19" s="308" t="s">
        <v>1157</v>
      </c>
      <c r="J19" s="24">
        <f ca="1">IF(K19="按租金收入计税",ROUND(J6*M19/(1+'数据-取费表'!C42),2),ROUND(C29*M19*0.7,2))</f>
        <v>14.86</v>
      </c>
      <c r="K19" s="1504" t="s">
        <v>1158</v>
      </c>
      <c r="L19" s="308" t="s">
        <v>1142</v>
      </c>
      <c r="M19" s="328">
        <f>IF(K19="按租金收入计税",'数据-取费表'!B51,'数据-取费表'!B50)</f>
        <v>1.2E-2</v>
      </c>
    </row>
    <row r="20" spans="1:37" s="1531" customFormat="1" ht="18" customHeight="1">
      <c r="A20" s="1093" t="s">
        <v>826</v>
      </c>
      <c r="B20" s="308" t="s">
        <v>1159</v>
      </c>
      <c r="C20" s="24">
        <f ca="1">ROUND(C19*F20,0)</f>
        <v>26</v>
      </c>
      <c r="D20" s="329" t="s">
        <v>1160</v>
      </c>
      <c r="E20" s="308" t="s">
        <v>1142</v>
      </c>
      <c r="F20" s="328">
        <f>'数据-取费表'!B37</f>
        <v>0.02</v>
      </c>
      <c r="G20" s="1530"/>
      <c r="H20" s="1093" t="s">
        <v>1109</v>
      </c>
      <c r="I20" s="160" t="s">
        <v>1161</v>
      </c>
      <c r="J20" s="25">
        <f ca="1">ROUND(M20*M21/10000,2)</f>
        <v>0.36</v>
      </c>
      <c r="K20" s="330" t="s">
        <v>1162</v>
      </c>
      <c r="L20" s="308" t="s">
        <v>1163</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1164</v>
      </c>
      <c r="C21" s="24" t="s">
        <v>1</v>
      </c>
      <c r="D21" s="329" t="s">
        <v>1165</v>
      </c>
      <c r="E21" s="308" t="s">
        <v>1166</v>
      </c>
      <c r="F21" s="328">
        <f>'数据-取费表'!B38</f>
        <v>0.02</v>
      </c>
      <c r="G21" s="1530"/>
      <c r="H21" s="332"/>
      <c r="I21" s="317"/>
      <c r="J21" s="29"/>
      <c r="K21" s="333"/>
      <c r="L21" s="308" t="s">
        <v>1167</v>
      </c>
      <c r="M21" s="309">
        <f ca="1">INDIRECT("'数据-取费表'!r"&amp;$G$1)</f>
        <v>152.03</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1112</v>
      </c>
      <c r="B22" s="308" t="s">
        <v>1168</v>
      </c>
      <c r="C22" s="24"/>
      <c r="D22" s="136" t="str">
        <f>IF(F23&lt;=1,"单利计息。","复利计息。")&amp;"建造成本、管理费用、销售费用产生的利息。"</f>
        <v>复利计息。建造成本、管理费用、销售费用产生的利息。</v>
      </c>
      <c r="E22" s="3192"/>
      <c r="F22" s="26"/>
      <c r="G22" s="1518"/>
      <c r="H22" s="1093" t="s">
        <v>826</v>
      </c>
      <c r="I22" s="308" t="s">
        <v>1169</v>
      </c>
      <c r="J22" s="24">
        <f ca="1">ROUND(J14*M22,1)</f>
        <v>8.8000000000000007</v>
      </c>
      <c r="K22" s="3189" t="s">
        <v>1170</v>
      </c>
      <c r="L22" s="308" t="s">
        <v>1142</v>
      </c>
      <c r="M22" s="334">
        <f ca="1">INDIRECT("'数据-取费表'!Ak"&amp;$G$1)</f>
        <v>5.0000000000000001E-3</v>
      </c>
    </row>
    <row r="23" spans="1:37" s="1531" customFormat="1" ht="18" customHeight="1">
      <c r="A23" s="1093" t="s">
        <v>821</v>
      </c>
      <c r="B23" s="308" t="s">
        <v>1171</v>
      </c>
      <c r="C23" s="24">
        <f ca="1">IF('数据-取费表'!B22&lt;=1,ROUND(C19*F24*F23/2,0)+ROUND(C20*F24*F23/2,0),ROUND(C19*(POWER((1+F24),F23/2)-1),0)+ROUND(C20*(POWER((1+F24),F23/2)-1),0))</f>
        <v>86</v>
      </c>
      <c r="D23" s="335" t="str">
        <f>IF(F23&lt;=1,"(建造成本+管理费用)×利率×(建设周期÷2)","(建造成本+管理费用)×((1+利率)^(建设周期÷2)-1)")</f>
        <v>(建造成本+管理费用)×((1+利率)^(建设周期÷2)-1)</v>
      </c>
      <c r="E23" s="308" t="s">
        <v>1172</v>
      </c>
      <c r="F23" s="331">
        <f>'数据-取费表'!B20</f>
        <v>3</v>
      </c>
      <c r="G23" s="1530"/>
      <c r="H23" s="1093" t="s">
        <v>862</v>
      </c>
      <c r="I23" s="308" t="s">
        <v>1173</v>
      </c>
      <c r="J23" s="24">
        <f ca="1">ROUND(J13*M23,1)</f>
        <v>0</v>
      </c>
      <c r="K23" s="3189" t="s">
        <v>1174</v>
      </c>
      <c r="L23" s="308" t="s">
        <v>1142</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8" t="s">
        <v>1177</v>
      </c>
      <c r="C24" s="24">
        <f ca="1">ROUND(IF('数据-取费表'!B22&lt;=1,F21*F24*F23/2,F21*(POWER((1+F24),F23/2)-1)),4)</f>
        <v>1.2999999999999999E-3</v>
      </c>
      <c r="D24" s="335" t="str">
        <f>IF(F23&lt;=1,"销售费用×利率×(建设周期÷2)","销售费用×((1+利率)^(建设周期÷2)-1)")</f>
        <v>销售费用×((1+利率)^(建设周期÷2)-1)</v>
      </c>
      <c r="E24" s="308" t="s">
        <v>1178</v>
      </c>
      <c r="F24" s="337">
        <f ca="1">'数据-取费表'!B40</f>
        <v>4.2000000000000003E-2</v>
      </c>
      <c r="G24" s="1530"/>
      <c r="H24" s="1201" t="s">
        <v>1112</v>
      </c>
      <c r="I24" s="1202" t="s">
        <v>1159</v>
      </c>
      <c r="J24" s="1203">
        <f ca="1">ROUND(J5*M24,1)</f>
        <v>0</v>
      </c>
      <c r="K24" s="1204" t="s">
        <v>1179</v>
      </c>
      <c r="L24" s="1202" t="s">
        <v>1142</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1180</v>
      </c>
      <c r="B25" s="308" t="s">
        <v>1181</v>
      </c>
      <c r="C25" s="24"/>
      <c r="D25" s="136" t="s">
        <v>1182</v>
      </c>
      <c r="E25" s="3192"/>
      <c r="F25" s="26"/>
      <c r="G25" s="1518"/>
      <c r="H25" s="1191" t="s">
        <v>818</v>
      </c>
      <c r="I25" s="1206" t="s">
        <v>1183</v>
      </c>
      <c r="J25" s="316">
        <f ca="1">J5-J16</f>
        <v>-24</v>
      </c>
      <c r="K25" s="1207" t="s">
        <v>1184</v>
      </c>
      <c r="L25" s="1208"/>
      <c r="M25" s="1209"/>
    </row>
    <row r="26" spans="1:37" ht="13">
      <c r="A26" s="1093" t="s">
        <v>821</v>
      </c>
      <c r="B26" s="308" t="s">
        <v>1185</v>
      </c>
      <c r="C26" s="24">
        <f ca="1">ROUND((C19+C20)*F26,0)</f>
        <v>202</v>
      </c>
      <c r="D26" s="329" t="s">
        <v>1186</v>
      </c>
      <c r="E26" s="319" t="s">
        <v>1187</v>
      </c>
      <c r="F26" s="318">
        <f ca="1">INDIRECT("'数据-取费表'!q"&amp;$G$1)</f>
        <v>0.15</v>
      </c>
      <c r="G26" s="1518"/>
      <c r="H26" s="305" t="s">
        <v>819</v>
      </c>
      <c r="I26" s="306" t="s">
        <v>1188</v>
      </c>
      <c r="J26" s="307">
        <f ca="1">IF(J5&lt;&gt;0,ROUND(J25*(1-((1+M28)/(1+M26))^M27)/(M26-M28),0),0)</f>
        <v>0</v>
      </c>
      <c r="K26" s="330" t="s">
        <v>1189</v>
      </c>
      <c r="L26" s="308" t="s">
        <v>1190</v>
      </c>
      <c r="M26" s="318">
        <f ca="1">INDIRECT("'数据-取费表'!I"&amp;$G$1)</f>
        <v>5.5E-2</v>
      </c>
    </row>
    <row r="27" spans="1:37" ht="18" customHeight="1">
      <c r="A27" s="1093" t="s">
        <v>823</v>
      </c>
      <c r="B27" s="308" t="s">
        <v>1191</v>
      </c>
      <c r="C27" s="24">
        <f ca="1">ROUND(F21*F26,4)</f>
        <v>3.0000000000000001E-3</v>
      </c>
      <c r="D27" s="329" t="s">
        <v>1192</v>
      </c>
      <c r="E27" s="3183"/>
      <c r="F27" s="327"/>
      <c r="G27" s="1518"/>
      <c r="H27" s="310"/>
      <c r="I27" s="311"/>
      <c r="J27" s="312"/>
      <c r="K27" s="338" t="s">
        <v>1193</v>
      </c>
      <c r="L27" s="308" t="s">
        <v>1194</v>
      </c>
      <c r="M27" s="339">
        <f ca="1">INDIRECT("'数据-取费表'!ag"&amp;$G$1)</f>
        <v>0</v>
      </c>
    </row>
    <row r="28" spans="1:37" s="1531" customFormat="1" ht="18" customHeight="1">
      <c r="A28" s="1093" t="s">
        <v>824</v>
      </c>
      <c r="B28" s="308" t="s">
        <v>1195</v>
      </c>
      <c r="C28" s="24">
        <f>ROUND(F28/(1+'数据-取费表'!C42),4)</f>
        <v>5.33E-2</v>
      </c>
      <c r="D28" s="329" t="s">
        <v>1196</v>
      </c>
      <c r="E28" s="308" t="s">
        <v>1142</v>
      </c>
      <c r="F28" s="328">
        <f>'数据-取费表'!B41</f>
        <v>5.6000000000000001E-2</v>
      </c>
      <c r="G28" s="1530"/>
      <c r="H28" s="314"/>
      <c r="I28" s="315"/>
      <c r="J28" s="316"/>
      <c r="K28" s="333"/>
      <c r="L28" s="308" t="s">
        <v>1197</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1198</v>
      </c>
      <c r="C29" s="1203">
        <f ca="1">ROUND((C19+C20+C23+C26)/(1-F21-C24-C27-C28),0)</f>
        <v>1769</v>
      </c>
      <c r="D29" s="1204"/>
      <c r="E29" s="1202"/>
      <c r="F29" s="1205"/>
      <c r="G29" s="1530"/>
      <c r="H29" s="340" t="s">
        <v>820</v>
      </c>
      <c r="I29" s="341" t="s">
        <v>1199</v>
      </c>
      <c r="J29" s="342">
        <f ca="1">ROUND(J26/(1+F40)^F41,0)</f>
        <v>0</v>
      </c>
      <c r="K29" s="343" t="s">
        <v>1200</v>
      </c>
      <c r="L29" s="344"/>
      <c r="M29" s="345">
        <f ca="1">INDIRECT("'数据-取费表'!k"&amp;$G$1)</f>
        <v>2640.82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1144</v>
      </c>
      <c r="C30" s="316">
        <f ca="1">ROUND(C31+C36+C37+C38,0)</f>
        <v>94</v>
      </c>
      <c r="D30" s="1199" t="s">
        <v>1145</v>
      </c>
      <c r="E30" s="3190"/>
      <c r="F30" s="1184"/>
      <c r="G30" s="1518"/>
      <c r="H30" s="2871"/>
      <c r="I30" s="1532"/>
      <c r="J30" s="1533"/>
      <c r="K30" s="2647"/>
      <c r="L30" s="2872"/>
      <c r="M30" s="2873"/>
    </row>
    <row r="31" spans="1:37" ht="18" customHeight="1">
      <c r="A31" s="1093" t="s">
        <v>822</v>
      </c>
      <c r="B31" s="308" t="s">
        <v>1149</v>
      </c>
      <c r="C31" s="2483">
        <f ca="1">ROUND(IF(AND(项目基本情况!B11="自然人",项目基本情况!B10="北京市"),C6*F31/(1+'数据-取费表'!C42),C32+C33+C34),0)</f>
        <v>77</v>
      </c>
      <c r="D31" s="3188" t="s">
        <v>1150</v>
      </c>
      <c r="E31" s="3189" t="s">
        <v>1201</v>
      </c>
      <c r="F31" s="2482" t="str">
        <f>IF(项目基本情况!B11="企业","——",IF('数据-取费表'!B10="住宅",IF(F6*F7*F8/12/(1+'数据-取费表'!F30)&gt;100000,4%,2.5%),IF(F6*F7*F8/12/(1+'数据-取费表'!F30)&gt;100000,12%,7%)))</f>
        <v>——</v>
      </c>
      <c r="G31" s="1518"/>
      <c r="H31" s="2984" t="s">
        <v>2808</v>
      </c>
      <c r="I31" s="1532"/>
      <c r="J31" s="1533"/>
      <c r="K31" s="2647"/>
      <c r="L31" s="2872"/>
      <c r="M31" s="2873"/>
    </row>
    <row r="32" spans="1:37" ht="18" customHeight="1">
      <c r="A32" s="1093" t="s">
        <v>821</v>
      </c>
      <c r="B32" s="308" t="s">
        <v>1153</v>
      </c>
      <c r="C32" s="24">
        <f ca="1">IF(项目基本情况!B11="自然人","——",ROUND(C6*F32/(1+'数据-取费表'!C42),2))</f>
        <v>24.43</v>
      </c>
      <c r="D32" s="3189" t="s">
        <v>1154</v>
      </c>
      <c r="E32" s="308" t="s">
        <v>1142</v>
      </c>
      <c r="F32" s="337">
        <f>'数据-取费表'!B41</f>
        <v>5.6000000000000001E-2</v>
      </c>
      <c r="G32" s="1518"/>
      <c r="H32" s="2871"/>
      <c r="I32" s="1532"/>
      <c r="J32" s="1533"/>
      <c r="K32" s="2647"/>
      <c r="L32" s="2872"/>
      <c r="M32" s="2873"/>
    </row>
    <row r="33" spans="1:18" ht="18" customHeight="1">
      <c r="A33" s="1093" t="s">
        <v>823</v>
      </c>
      <c r="B33" s="308" t="s">
        <v>1157</v>
      </c>
      <c r="C33" s="24">
        <f ca="1">IF(项目基本情况!B11="自然人","——",IF(D33="按租金收入计税",ROUND(C6*F33/(1+'数据-取费表'!C42),2),IF(D33="按房产原值计税",ROUND(C29*F33*0.7,2),INDIRECT("'数据-取费表'!Aj"&amp;$G$1))))</f>
        <v>52.34</v>
      </c>
      <c r="D33" s="1504" t="s">
        <v>3728</v>
      </c>
      <c r="E33" s="308" t="s">
        <v>1142</v>
      </c>
      <c r="F33" s="328">
        <f>IF(D33="按票据","——",IF(D33="按租金收入计税",'数据-取费表'!B51,'数据-取费表'!B50))</f>
        <v>0.12</v>
      </c>
      <c r="G33" s="1518"/>
      <c r="H33" s="2874"/>
      <c r="I33" s="1532"/>
      <c r="J33" s="1533"/>
      <c r="K33" s="2875"/>
      <c r="L33" s="2874"/>
      <c r="M33" s="2874"/>
    </row>
    <row r="34" spans="1:18" ht="18" customHeight="1">
      <c r="A34" s="1181" t="s">
        <v>1109</v>
      </c>
      <c r="B34" s="160" t="s">
        <v>1161</v>
      </c>
      <c r="C34" s="25">
        <f ca="1">IF(项目基本情况!B11="自然人","——",ROUND(F34*F35/10000,2))</f>
        <v>0.36</v>
      </c>
      <c r="D34" s="330" t="s">
        <v>1162</v>
      </c>
      <c r="E34" s="308" t="s">
        <v>1163</v>
      </c>
      <c r="F34" s="331">
        <f>'数据-取费表'!B52</f>
        <v>24</v>
      </c>
      <c r="G34" s="1518"/>
      <c r="H34" s="2871"/>
      <c r="I34" s="1532"/>
      <c r="J34" s="1533"/>
      <c r="K34" s="2876"/>
      <c r="L34" s="2877"/>
      <c r="M34" s="2877"/>
    </row>
    <row r="35" spans="1:18" ht="18" customHeight="1">
      <c r="A35" s="1215"/>
      <c r="B35" s="1213"/>
      <c r="C35" s="29"/>
      <c r="D35" s="333"/>
      <c r="E35" s="308" t="s">
        <v>1167</v>
      </c>
      <c r="F35" s="309">
        <f ca="1">INDIRECT("'数据-取费表'!r"&amp;$G$1)</f>
        <v>152.03</v>
      </c>
      <c r="G35" s="1518"/>
      <c r="H35" s="2871"/>
      <c r="I35" s="1532"/>
      <c r="J35" s="1533"/>
      <c r="K35" s="2875"/>
      <c r="L35" s="2874"/>
      <c r="M35" s="2874"/>
    </row>
    <row r="36" spans="1:18" ht="18" customHeight="1">
      <c r="A36" s="1214" t="s">
        <v>826</v>
      </c>
      <c r="B36" s="308" t="s">
        <v>1169</v>
      </c>
      <c r="C36" s="24">
        <f ca="1">ROUND(C29*F36,1)</f>
        <v>8.8000000000000007</v>
      </c>
      <c r="D36" s="3189" t="s">
        <v>1202</v>
      </c>
      <c r="E36" s="308" t="s">
        <v>1142</v>
      </c>
      <c r="F36" s="334">
        <f ca="1">INDIRECT("'数据-取费表'!Ak"&amp;$G$1)</f>
        <v>5.0000000000000001E-3</v>
      </c>
      <c r="G36" s="1518"/>
      <c r="H36" s="2874"/>
      <c r="I36" s="1532"/>
      <c r="J36" s="1533"/>
      <c r="K36" s="2716"/>
      <c r="L36" s="2874"/>
      <c r="M36" s="2874"/>
    </row>
    <row r="37" spans="1:18" ht="18" customHeight="1">
      <c r="A37" s="1093" t="s">
        <v>862</v>
      </c>
      <c r="B37" s="308" t="s">
        <v>1173</v>
      </c>
      <c r="C37" s="24">
        <f ca="1">ROUND(C13*F37,1)</f>
        <v>1.7</v>
      </c>
      <c r="D37" s="3189" t="s">
        <v>1174</v>
      </c>
      <c r="E37" s="308" t="s">
        <v>1142</v>
      </c>
      <c r="F37" s="336">
        <f ca="1">INDIRECT("'数据-取费表'!Al"&amp;$G$1)</f>
        <v>1E-3</v>
      </c>
      <c r="G37" s="1518"/>
      <c r="H37" s="2874"/>
      <c r="I37" s="1532"/>
      <c r="J37" s="1533"/>
      <c r="K37" s="2716"/>
      <c r="L37" s="2874"/>
      <c r="M37" s="2874"/>
    </row>
    <row r="38" spans="1:18" ht="18" customHeight="1" thickBot="1">
      <c r="A38" s="1201" t="s">
        <v>1112</v>
      </c>
      <c r="B38" s="1202" t="s">
        <v>1159</v>
      </c>
      <c r="C38" s="1203">
        <f ca="1">ROUND(C5*F38,1)</f>
        <v>6.9</v>
      </c>
      <c r="D38" s="1204" t="s">
        <v>1179</v>
      </c>
      <c r="E38" s="1202" t="s">
        <v>1142</v>
      </c>
      <c r="F38" s="1198">
        <f ca="1">INDIRECT("'数据-取费表'!Am"&amp;$G$1)</f>
        <v>1.4999999999999999E-2</v>
      </c>
      <c r="G38" s="1518"/>
      <c r="H38" s="2874"/>
      <c r="I38" s="1532"/>
      <c r="J38" s="1533"/>
      <c r="K38" s="2878"/>
      <c r="L38" s="2874"/>
      <c r="M38" s="2874"/>
    </row>
    <row r="39" spans="1:18" ht="24.65" customHeight="1" thickTop="1">
      <c r="A39" s="1191" t="s">
        <v>818</v>
      </c>
      <c r="B39" s="1206" t="s">
        <v>1183</v>
      </c>
      <c r="C39" s="316">
        <f ca="1">C5-C30</f>
        <v>365</v>
      </c>
      <c r="D39" s="1207" t="s">
        <v>1184</v>
      </c>
      <c r="E39" s="1208"/>
      <c r="F39" s="1209"/>
      <c r="G39" s="1518"/>
      <c r="H39" s="2874"/>
      <c r="I39" s="1532"/>
      <c r="J39" s="1533"/>
      <c r="K39" s="2878"/>
      <c r="L39" s="2874"/>
      <c r="M39" s="2874"/>
    </row>
    <row r="40" spans="1:18" ht="18" customHeight="1">
      <c r="A40" s="305" t="s">
        <v>819</v>
      </c>
      <c r="B40" s="306" t="s">
        <v>1205</v>
      </c>
      <c r="C40" s="307">
        <f ca="1">ROUND(C39*(1-((1+F42)/(1+F40))^F41)/(F40-F42),0)</f>
        <v>7874</v>
      </c>
      <c r="D40" s="330" t="s">
        <v>1189</v>
      </c>
      <c r="E40" s="308" t="s">
        <v>1190</v>
      </c>
      <c r="F40" s="318">
        <f ca="1">INDIRECT("'数据-取费表'!I"&amp;$G$1)</f>
        <v>5.5E-2</v>
      </c>
      <c r="G40" s="1518"/>
      <c r="H40" s="1595"/>
      <c r="I40" s="1532"/>
      <c r="J40" s="1533"/>
      <c r="K40" s="2878"/>
      <c r="L40" s="1595"/>
      <c r="M40" s="1595"/>
    </row>
    <row r="41" spans="1:18" ht="18" customHeight="1">
      <c r="A41" s="310"/>
      <c r="B41" s="311"/>
      <c r="C41" s="312"/>
      <c r="D41" s="338" t="s">
        <v>1206</v>
      </c>
      <c r="E41" s="308" t="s">
        <v>1194</v>
      </c>
      <c r="F41" s="339">
        <f ca="1">IF(INDIRECT("'数据-取费表'!af"&amp;$G$1)=0,INDIRECT("'数据-取费表'!ae"&amp;$G$1),INDIRECT("'数据-取费表'!af"&amp;$G$1))</f>
        <v>32.32</v>
      </c>
      <c r="G41" s="1518"/>
      <c r="H41" s="1305"/>
      <c r="I41" s="1532"/>
      <c r="J41" s="1533"/>
      <c r="K41" s="2716"/>
      <c r="L41" s="1305"/>
      <c r="M41" s="1305"/>
    </row>
    <row r="42" spans="1:18" ht="18" customHeight="1">
      <c r="A42" s="314"/>
      <c r="B42" s="315"/>
      <c r="C42" s="316"/>
      <c r="D42" s="333"/>
      <c r="E42" s="308" t="s">
        <v>1197</v>
      </c>
      <c r="F42" s="318">
        <f ca="1">INDIRECT("'数据-取费表'!v"&amp;$G$1)</f>
        <v>0.03</v>
      </c>
      <c r="G42" s="1518"/>
      <c r="H42" s="1305"/>
      <c r="I42" s="1532"/>
      <c r="J42" s="1533"/>
      <c r="K42" s="2716"/>
      <c r="L42" s="1305"/>
      <c r="M42" s="1305"/>
    </row>
    <row r="43" spans="1:18" ht="18" customHeight="1" thickBot="1">
      <c r="A43" s="340" t="s">
        <v>820</v>
      </c>
      <c r="B43" s="341" t="s">
        <v>1207</v>
      </c>
      <c r="C43" s="342">
        <f ca="1">ROUND(C40*10000/F43,0)</f>
        <v>29816</v>
      </c>
      <c r="D43" s="343" t="s">
        <v>1208</v>
      </c>
      <c r="E43" s="344" t="s">
        <v>1209</v>
      </c>
      <c r="F43" s="345">
        <f ca="1">INDIRECT("'数据-取费表'!k"&amp;$G$1)</f>
        <v>2640.82</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9" t="s">
        <v>1239</v>
      </c>
      <c r="P45" s="1595"/>
      <c r="Q45" s="1595"/>
      <c r="R45" s="1595"/>
    </row>
    <row r="46" spans="1:18" s="1518" customFormat="1" ht="14" thickBot="1">
      <c r="A46" s="1538" t="s">
        <v>1240</v>
      </c>
      <c r="C46" s="1539">
        <f ca="1">C68-C40</f>
        <v>-10268</v>
      </c>
      <c r="D46" s="1540" t="str">
        <f>C2</f>
        <v>万元</v>
      </c>
      <c r="E46" s="1534"/>
      <c r="F46" s="1534"/>
      <c r="I46" s="1541" t="s">
        <v>1241</v>
      </c>
      <c r="J46" s="1542"/>
      <c r="K46" s="1543"/>
      <c r="L46" s="1544">
        <f ca="1">IF(M47="住宅",0,IF(L48&gt;J51,L60,J60))</f>
        <v>72</v>
      </c>
      <c r="O46" s="1545" t="s">
        <v>1242</v>
      </c>
      <c r="P46" s="1546" t="s">
        <v>1243</v>
      </c>
      <c r="Q46" s="1547" t="s">
        <v>1244</v>
      </c>
      <c r="R46" s="1547" t="s">
        <v>1245</v>
      </c>
    </row>
    <row r="47" spans="1:18" s="1518" customFormat="1" ht="13.5" thickBot="1">
      <c r="A47" s="1057" t="s">
        <v>1116</v>
      </c>
      <c r="B47" s="1089" t="s">
        <v>1117</v>
      </c>
      <c r="C47" s="1229" t="s">
        <v>1118</v>
      </c>
      <c r="D47" s="1089" t="s">
        <v>1119</v>
      </c>
      <c r="E47" s="1169" t="s">
        <v>1120</v>
      </c>
      <c r="F47" s="1170"/>
      <c r="G47" s="731"/>
      <c r="I47" s="1548" t="s">
        <v>1246</v>
      </c>
      <c r="J47" s="1549" t="s">
        <v>3729</v>
      </c>
      <c r="K47" s="1550" t="s">
        <v>1247</v>
      </c>
      <c r="L47" s="1551">
        <f ca="1">INDIRECT("'数据-取费表'!d"&amp;$G$1)</f>
        <v>50</v>
      </c>
      <c r="M47" s="1514" t="str">
        <f>IF(ISNUMBER(FIND("住宅",C1)),"住宅","非住宅")</f>
        <v>非住宅</v>
      </c>
      <c r="O47" s="1552" t="s">
        <v>827</v>
      </c>
      <c r="P47" s="1553" t="s">
        <v>1248</v>
      </c>
      <c r="Q47" s="1554">
        <f ca="1">C40+J29</f>
        <v>7874</v>
      </c>
      <c r="R47" s="1554" t="s">
        <v>1249</v>
      </c>
    </row>
    <row r="48" spans="1:18" s="1518" customFormat="1" ht="43.5" thickBot="1">
      <c r="A48" s="1222" t="s">
        <v>863</v>
      </c>
      <c r="B48" s="306" t="s">
        <v>1121</v>
      </c>
      <c r="C48" s="3191">
        <f ca="1">C49+C53+C55</f>
        <v>0</v>
      </c>
      <c r="D48" s="1224"/>
      <c r="E48" s="1225"/>
      <c r="F48" s="1073"/>
      <c r="G48" s="731"/>
      <c r="H48" s="732"/>
      <c r="I48" s="1555" t="s">
        <v>1250</v>
      </c>
      <c r="J48" s="1556" t="s">
        <v>3730</v>
      </c>
      <c r="K48" s="1557" t="s">
        <v>1251</v>
      </c>
      <c r="L48" s="1558">
        <f ca="1">INDIRECT("'数据-取费表'!f"&amp;$G$1)</f>
        <v>32.32</v>
      </c>
      <c r="O48" s="1552" t="s">
        <v>828</v>
      </c>
      <c r="P48" s="1553" t="s">
        <v>1252</v>
      </c>
      <c r="Q48" s="1554">
        <f ca="1">J60</f>
        <v>72</v>
      </c>
      <c r="R48" s="1554" t="s">
        <v>1253</v>
      </c>
    </row>
    <row r="49" spans="1:18" s="1518" customFormat="1" ht="13.5" thickBot="1">
      <c r="A49" s="1086" t="s">
        <v>864</v>
      </c>
      <c r="B49" s="1505" t="s">
        <v>1210</v>
      </c>
      <c r="C49" s="1226">
        <f ca="1">ROUND(F49*F51*F50*(1-F52)/10000,0)</f>
        <v>0</v>
      </c>
      <c r="D49" s="1166" t="s">
        <v>2604</v>
      </c>
      <c r="E49" s="1506" t="s">
        <v>1211</v>
      </c>
      <c r="F49" s="1171"/>
      <c r="G49" s="1559"/>
      <c r="H49" s="732"/>
      <c r="I49" s="1555" t="s">
        <v>1254</v>
      </c>
      <c r="J49" s="1560">
        <v>2021</v>
      </c>
      <c r="K49" s="1557" t="s">
        <v>1255</v>
      </c>
      <c r="L49" s="1561"/>
      <c r="O49" s="1562" t="s">
        <v>829</v>
      </c>
      <c r="P49" s="1553" t="s">
        <v>1256</v>
      </c>
      <c r="Q49" s="1554">
        <f ca="1">C29</f>
        <v>1769</v>
      </c>
      <c r="R49" s="1554" t="s">
        <v>1249</v>
      </c>
    </row>
    <row r="50" spans="1:18" s="1518" customFormat="1" ht="13.5" thickBot="1">
      <c r="A50" s="1087"/>
      <c r="B50" s="1090"/>
      <c r="C50" s="1230"/>
      <c r="D50" s="1064"/>
      <c r="E50" s="1167" t="s">
        <v>1126</v>
      </c>
      <c r="F50" s="1168">
        <f ca="1">F7</f>
        <v>2640.82</v>
      </c>
      <c r="H50" s="732"/>
      <c r="I50" s="1555" t="s">
        <v>1257</v>
      </c>
      <c r="J50" s="1563">
        <f>SUMPRODUCT((I63:I65=J47)*(J62:L62=J48)*(J63:L65))</f>
        <v>60</v>
      </c>
      <c r="K50" s="1557" t="s">
        <v>1258</v>
      </c>
      <c r="L50" s="1561"/>
      <c r="M50" s="1564"/>
      <c r="O50" s="1562" t="s">
        <v>830</v>
      </c>
      <c r="P50" s="1553" t="s">
        <v>1259</v>
      </c>
      <c r="Q50" s="1565">
        <f ca="1">J58</f>
        <v>0.44500000000000001</v>
      </c>
      <c r="R50" s="1554"/>
    </row>
    <row r="51" spans="1:18" s="1518" customFormat="1" ht="13.5" thickBot="1">
      <c r="A51" s="1088"/>
      <c r="B51" s="1090"/>
      <c r="C51" s="1091"/>
      <c r="D51" s="1064"/>
      <c r="E51" s="1092" t="s">
        <v>1127</v>
      </c>
      <c r="F51" s="309">
        <f ca="1">F8</f>
        <v>365</v>
      </c>
      <c r="I51" s="1566" t="s">
        <v>1260</v>
      </c>
      <c r="J51" s="1567">
        <f>IF(J49="",J50,J49+J50-YEAR('数据-取费表'!B2))</f>
        <v>59</v>
      </c>
      <c r="K51" s="1568" t="s">
        <v>1261</v>
      </c>
      <c r="L51" s="1569">
        <f ca="1">ROUND(-PV(INDIRECT("'数据-取费表'!h"&amp;$G$1),J51,(C39-C13*C76),0),0)</f>
        <v>4599</v>
      </c>
      <c r="M51" s="1570"/>
      <c r="O51" s="1562" t="s">
        <v>831</v>
      </c>
      <c r="P51" s="1553" t="s">
        <v>1262</v>
      </c>
      <c r="Q51" s="1565">
        <f>J52</f>
        <v>7.6999999999999999E-2</v>
      </c>
      <c r="R51" s="1554"/>
    </row>
    <row r="52" spans="1:18" s="1518" customFormat="1" ht="13.5" thickBot="1">
      <c r="A52" s="1088"/>
      <c r="B52" s="1090"/>
      <c r="C52" s="1091"/>
      <c r="D52" s="1064"/>
      <c r="E52" s="1092" t="s">
        <v>1128</v>
      </c>
      <c r="F52" s="1165"/>
      <c r="I52" s="1571" t="s">
        <v>1263</v>
      </c>
      <c r="J52" s="1572">
        <f>'收益法(车库)'!J52</f>
        <v>7.6999999999999999E-2</v>
      </c>
      <c r="K52" s="1571" t="s">
        <v>1264</v>
      </c>
      <c r="L52" s="1572"/>
      <c r="O52" s="1562" t="s">
        <v>832</v>
      </c>
      <c r="P52" s="1553" t="s">
        <v>1265</v>
      </c>
      <c r="Q52" s="1554">
        <f ca="1">J53</f>
        <v>32.32</v>
      </c>
      <c r="R52" s="1554" t="s">
        <v>1266</v>
      </c>
    </row>
    <row r="53" spans="1:18" s="1518" customFormat="1" ht="26.5" thickBot="1">
      <c r="A53" s="1266" t="s">
        <v>865</v>
      </c>
      <c r="B53" s="1507" t="s">
        <v>1129</v>
      </c>
      <c r="C53" s="322">
        <f ca="1">ROUND(IF(F53="押一",C49/12*F11,IF(F53="押二",C49/12*2*F11,IF(F53="押三",C49/12*3*F11,C54*F11))),0)</f>
        <v>0</v>
      </c>
      <c r="D53" s="1500" t="s">
        <v>2612</v>
      </c>
      <c r="E53" s="319" t="s">
        <v>1130</v>
      </c>
      <c r="F53" s="1228"/>
      <c r="I53" s="1573" t="s">
        <v>1267</v>
      </c>
      <c r="J53" s="2335">
        <f ca="1">IF(M47="住宅",IF(D1="——",MAX(J51,L48),MAX(J51,L48-'数据-取费表'!B24)),IF(D1="——",MIN(J51,L48),MIN(J51,L48-'数据-取费表'!B24)))</f>
        <v>32.32</v>
      </c>
      <c r="K53" s="3589" t="s">
        <v>1268</v>
      </c>
      <c r="L53" s="3590"/>
      <c r="O53" s="1552" t="s">
        <v>833</v>
      </c>
      <c r="P53" s="1553" t="s">
        <v>1269</v>
      </c>
      <c r="Q53" s="1554">
        <f ca="1">Q47+Q48</f>
        <v>7946</v>
      </c>
      <c r="R53" s="1554" t="s">
        <v>834</v>
      </c>
    </row>
    <row r="54" spans="1:18" s="1518" customFormat="1" ht="26.5" thickBot="1">
      <c r="A54" s="1267"/>
      <c r="B54" s="1501" t="s">
        <v>1108</v>
      </c>
      <c r="C54" s="1070"/>
      <c r="D54" s="1500"/>
      <c r="E54" s="3186"/>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1270</v>
      </c>
      <c r="P54" s="1515"/>
      <c r="Q54" s="1515"/>
      <c r="R54" s="1515"/>
    </row>
    <row r="55" spans="1:18" s="1518" customFormat="1" ht="13.5" thickBot="1">
      <c r="A55" s="1195" t="s">
        <v>862</v>
      </c>
      <c r="B55" s="1503" t="s">
        <v>1133</v>
      </c>
      <c r="C55" s="1196"/>
      <c r="D55" s="1500"/>
      <c r="E55" s="3186"/>
      <c r="F55" s="1574"/>
      <c r="I55" s="1577" t="s">
        <v>1271</v>
      </c>
      <c r="J55" s="1578">
        <f ca="1">ROUND(IF(J47="钢混",J57/J50,1-(1-2%)*(J50-J57)/J50),3)</f>
        <v>0.44500000000000001</v>
      </c>
      <c r="K55" s="1579" t="s">
        <v>1272</v>
      </c>
      <c r="L55" s="1580" t="s">
        <v>1273</v>
      </c>
      <c r="O55" s="1545" t="s">
        <v>1242</v>
      </c>
      <c r="P55" s="1546" t="s">
        <v>1243</v>
      </c>
      <c r="Q55" s="1547" t="s">
        <v>1244</v>
      </c>
      <c r="R55" s="1547" t="s">
        <v>1245</v>
      </c>
    </row>
    <row r="56" spans="1:18" s="1518" customFormat="1" ht="40" thickTop="1" thickBot="1">
      <c r="A56" s="1068">
        <v>2</v>
      </c>
      <c r="B56" s="1069" t="s">
        <v>1134</v>
      </c>
      <c r="C56" s="238">
        <f ca="1">C13</f>
        <v>1734</v>
      </c>
      <c r="D56" s="1581"/>
      <c r="E56" s="1582"/>
      <c r="F56" s="1574"/>
      <c r="I56" s="1583" t="s">
        <v>1274</v>
      </c>
      <c r="J56" s="1584" t="s">
        <v>3746</v>
      </c>
      <c r="K56" s="1555" t="s">
        <v>1275</v>
      </c>
      <c r="L56" s="1558" t="str">
        <f ca="1">IF(L48&lt;J51,"——",L48-J53)</f>
        <v>——</v>
      </c>
      <c r="O56" s="1552" t="s">
        <v>827</v>
      </c>
      <c r="P56" s="1553" t="s">
        <v>1248</v>
      </c>
      <c r="Q56" s="1554">
        <f ca="1">C40+J29</f>
        <v>7874</v>
      </c>
      <c r="R56" s="1554" t="s">
        <v>1249</v>
      </c>
    </row>
    <row r="57" spans="1:18" s="1518" customFormat="1" ht="26.5" thickBot="1">
      <c r="A57" s="1585"/>
      <c r="B57" s="1061" t="s">
        <v>1198</v>
      </c>
      <c r="C57" s="244">
        <f ca="1">C29</f>
        <v>1769</v>
      </c>
      <c r="D57" s="1586"/>
      <c r="E57" s="1587"/>
      <c r="F57" s="1588"/>
      <c r="I57" s="1589" t="s">
        <v>1276</v>
      </c>
      <c r="J57" s="1590">
        <f ca="1">IF(OR(M47="住宅",J51&lt;L48,J56="是"),"——",J51-L48)</f>
        <v>26.68</v>
      </c>
      <c r="K57" s="1555" t="s">
        <v>1277</v>
      </c>
      <c r="L57" s="1558" t="str">
        <f ca="1">IF(L48&lt;J51,"——",IF(L55="比较法",L49,IF(L55="基准地价",L50,L51)))</f>
        <v>——</v>
      </c>
      <c r="O57" s="1552" t="s">
        <v>828</v>
      </c>
      <c r="P57" s="1553" t="s">
        <v>1278</v>
      </c>
      <c r="Q57" s="1554">
        <f ca="1">L60</f>
        <v>0</v>
      </c>
      <c r="R57" s="1554" t="s">
        <v>1279</v>
      </c>
    </row>
    <row r="58" spans="1:18" s="1518" customFormat="1" ht="26.5" thickBot="1">
      <c r="A58" s="321" t="s">
        <v>817</v>
      </c>
      <c r="B58" s="1069" t="s">
        <v>1144</v>
      </c>
      <c r="C58" s="322">
        <f ca="1">ROUND(C59+C64+C65+C66,0)</f>
        <v>160</v>
      </c>
      <c r="D58" s="1071" t="s">
        <v>1145</v>
      </c>
      <c r="E58" s="1072"/>
      <c r="F58" s="1073"/>
      <c r="I58" s="1589" t="s">
        <v>1280</v>
      </c>
      <c r="J58" s="1591">
        <f ca="1">IF(J55&lt;0.4,0.4,J55)</f>
        <v>0.44500000000000001</v>
      </c>
      <c r="K58" s="1568" t="s">
        <v>1281</v>
      </c>
      <c r="L58" s="1558" t="e">
        <f ca="1">ROUND(POWER(1+L52,L47-L48)*(POWER(1+L52,L48)-1)/(POWER(1+L52,L47)-1),4)</f>
        <v>#DIV/0!</v>
      </c>
      <c r="O58" s="1562" t="s">
        <v>829</v>
      </c>
      <c r="P58" s="1553" t="s">
        <v>1282</v>
      </c>
      <c r="Q58" s="1554">
        <f>IF(L55="比较法",L49,IF(L55="基准地价",L50,0))</f>
        <v>0</v>
      </c>
      <c r="R58" s="1554" t="s">
        <v>1249</v>
      </c>
    </row>
    <row r="59" spans="1:18" s="1518" customFormat="1" ht="26.5" thickBot="1">
      <c r="A59" s="1093" t="s">
        <v>822</v>
      </c>
      <c r="B59" s="1061" t="s">
        <v>1149</v>
      </c>
      <c r="C59" s="2483">
        <f ca="1">ROUND(IF(AND(项目基本情况!B11="自然人",项目基本情况!B10="北京市"),C49*F59/(1+'数据-取费表'!C42),C60+C61+C62),0)</f>
        <v>149</v>
      </c>
      <c r="D59" s="1074" t="s">
        <v>1150</v>
      </c>
      <c r="E59" s="1075" t="s">
        <v>1151</v>
      </c>
      <c r="F59" s="2482" t="str">
        <f>IF(项目基本情况!B11="企业","——",IF('数据-取费表'!B10="住宅",IF(F49*F50*F51/12/(1+'数据-取费表'!F30)&gt;100000,4%,2.5%),IF(F49*F50*F51/12/(1+'数据-取费表'!F30)&gt;100000,12%,7%)))</f>
        <v>——</v>
      </c>
      <c r="I59" s="1589" t="s">
        <v>1283</v>
      </c>
      <c r="J59" s="1590">
        <f ca="1">IF(OR(M47="住宅",J51&lt;L48,J56="是"),"——",ROUND(C29*J58,0))</f>
        <v>787</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1284</v>
      </c>
      <c r="Q59" s="1565">
        <f>L52</f>
        <v>0</v>
      </c>
      <c r="R59" s="1554"/>
    </row>
    <row r="60" spans="1:18" s="1518" customFormat="1" ht="16" thickBot="1">
      <c r="A60" s="1093" t="s">
        <v>821</v>
      </c>
      <c r="B60" s="1061" t="s">
        <v>1153</v>
      </c>
      <c r="C60" s="24">
        <f ca="1">IF(项目基本情况!B11="自然人","——",ROUND(C48*F60/(1+'数据-取费表'!C42),2))</f>
        <v>0</v>
      </c>
      <c r="D60" s="1075" t="s">
        <v>1154</v>
      </c>
      <c r="E60" s="1061" t="s">
        <v>1142</v>
      </c>
      <c r="F60" s="337">
        <f t="shared" ref="F60:F66" si="0">F32</f>
        <v>5.6000000000000001E-2</v>
      </c>
      <c r="I60" s="1592" t="s">
        <v>1285</v>
      </c>
      <c r="J60" s="1593">
        <f ca="1">IF(OR(M47="住宅",J51&lt;L48,J56="是"),"0",ROUND(J59/(1+J52)^J53,0))</f>
        <v>72</v>
      </c>
      <c r="K60" s="1594" t="s">
        <v>1286</v>
      </c>
      <c r="L60" s="1593">
        <f ca="1">IF(OR(M47="住宅",L48&lt;J51),0,ROUND(L57*(L58/L59-1),0))</f>
        <v>0</v>
      </c>
      <c r="O60" s="1562" t="s">
        <v>831</v>
      </c>
      <c r="P60" s="1553" t="s">
        <v>1287</v>
      </c>
      <c r="Q60" s="1554" t="e">
        <f ca="1">L58</f>
        <v>#DIV/0!</v>
      </c>
      <c r="R60" s="1554" t="s">
        <v>1288</v>
      </c>
    </row>
    <row r="61" spans="1:18" s="1518" customFormat="1" ht="13.5" thickBot="1">
      <c r="A61" s="1093" t="s">
        <v>1212</v>
      </c>
      <c r="B61" s="1061" t="s">
        <v>1157</v>
      </c>
      <c r="C61" s="24">
        <f ca="1">IF(项目基本情况!B11="自然人","——",IF(D61="按租金收入计税",ROUND(C49*F61/(1+'数据-取费表'!C42),2),IF(D61="按房产原值计税",ROUND(C57*F61*0.7,2),INDIRECT("'数据-取费表'!Aj"&amp;$G$1))))</f>
        <v>148.6</v>
      </c>
      <c r="D61" s="1504" t="s">
        <v>1158</v>
      </c>
      <c r="E61" s="1061" t="s">
        <v>1142</v>
      </c>
      <c r="F61" s="328">
        <f t="shared" si="0"/>
        <v>0.12</v>
      </c>
      <c r="I61" s="1595"/>
      <c r="J61" s="1595"/>
      <c r="K61" s="1595"/>
      <c r="L61" s="1595"/>
      <c r="O61" s="1562" t="s">
        <v>832</v>
      </c>
      <c r="P61" s="1553" t="str">
        <f>K59</f>
        <v>建筑物剩余耐用年限下的土地年期修正系数Kn</v>
      </c>
      <c r="Q61" s="1554" t="e">
        <f ca="1">L59</f>
        <v>#DIV/0!</v>
      </c>
      <c r="R61" s="1554" t="s">
        <v>1289</v>
      </c>
    </row>
    <row r="62" spans="1:18" s="1518" customFormat="1" ht="13.5" thickBot="1">
      <c r="A62" s="1093" t="s">
        <v>1215</v>
      </c>
      <c r="B62" s="1060" t="s">
        <v>1161</v>
      </c>
      <c r="C62" s="25">
        <f ca="1">IF(项目基本情况!B11="自然人","——",ROUND(F62*F63/10000,2))</f>
        <v>0.36</v>
      </c>
      <c r="D62" s="1076" t="s">
        <v>1162</v>
      </c>
      <c r="E62" s="1061" t="s">
        <v>1163</v>
      </c>
      <c r="F62" s="331">
        <f t="shared" si="0"/>
        <v>24</v>
      </c>
      <c r="I62" s="1596" t="s">
        <v>1290</v>
      </c>
      <c r="J62" s="1597" t="s">
        <v>1291</v>
      </c>
      <c r="K62" s="1597" t="s">
        <v>1292</v>
      </c>
      <c r="L62" s="1597" t="s">
        <v>1293</v>
      </c>
      <c r="M62" s="1598" t="s">
        <v>1294</v>
      </c>
      <c r="O62" s="1552" t="s">
        <v>833</v>
      </c>
      <c r="P62" s="1553" t="s">
        <v>1269</v>
      </c>
      <c r="Q62" s="1554">
        <f ca="1">Q56+Q57</f>
        <v>7874</v>
      </c>
      <c r="R62" s="1554" t="s">
        <v>834</v>
      </c>
    </row>
    <row r="63" spans="1:18" s="1518" customFormat="1" ht="13.5" thickBot="1">
      <c r="A63" s="332"/>
      <c r="B63" s="1067"/>
      <c r="C63" s="29"/>
      <c r="D63" s="1077"/>
      <c r="E63" s="1061" t="s">
        <v>1167</v>
      </c>
      <c r="F63" s="309">
        <f t="shared" ca="1" si="0"/>
        <v>152.03</v>
      </c>
      <c r="I63" s="1596" t="s">
        <v>1296</v>
      </c>
      <c r="J63" s="1597">
        <v>70</v>
      </c>
      <c r="K63" s="1597">
        <v>50</v>
      </c>
      <c r="L63" s="1597">
        <v>80</v>
      </c>
      <c r="M63" s="1599">
        <v>0.02</v>
      </c>
      <c r="O63" s="1537" t="s">
        <v>1297</v>
      </c>
      <c r="P63" s="1515"/>
      <c r="Q63" s="1515"/>
      <c r="R63" s="1515"/>
    </row>
    <row r="64" spans="1:18" s="1518" customFormat="1" ht="13.5" thickBot="1">
      <c r="A64" s="1093" t="s">
        <v>826</v>
      </c>
      <c r="B64" s="1061" t="s">
        <v>1169</v>
      </c>
      <c r="C64" s="24">
        <f ca="1">ROUND(C57*F64,1)</f>
        <v>8.8000000000000007</v>
      </c>
      <c r="D64" s="1075" t="s">
        <v>1202</v>
      </c>
      <c r="E64" s="1061" t="s">
        <v>1142</v>
      </c>
      <c r="F64" s="334">
        <f t="shared" ca="1" si="0"/>
        <v>5.0000000000000001E-3</v>
      </c>
      <c r="I64" s="1596" t="s">
        <v>1298</v>
      </c>
      <c r="J64" s="1597">
        <v>50</v>
      </c>
      <c r="K64" s="1597">
        <v>35</v>
      </c>
      <c r="L64" s="1597">
        <v>60</v>
      </c>
      <c r="M64" s="1598">
        <v>0</v>
      </c>
      <c r="O64" s="1545" t="s">
        <v>1242</v>
      </c>
      <c r="P64" s="1546" t="s">
        <v>1243</v>
      </c>
      <c r="Q64" s="1547" t="s">
        <v>1244</v>
      </c>
      <c r="R64" s="1547" t="s">
        <v>1245</v>
      </c>
    </row>
    <row r="65" spans="1:18" s="1518" customFormat="1" ht="13.5" thickBot="1">
      <c r="A65" s="1093" t="s">
        <v>1223</v>
      </c>
      <c r="B65" s="1061" t="s">
        <v>1173</v>
      </c>
      <c r="C65" s="24">
        <f ca="1">ROUND(C56*F65,1)</f>
        <v>1.7</v>
      </c>
      <c r="D65" s="1075" t="s">
        <v>1174</v>
      </c>
      <c r="E65" s="1061" t="s">
        <v>1142</v>
      </c>
      <c r="F65" s="336">
        <f t="shared" ca="1" si="0"/>
        <v>1E-3</v>
      </c>
      <c r="I65" s="1596" t="s">
        <v>1299</v>
      </c>
      <c r="J65" s="1597">
        <v>40</v>
      </c>
      <c r="K65" s="1597">
        <v>30</v>
      </c>
      <c r="L65" s="1597">
        <v>50</v>
      </c>
      <c r="M65" s="1599">
        <v>0.02</v>
      </c>
      <c r="O65" s="1552" t="s">
        <v>827</v>
      </c>
      <c r="P65" s="1553" t="s">
        <v>1248</v>
      </c>
      <c r="Q65" s="1554">
        <f ca="1">C40+J29</f>
        <v>7874</v>
      </c>
      <c r="R65" s="1554" t="s">
        <v>1249</v>
      </c>
    </row>
    <row r="66" spans="1:18" s="1518" customFormat="1" ht="16" thickBot="1">
      <c r="A66" s="1093" t="s">
        <v>1224</v>
      </c>
      <c r="B66" s="1061" t="s">
        <v>1159</v>
      </c>
      <c r="C66" s="24">
        <f ca="1">ROUND(C48*F66,1)</f>
        <v>0</v>
      </c>
      <c r="D66" s="1075" t="s">
        <v>1179</v>
      </c>
      <c r="E66" s="1061" t="s">
        <v>1142</v>
      </c>
      <c r="F66" s="318">
        <f t="shared" ca="1" si="0"/>
        <v>1.4999999999999999E-2</v>
      </c>
      <c r="O66" s="1552" t="s">
        <v>828</v>
      </c>
      <c r="P66" s="1553" t="s">
        <v>1278</v>
      </c>
      <c r="Q66" s="1554">
        <f ca="1">L60</f>
        <v>0</v>
      </c>
      <c r="R66" s="1554" t="s">
        <v>1301</v>
      </c>
    </row>
    <row r="67" spans="1:18" s="1518" customFormat="1" ht="26.5" thickBot="1">
      <c r="A67" s="1068" t="s">
        <v>818</v>
      </c>
      <c r="B67" s="1078" t="s">
        <v>1183</v>
      </c>
      <c r="C67" s="322">
        <f ca="1">C48-C58</f>
        <v>-160</v>
      </c>
      <c r="D67" s="1074" t="s">
        <v>1184</v>
      </c>
      <c r="E67" s="1079"/>
      <c r="F67" s="1080"/>
      <c r="O67" s="1562" t="s">
        <v>829</v>
      </c>
      <c r="P67" s="1553" t="s">
        <v>1282</v>
      </c>
      <c r="Q67" s="1600">
        <f ca="1">L51</f>
        <v>4599</v>
      </c>
      <c r="R67" s="1554" t="s">
        <v>1302</v>
      </c>
    </row>
    <row r="68" spans="1:18" s="1518" customFormat="1" ht="16" thickBot="1">
      <c r="A68" s="1058" t="s">
        <v>819</v>
      </c>
      <c r="B68" s="1059" t="s">
        <v>1205</v>
      </c>
      <c r="C68" s="307">
        <f ca="1">ROUND(C67*(1-((1+F70)/(1+F68))^F69)/(F68-F70),0)</f>
        <v>-2394</v>
      </c>
      <c r="D68" s="1076" t="s">
        <v>1189</v>
      </c>
      <c r="E68" s="1061" t="s">
        <v>1190</v>
      </c>
      <c r="F68" s="318">
        <f ca="1">F40</f>
        <v>5.5E-2</v>
      </c>
      <c r="O68" s="1562" t="s">
        <v>830</v>
      </c>
      <c r="P68" s="1601" t="s">
        <v>1303</v>
      </c>
      <c r="Q68" s="1554">
        <f ca="1">ROUND(Q69-Q70*Q71,0)</f>
        <v>244</v>
      </c>
      <c r="R68" s="1554" t="s">
        <v>838</v>
      </c>
    </row>
    <row r="69" spans="1:18" s="1518" customFormat="1" ht="13.5" thickBot="1">
      <c r="A69" s="1062"/>
      <c r="B69" s="1063"/>
      <c r="C69" s="312"/>
      <c r="D69" s="1081" t="s">
        <v>1193</v>
      </c>
      <c r="E69" s="1061" t="s">
        <v>1194</v>
      </c>
      <c r="F69" s="339">
        <f ca="1">F41</f>
        <v>32.32</v>
      </c>
      <c r="O69" s="1562" t="s">
        <v>835</v>
      </c>
      <c r="P69" s="1601" t="s">
        <v>1304</v>
      </c>
      <c r="Q69" s="1554">
        <f ca="1">C39</f>
        <v>365</v>
      </c>
      <c r="R69" s="1554" t="s">
        <v>1249</v>
      </c>
    </row>
    <row r="70" spans="1:18" s="1518" customFormat="1" ht="13.5" thickBot="1">
      <c r="A70" s="1065"/>
      <c r="B70" s="1066"/>
      <c r="C70" s="316"/>
      <c r="D70" s="1077"/>
      <c r="E70" s="1061" t="s">
        <v>1197</v>
      </c>
      <c r="F70" s="1165"/>
      <c r="O70" s="1562" t="s">
        <v>836</v>
      </c>
      <c r="P70" s="1601" t="s">
        <v>1305</v>
      </c>
      <c r="Q70" s="1554">
        <f ca="1">C13</f>
        <v>1734</v>
      </c>
      <c r="R70" s="1554" t="s">
        <v>1249</v>
      </c>
    </row>
    <row r="71" spans="1:18" s="1518" customFormat="1" ht="13.5" thickBot="1">
      <c r="A71" s="1082" t="s">
        <v>820</v>
      </c>
      <c r="B71" s="1083" t="s">
        <v>1207</v>
      </c>
      <c r="C71" s="342">
        <f ca="1">ROUND(C68*10000/F71,0)</f>
        <v>-9065</v>
      </c>
      <c r="D71" s="1084" t="s">
        <v>1208</v>
      </c>
      <c r="E71" s="1085" t="s">
        <v>1209</v>
      </c>
      <c r="F71" s="345">
        <f ca="1">F43</f>
        <v>2640.82</v>
      </c>
      <c r="O71" s="1562" t="s">
        <v>837</v>
      </c>
      <c r="P71" s="1601" t="s">
        <v>1306</v>
      </c>
      <c r="Q71" s="1565">
        <f ca="1">C76</f>
        <v>7.0000000000000007E-2</v>
      </c>
      <c r="R71" s="1554"/>
    </row>
    <row r="72" spans="1:18" s="1518" customFormat="1" ht="13.5" thickBot="1">
      <c r="B72" s="735"/>
      <c r="C72" s="735"/>
      <c r="O72" s="1562" t="s">
        <v>831</v>
      </c>
      <c r="P72" s="1553" t="s">
        <v>1284</v>
      </c>
      <c r="Q72" s="1565">
        <f>L52</f>
        <v>0</v>
      </c>
      <c r="R72" s="1554"/>
    </row>
    <row r="73" spans="1:18" ht="16" thickBot="1">
      <c r="A73" s="1518"/>
      <c r="B73" s="735"/>
      <c r="C73" s="735"/>
      <c r="D73" s="1518"/>
      <c r="E73" s="1518"/>
      <c r="F73" s="1518"/>
      <c r="O73" s="1562" t="s">
        <v>832</v>
      </c>
      <c r="P73" s="1553" t="s">
        <v>1287</v>
      </c>
      <c r="Q73" s="1554" t="e">
        <f ca="1">L58</f>
        <v>#DIV/0!</v>
      </c>
      <c r="R73" s="1554" t="s">
        <v>1288</v>
      </c>
    </row>
    <row r="74" spans="1:18" ht="13.5" thickBot="1">
      <c r="A74" s="1518"/>
      <c r="B74" s="279" t="s">
        <v>1307</v>
      </c>
      <c r="C74" s="1603"/>
      <c r="D74" s="1518"/>
      <c r="E74" s="1518"/>
      <c r="F74" s="1518"/>
      <c r="O74" s="1562" t="s">
        <v>839</v>
      </c>
      <c r="P74" s="1553" t="str">
        <f>K59</f>
        <v>建筑物剩余耐用年限下的土地年期修正系数Kn</v>
      </c>
      <c r="Q74" s="1554" t="e">
        <f ca="1">L59</f>
        <v>#DIV/0!</v>
      </c>
      <c r="R74" s="1554" t="s">
        <v>1289</v>
      </c>
    </row>
    <row r="75" spans="1:18" ht="13.5" thickBot="1">
      <c r="A75" s="1518"/>
      <c r="B75" s="346" t="s">
        <v>1226</v>
      </c>
      <c r="C75" s="347">
        <f ca="1">ROUND(C13*C76,0)</f>
        <v>121</v>
      </c>
      <c r="D75" s="1518"/>
      <c r="E75" s="1518"/>
      <c r="F75" s="1518"/>
      <c r="K75" s="1536"/>
      <c r="L75" s="1518"/>
      <c r="O75" s="1552" t="s">
        <v>833</v>
      </c>
      <c r="P75" s="1553" t="s">
        <v>1269</v>
      </c>
      <c r="Q75" s="1554">
        <f ca="1">Q65+Q66</f>
        <v>7874</v>
      </c>
      <c r="R75" s="1554" t="s">
        <v>834</v>
      </c>
    </row>
    <row r="76" spans="1:18" ht="13">
      <c r="B76" s="348" t="s">
        <v>1227</v>
      </c>
      <c r="C76" s="349">
        <f ca="1">INDIRECT("'数据-取费表'!j"&amp;$G$1)</f>
        <v>7.0000000000000007E-2</v>
      </c>
      <c r="I76" s="1518"/>
      <c r="J76" s="1518"/>
      <c r="K76" s="1536"/>
      <c r="L76" s="1518"/>
    </row>
    <row r="77" spans="1:18" ht="13.5">
      <c r="B77" s="350" t="s">
        <v>1228</v>
      </c>
      <c r="C77" s="351"/>
      <c r="I77" s="1518"/>
      <c r="J77" s="1518"/>
      <c r="K77" s="1536"/>
      <c r="L77" s="1518"/>
    </row>
    <row r="78" spans="1:18" ht="13.5">
      <c r="B78" s="276" t="s">
        <v>1229</v>
      </c>
      <c r="C78" s="352"/>
    </row>
    <row r="79" spans="1:18" ht="13">
      <c r="B79" s="346" t="s">
        <v>1230</v>
      </c>
      <c r="C79" s="280">
        <f ca="1">1-C80</f>
        <v>0.66799999999999993</v>
      </c>
    </row>
    <row r="80" spans="1:18" ht="13">
      <c r="B80" s="346" t="s">
        <v>1231</v>
      </c>
      <c r="C80" s="280">
        <f ca="1">ROUND(C75/C39,3)</f>
        <v>0.33200000000000002</v>
      </c>
    </row>
    <row r="81" spans="2:3" ht="13.5">
      <c r="B81" s="276" t="s">
        <v>1232</v>
      </c>
      <c r="C81" s="244"/>
    </row>
    <row r="82" spans="2:3" ht="13">
      <c r="B82" s="279" t="s">
        <v>1233</v>
      </c>
      <c r="C82" s="281">
        <f ca="1">1-C83</f>
        <v>0.78</v>
      </c>
    </row>
    <row r="83" spans="2:3" ht="13">
      <c r="B83" s="279" t="s">
        <v>1234</v>
      </c>
      <c r="C83" s="280">
        <f ca="1">ROUND(C13/C40,3)</f>
        <v>0.22</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xr:uid="{00000000-0002-0000-2600-000000000000}">
      <formula1>"在建（套用方法）,土地（套用方法）,——"</formula1>
    </dataValidation>
    <dataValidation type="list" allowBlank="1" showInputMessage="1" showErrorMessage="1" sqref="M10 F10 F53" xr:uid="{00000000-0002-0000-2600-000001000000}">
      <formula1>"押一,押二,押三,自定义"</formula1>
    </dataValidation>
    <dataValidation type="list" allowBlank="1" showInputMessage="1" showErrorMessage="1" sqref="L55" xr:uid="{00000000-0002-0000-2600-000002000000}">
      <formula1>"比较法,基准地价,收益还原"</formula1>
    </dataValidation>
    <dataValidation type="list" allowBlank="1" showInputMessage="1" showErrorMessage="1" sqref="J56" xr:uid="{00000000-0002-0000-2600-000003000000}">
      <formula1>判定</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47" xr:uid="{00000000-0002-0000-2600-000005000000}">
      <formula1>"钢,钢混,砖混"</formula1>
    </dataValidation>
    <dataValidation type="list" allowBlank="1" showInputMessage="1" showErrorMessage="1" sqref="C1" xr:uid="{00000000-0002-0000-2600-000006000000}">
      <formula1>项目类型</formula1>
    </dataValidation>
    <dataValidation type="list" allowBlank="1" showInputMessage="1" showErrorMessage="1" sqref="D33 D61" xr:uid="{00000000-0002-0000-2600-000007000000}">
      <formula1>"按租金收入计税,按房产原值计税,按票据"</formula1>
    </dataValidation>
    <dataValidation type="list" allowBlank="1" showInputMessage="1" showErrorMessage="1" sqref="K19" xr:uid="{00000000-0002-0000-26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7" customWidth="1"/>
    <col min="2" max="2" width="37.08984375" style="1627" customWidth="1"/>
    <col min="3" max="3" width="11.36328125" style="1627" customWidth="1"/>
    <col min="4" max="4" width="31.90625" style="1627" customWidth="1"/>
    <col min="5" max="5" width="0.453125" style="1627" customWidth="1"/>
    <col min="6" max="7" width="13" style="1627" customWidth="1"/>
    <col min="8" max="16384" width="9" style="1627"/>
  </cols>
  <sheetData>
    <row r="1" spans="1:5" ht="18">
      <c r="A1" s="1625" t="s">
        <v>1341</v>
      </c>
      <c r="B1" s="1626"/>
      <c r="C1" s="1626"/>
      <c r="D1" s="1626"/>
      <c r="E1" s="1626"/>
    </row>
    <row r="2" spans="1:5" ht="78" customHeight="1">
      <c r="A2" s="33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8">
      <c r="A3" s="3335" t="str">
        <f>IF(项目基本情况!B9="房地产市场价值","估价结果一览表（市场价值不需“结果表-1”）","估价结果一览表")</f>
        <v>估价结果一览表</v>
      </c>
      <c r="B3" s="3335"/>
      <c r="C3" s="3335"/>
      <c r="D3" s="3335"/>
      <c r="E3" s="3335"/>
    </row>
    <row r="4" spans="1:5" ht="18.5" thickBot="1">
      <c r="A4" s="1628"/>
      <c r="B4" s="3333" t="s">
        <v>1350</v>
      </c>
      <c r="C4" s="3333"/>
      <c r="D4" s="3333"/>
      <c r="E4" s="1628"/>
    </row>
    <row r="5" spans="1:5" ht="16" thickTop="1">
      <c r="A5" s="1626"/>
      <c r="B5" s="3331" t="s">
        <v>1342</v>
      </c>
      <c r="C5" s="1629" t="s">
        <v>1343</v>
      </c>
      <c r="D5" s="939" t="e">
        <f ca="1">结果表!H101</f>
        <v>#REF!</v>
      </c>
      <c r="E5" s="1626"/>
    </row>
    <row r="6" spans="1:5" ht="15.5">
      <c r="A6" s="1626"/>
      <c r="B6" s="3331"/>
      <c r="C6" s="1629" t="s">
        <v>1344</v>
      </c>
      <c r="D6" s="939" t="e">
        <f ca="1">NUMBERSTRING(INT(D5*10000),2)&amp;"元整"</f>
        <v>#REF!</v>
      </c>
      <c r="E6" s="1626"/>
    </row>
    <row r="7" spans="1:5" ht="15.5">
      <c r="A7" s="1626"/>
      <c r="B7" s="3336"/>
      <c r="C7" s="1630" t="s">
        <v>1345</v>
      </c>
      <c r="D7" s="940" t="e">
        <f ca="1">结果表!H102</f>
        <v>#REF!</v>
      </c>
      <c r="E7" s="1626"/>
    </row>
    <row r="8" spans="1:5" ht="15.5">
      <c r="A8" s="1626"/>
      <c r="B8" s="3337" t="str">
        <f>结果表!E103</f>
        <v>2.估价师知悉的法定优先受偿款</v>
      </c>
      <c r="C8" s="1631" t="s">
        <v>1346</v>
      </c>
      <c r="D8" s="940">
        <f>结果表!H103</f>
        <v>0</v>
      </c>
      <c r="E8" s="1626"/>
    </row>
    <row r="9" spans="1:5" ht="15.5">
      <c r="A9" s="1626"/>
      <c r="B9" s="3339"/>
      <c r="C9" s="1629" t="s">
        <v>1344</v>
      </c>
      <c r="D9" s="939" t="str">
        <f>NUMBERSTRING(INT(D8*10000),2)&amp;"元整"</f>
        <v>零元整</v>
      </c>
      <c r="E9" s="1626"/>
    </row>
    <row r="10" spans="1:5" ht="16">
      <c r="A10" s="1626"/>
      <c r="B10" s="1632" t="s">
        <v>1349</v>
      </c>
      <c r="C10" s="1633" t="s">
        <v>1347</v>
      </c>
      <c r="D10" s="941">
        <f>结果表!H104</f>
        <v>0</v>
      </c>
      <c r="E10" s="1626"/>
    </row>
    <row r="11" spans="1:5" ht="16">
      <c r="A11" s="1626"/>
      <c r="B11" s="1632" t="s">
        <v>1351</v>
      </c>
      <c r="C11" s="1633" t="s">
        <v>1352</v>
      </c>
      <c r="D11" s="941">
        <f>结果表!H105</f>
        <v>0</v>
      </c>
      <c r="E11" s="1626"/>
    </row>
    <row r="12" spans="1:5" ht="16">
      <c r="A12" s="1626"/>
      <c r="B12" s="1632" t="s">
        <v>1353</v>
      </c>
      <c r="C12" s="1633" t="s">
        <v>1352</v>
      </c>
      <c r="D12" s="941">
        <f>结果表!H106</f>
        <v>0</v>
      </c>
      <c r="E12" s="1626"/>
    </row>
    <row r="13" spans="1:5" ht="15.5">
      <c r="A13" s="1626"/>
      <c r="B13" s="3330" t="str">
        <f>结果表!E107</f>
        <v>3.房地产抵押价值</v>
      </c>
      <c r="C13" s="1634" t="s">
        <v>1343</v>
      </c>
      <c r="D13" s="942" t="e">
        <f ca="1">结果表!H107</f>
        <v>#REF!</v>
      </c>
      <c r="E13" s="1626"/>
    </row>
    <row r="14" spans="1:5" ht="15.5">
      <c r="A14" s="1626"/>
      <c r="B14" s="3331"/>
      <c r="C14" s="1629" t="s">
        <v>1344</v>
      </c>
      <c r="D14" s="939" t="e">
        <f ca="1">NUMBERSTRING(INT(D13*10000),2)&amp;"元整"</f>
        <v>#REF!</v>
      </c>
      <c r="E14" s="1626"/>
    </row>
    <row r="15" spans="1:5" ht="15.5">
      <c r="A15" s="1626"/>
      <c r="B15" s="3336"/>
      <c r="C15" s="1630" t="s">
        <v>1354</v>
      </c>
      <c r="D15" s="948" t="e">
        <f ca="1">结果表!H108</f>
        <v>#REF!</v>
      </c>
      <c r="E15" s="1626"/>
    </row>
    <row r="16" spans="1:5" ht="15">
      <c r="A16" s="1626"/>
      <c r="B16" s="3337" t="str">
        <f>结果表!E109</f>
        <v>——</v>
      </c>
      <c r="C16" s="1634" t="s">
        <v>1355</v>
      </c>
      <c r="D16" s="1635" t="str">
        <f>结果表!H109</f>
        <v>——</v>
      </c>
      <c r="E16" s="1626"/>
    </row>
    <row r="17" spans="1:5" ht="15.5">
      <c r="A17" s="1626"/>
      <c r="B17" s="3338"/>
      <c r="C17" s="1629" t="s">
        <v>1356</v>
      </c>
      <c r="D17" s="939" t="e">
        <f>NUMBERSTRING(INT(D16*10000),2)&amp;"元整"</f>
        <v>#VALUE!</v>
      </c>
      <c r="E17" s="1626"/>
    </row>
    <row r="18" spans="1:5" ht="15.5">
      <c r="A18" s="1626"/>
      <c r="B18" s="3339"/>
      <c r="C18" s="1630" t="s">
        <v>1345</v>
      </c>
      <c r="D18" s="948" t="str">
        <f>结果表!H110</f>
        <v>——</v>
      </c>
      <c r="E18" s="1626"/>
    </row>
    <row r="19" spans="1:5" ht="15.5">
      <c r="A19" s="1626"/>
      <c r="B19" s="3330" t="str">
        <f>结果表!E111</f>
        <v>——</v>
      </c>
      <c r="C19" s="1634" t="s">
        <v>1343</v>
      </c>
      <c r="D19" s="940" t="str">
        <f>结果表!H111</f>
        <v>——</v>
      </c>
      <c r="E19" s="1626"/>
    </row>
    <row r="20" spans="1:5" ht="15.5">
      <c r="A20" s="1626"/>
      <c r="B20" s="3331"/>
      <c r="C20" s="1629" t="s">
        <v>1356</v>
      </c>
      <c r="D20" s="939" t="e">
        <f>NUMBERSTRING(INT(D19*10000),2)&amp;"元整"</f>
        <v>#VALUE!</v>
      </c>
      <c r="E20" s="1626"/>
    </row>
    <row r="21" spans="1:5" ht="16" thickBot="1">
      <c r="A21" s="1626"/>
      <c r="B21" s="3332"/>
      <c r="C21" s="1636" t="s">
        <v>1354</v>
      </c>
      <c r="D21" s="949" t="str">
        <f>结果表!H112</f>
        <v>——</v>
      </c>
      <c r="E21" s="1626"/>
    </row>
    <row r="22" spans="1:5" ht="14.5" thickTop="1">
      <c r="A22" s="1626"/>
      <c r="B22" s="1637" t="s">
        <v>1357</v>
      </c>
      <c r="C22" s="1626"/>
      <c r="D22" s="1626"/>
      <c r="E22" s="1626"/>
    </row>
    <row r="23" spans="1:5">
      <c r="A23" s="1626"/>
      <c r="B23" s="1626"/>
      <c r="C23" s="1626"/>
      <c r="D23" s="1626"/>
      <c r="E23" s="1626"/>
    </row>
    <row r="24" spans="1:5" ht="17.5">
      <c r="A24" s="1638"/>
      <c r="B24" s="1639" t="s">
        <v>1348</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57"/>
  <sheetViews>
    <sheetView view="pageBreakPreview" zoomScaleNormal="70" zoomScaleSheetLayoutView="100" workbookViewId="0">
      <selection activeCell="C7" sqref="C7"/>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t="s">
        <v>3718</v>
      </c>
      <c r="C1" s="204"/>
      <c r="D1" s="204"/>
      <c r="E1" s="204"/>
      <c r="F1" s="204"/>
      <c r="G1" s="1240">
        <f>MATCH(B1,'数据-取费表'!A6:A16,0)+5</f>
        <v>9</v>
      </c>
    </row>
    <row r="2" spans="1:9" s="206" customFormat="1" ht="18" customHeight="1">
      <c r="A2" s="207" t="s">
        <v>1114</v>
      </c>
      <c r="B2" s="208">
        <f ca="1">IF(D2="——",C52,C52-E2)</f>
        <v>5415</v>
      </c>
      <c r="C2" s="205" t="s">
        <v>1904</v>
      </c>
      <c r="D2" s="1988" t="s">
        <v>70</v>
      </c>
      <c r="E2" s="1283" t="e">
        <f ca="1">SUMIF(INDIRECT("'"&amp;G2&amp;"'"&amp;"!A:A"),"承租人权益价值",INDIRECT("'"&amp;G2&amp;"'"&amp;"!c:c"))</f>
        <v>#REF!</v>
      </c>
      <c r="F2" s="1989" t="s">
        <v>1904</v>
      </c>
      <c r="G2" s="1990"/>
    </row>
    <row r="3" spans="1:9" s="206" customFormat="1" ht="18" customHeight="1" thickBot="1">
      <c r="A3" s="209" t="s">
        <v>1115</v>
      </c>
      <c r="B3" s="210">
        <f ca="1">ROUND(B2*10000/(IF(B1="",'数据-汇总表'!E3,INDIRECT("'数据-取费表'!k"&amp;$G$1))),0)</f>
        <v>20505</v>
      </c>
      <c r="C3" s="205" t="s">
        <v>1906</v>
      </c>
      <c r="D3" s="205"/>
      <c r="E3" s="205"/>
      <c r="F3" s="205"/>
      <c r="G3" s="205"/>
    </row>
    <row r="4" spans="1:9" s="214" customFormat="1" ht="16">
      <c r="A4" s="211" t="s">
        <v>1907</v>
      </c>
      <c r="B4" s="212"/>
      <c r="C4" s="212"/>
      <c r="D4" s="212"/>
      <c r="E4" s="212"/>
      <c r="F4" s="212"/>
      <c r="G4" s="213"/>
    </row>
    <row r="5" spans="1:9" s="220" customFormat="1" ht="13.5" customHeight="1">
      <c r="A5" s="261" t="s">
        <v>601</v>
      </c>
      <c r="B5" s="216" t="s">
        <v>1909</v>
      </c>
      <c r="C5" s="217">
        <f ca="1">C6+C7+C8</f>
        <v>2600</v>
      </c>
      <c r="D5" s="217" t="s">
        <v>1910</v>
      </c>
      <c r="E5" s="218" t="s">
        <v>1911</v>
      </c>
      <c r="F5" s="218" t="s">
        <v>1912</v>
      </c>
      <c r="G5" s="219"/>
    </row>
    <row r="6" spans="1:9" s="220" customFormat="1" ht="13.5" customHeight="1">
      <c r="A6" s="866" t="s">
        <v>610</v>
      </c>
      <c r="B6" s="221" t="s">
        <v>1914</v>
      </c>
      <c r="C6" s="222">
        <f>[4]基准地价修正!$E$41</f>
        <v>2472</v>
      </c>
      <c r="D6" s="223"/>
      <c r="E6" s="224"/>
      <c r="F6" s="224"/>
      <c r="G6" s="225"/>
    </row>
    <row r="7" spans="1:9" s="220" customFormat="1" ht="13.5" customHeight="1">
      <c r="A7" s="866" t="s">
        <v>611</v>
      </c>
      <c r="B7" s="221" t="s">
        <v>1916</v>
      </c>
      <c r="C7" s="226">
        <f>ROUND(C6*F7,0)</f>
        <v>75</v>
      </c>
      <c r="D7" s="226"/>
      <c r="E7" s="224"/>
      <c r="F7" s="227">
        <f>IF(项目基本情况!B8="出让",0,'数据-取费表'!B48+'数据-取费表'!B49)</f>
        <v>3.0499999999999999E-2</v>
      </c>
      <c r="G7" s="225"/>
    </row>
    <row r="8" spans="1:9" s="229" customFormat="1" ht="13">
      <c r="A8" s="866" t="s">
        <v>612</v>
      </c>
      <c r="B8" s="221" t="s">
        <v>1918</v>
      </c>
      <c r="C8" s="226">
        <f ca="1">IF(G8="已包含在土地购买价格中","0",IF(B1="",'数据-取费表'!B29,IF(G9="全部缴纳",C9+C10,H9)))</f>
        <v>53</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53</v>
      </c>
      <c r="D10" s="934">
        <f ca="1">IF(B1="",'数据-汇总表'!E6,IF(INDIRECT("'数据-取费表'!c"&amp;$G$1)="住宅",INDIRECT("'数据-取费表'!s"&amp;$G$1),INDIRECT("'数据-取费表'!k"&amp;$G$1)+INDIRECT("'数据-取费表'!s"&amp;$G$1)))</f>
        <v>2640.82</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1918</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1918</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2640.82</v>
      </c>
      <c r="E19" s="217">
        <f>'数据-取费表'!B31</f>
        <v>200</v>
      </c>
      <c r="F19" s="237"/>
      <c r="G19" s="1991" t="s">
        <v>3741</v>
      </c>
    </row>
    <row r="20" spans="1:7" s="220" customFormat="1" ht="13.5" customHeight="1">
      <c r="A20" s="261" t="s">
        <v>1934</v>
      </c>
      <c r="B20" s="216" t="s">
        <v>1935</v>
      </c>
      <c r="C20" s="238">
        <f ca="1">ROUND((C5+C19)*F20,0)</f>
        <v>52</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345</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610</v>
      </c>
      <c r="B23" s="221" t="s">
        <v>1944</v>
      </c>
      <c r="C23" s="1217">
        <f ca="1">ROUND(IF('数据-取费表'!B22&lt;=1,C5*F22*'数据-取费表'!B23,C5*(POWER((1+F22),'数据-取费表'!B23)-1)),0)</f>
        <v>342</v>
      </c>
      <c r="D23" s="244"/>
      <c r="E23" s="244"/>
      <c r="F23" s="245"/>
      <c r="G23" s="246" t="s">
        <v>1945</v>
      </c>
    </row>
    <row r="24" spans="1:7" s="220" customFormat="1" ht="13.5" customHeight="1">
      <c r="A24" s="868" t="s">
        <v>611</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612</v>
      </c>
      <c r="B25" s="221" t="s">
        <v>1950</v>
      </c>
      <c r="C25" s="1217">
        <f ca="1">ROUND(IF('数据-取费表'!B22&lt;=1,C20*F22*'数据-取费表'!B23/2,C20*(POWER((1+F22),'数据-取费表'!B23/2)-1)),0)</f>
        <v>3</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398</v>
      </c>
      <c r="D27" s="241">
        <f ca="1">C29</f>
        <v>3.0000000000000001E-3</v>
      </c>
      <c r="E27" s="242" t="s">
        <v>1939</v>
      </c>
      <c r="F27" s="252">
        <f ca="1">IF(B1="",'数据-取费表'!Q16,INDIRECT("'数据-取费表'!q"&amp;$G$1))</f>
        <v>0.15</v>
      </c>
      <c r="G27" s="253" t="s">
        <v>1956</v>
      </c>
    </row>
    <row r="28" spans="1:7" s="220" customFormat="1" ht="13.5" customHeight="1">
      <c r="A28" s="868" t="s">
        <v>610</v>
      </c>
      <c r="B28" s="254" t="s">
        <v>1957</v>
      </c>
      <c r="C28" s="255">
        <f ca="1">ROUND((C5+C19+C20)*F27*'数据-取费表'!B21/'数据-取费表'!B20,0)</f>
        <v>398</v>
      </c>
      <c r="D28" s="241"/>
      <c r="E28" s="242"/>
      <c r="F28" s="252"/>
      <c r="G28" s="253"/>
    </row>
    <row r="29" spans="1:7" s="220" customFormat="1" ht="13.5" customHeight="1">
      <c r="A29" s="868" t="s">
        <v>611</v>
      </c>
      <c r="B29" s="254" t="s">
        <v>1958</v>
      </c>
      <c r="C29" s="244">
        <f ca="1">ROUND(C21*F27*'数据-取费表'!B21/'数据-取费表'!B20,4)</f>
        <v>3.0000000000000001E-3</v>
      </c>
      <c r="D29" s="241"/>
      <c r="E29" s="242"/>
      <c r="F29" s="252"/>
      <c r="G29" s="253"/>
    </row>
    <row r="30" spans="1:7" s="220" customFormat="1" ht="13.5" customHeight="1">
      <c r="A30" s="261" t="s">
        <v>1959</v>
      </c>
      <c r="B30" s="216" t="s">
        <v>1960</v>
      </c>
      <c r="C30" s="241">
        <f>ROUND(F30/(1+'数据-取费表'!C42),4)</f>
        <v>5.33E-2</v>
      </c>
      <c r="D30" s="242" t="s">
        <v>1939</v>
      </c>
      <c r="E30" s="247"/>
      <c r="F30" s="243">
        <f>'数据-取费表'!B41</f>
        <v>5.6000000000000001E-2</v>
      </c>
      <c r="G30" s="240" t="s">
        <v>1961</v>
      </c>
    </row>
    <row r="31" spans="1:7" ht="16.5" customHeight="1">
      <c r="A31" s="215">
        <v>1</v>
      </c>
      <c r="B31" s="216" t="s">
        <v>1962</v>
      </c>
      <c r="C31" s="217">
        <f ca="1">ROUND((C5+C19+C20+C22+C27)/(1-C21-D22-D27-C30),0)</f>
        <v>3681</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1318</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1188</v>
      </c>
      <c r="D34" s="223"/>
      <c r="E34" s="226"/>
      <c r="F34" s="263">
        <f ca="1">IF('数据-取费表'!B24=0,1,IF(B1="",'数据-取费表'!N16,INDIRECT("'数据-取费表'!n"&amp;$G$1)))</f>
        <v>1</v>
      </c>
      <c r="G34" s="225" t="s">
        <v>1967</v>
      </c>
    </row>
    <row r="35" spans="1:7" ht="13.5" customHeight="1">
      <c r="A35" s="868" t="s">
        <v>615</v>
      </c>
      <c r="B35" s="221" t="s">
        <v>1968</v>
      </c>
      <c r="C35" s="226">
        <f ca="1">ROUND(C34*F35,0)</f>
        <v>59</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53</v>
      </c>
      <c r="D37" s="223">
        <f ca="1">D19</f>
        <v>2640.82</v>
      </c>
      <c r="E37" s="255">
        <f>'数据-取费表'!B35</f>
        <v>200</v>
      </c>
      <c r="F37" s="265"/>
      <c r="G37" s="267" t="s">
        <v>1973</v>
      </c>
    </row>
    <row r="38" spans="1:7" ht="13.5" customHeight="1">
      <c r="A38" s="868" t="s">
        <v>618</v>
      </c>
      <c r="B38" s="221" t="s">
        <v>1974</v>
      </c>
      <c r="C38" s="226">
        <f ca="1">ROUND(C34*F38,0)</f>
        <v>18</v>
      </c>
      <c r="D38" s="226"/>
      <c r="E38" s="226"/>
      <c r="F38" s="265">
        <f>'数据-取费表'!B36</f>
        <v>1.4999999999999999E-2</v>
      </c>
      <c r="G38" s="225" t="s">
        <v>1969</v>
      </c>
    </row>
    <row r="39" spans="1:7" s="220" customFormat="1" ht="13.5" customHeight="1">
      <c r="A39" s="261" t="s">
        <v>1932</v>
      </c>
      <c r="B39" s="216" t="s">
        <v>1935</v>
      </c>
      <c r="C39" s="238">
        <f ca="1">ROUND(C33*F20,0)</f>
        <v>26</v>
      </c>
      <c r="D39" s="238"/>
      <c r="E39" s="238"/>
      <c r="F39" s="2484">
        <f>F20</f>
        <v>0.02</v>
      </c>
      <c r="G39" s="240" t="s">
        <v>1977</v>
      </c>
    </row>
    <row r="40" spans="1:7" s="220" customFormat="1" ht="13.5" customHeight="1">
      <c r="A40" s="261" t="s">
        <v>1934</v>
      </c>
      <c r="B40" s="216" t="s">
        <v>1938</v>
      </c>
      <c r="C40" s="1447">
        <f>F21</f>
        <v>0.02</v>
      </c>
      <c r="D40" s="242" t="s">
        <v>1980</v>
      </c>
      <c r="E40" s="238"/>
      <c r="F40" s="2484">
        <f>F21</f>
        <v>0.02</v>
      </c>
      <c r="G40" s="240" t="s">
        <v>1981</v>
      </c>
    </row>
    <row r="41" spans="1:7" s="220" customFormat="1" ht="13.5" customHeight="1">
      <c r="A41" s="261" t="s">
        <v>1937</v>
      </c>
      <c r="B41" s="216" t="s">
        <v>1942</v>
      </c>
      <c r="C41" s="238">
        <f ca="1">ROUND(SUM(C42:C43),0)</f>
        <v>86</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1944</v>
      </c>
      <c r="C42" s="244">
        <f ca="1">ROUND(IF('数据-取费表'!B22&lt;=1,C33*F22*'数据-取费表'!B21/2,C33*(POWER((1+F22),'数据-取费表'!B21/2)-1)),0)</f>
        <v>84</v>
      </c>
      <c r="D42" s="244"/>
      <c r="E42" s="244"/>
      <c r="F42" s="245"/>
      <c r="G42" s="3371" t="s">
        <v>1985</v>
      </c>
    </row>
    <row r="43" spans="1:7" ht="13.5" customHeight="1">
      <c r="A43" s="868" t="s">
        <v>611</v>
      </c>
      <c r="B43" s="221" t="s">
        <v>1947</v>
      </c>
      <c r="C43" s="244">
        <f ca="1">ROUND(IF('数据-取费表'!B22&lt;=1,C39*F22*'数据-取费表'!B21/2,C39*(POWER((1+F22),'数据-取费表'!B21/2)-1)),0)</f>
        <v>2</v>
      </c>
      <c r="D43" s="244"/>
      <c r="E43" s="244"/>
      <c r="F43" s="245"/>
      <c r="G43" s="3372"/>
    </row>
    <row r="44" spans="1:7" ht="13.5" customHeight="1">
      <c r="A44" s="868" t="s">
        <v>612</v>
      </c>
      <c r="B44" s="221" t="s">
        <v>1950</v>
      </c>
      <c r="C44" s="244">
        <f ca="1">ROUND(IF('数据-取费表'!B22&lt;=1,C40*F22*'数据-取费表'!B21/2,C40*(POWER((1+F22),'数据-取费表'!B21/2)-1)),4)</f>
        <v>1.2999999999999999E-3</v>
      </c>
      <c r="D44" s="244"/>
      <c r="E44" s="244"/>
      <c r="F44" s="245"/>
      <c r="G44" s="3373"/>
    </row>
    <row r="45" spans="1:7" s="220" customFormat="1" ht="13.5" customHeight="1">
      <c r="A45" s="261" t="s">
        <v>1941</v>
      </c>
      <c r="B45" s="250" t="s">
        <v>1954</v>
      </c>
      <c r="C45" s="251">
        <f ca="1">C46</f>
        <v>202</v>
      </c>
      <c r="D45" s="241">
        <f ca="1">C47</f>
        <v>3.0000000000000001E-3</v>
      </c>
      <c r="E45" s="242" t="s">
        <v>1980</v>
      </c>
      <c r="F45" s="2486">
        <f ca="1">F27</f>
        <v>0.15</v>
      </c>
      <c r="G45" s="253" t="s">
        <v>1989</v>
      </c>
    </row>
    <row r="46" spans="1:7" s="220" customFormat="1" ht="13.5" customHeight="1">
      <c r="A46" s="868" t="s">
        <v>610</v>
      </c>
      <c r="B46" s="254" t="s">
        <v>1990</v>
      </c>
      <c r="C46" s="255">
        <f ca="1">ROUND((C33+C39)*F27,0)</f>
        <v>202</v>
      </c>
      <c r="D46" s="269"/>
      <c r="E46" s="242"/>
      <c r="F46" s="252"/>
      <c r="G46" s="253"/>
    </row>
    <row r="47" spans="1:7" s="220" customFormat="1" ht="13.5" customHeight="1">
      <c r="A47" s="868" t="s">
        <v>611</v>
      </c>
      <c r="B47" s="254" t="s">
        <v>1991</v>
      </c>
      <c r="C47" s="244">
        <f ca="1">ROUND(C40*F27,4)</f>
        <v>3.0000000000000001E-3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1769</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1734</v>
      </c>
      <c r="D51" s="238"/>
      <c r="E51" s="238"/>
      <c r="F51" s="270"/>
      <c r="G51" s="240" t="s">
        <v>2001</v>
      </c>
    </row>
    <row r="52" spans="1:7" s="214" customFormat="1" ht="16.5" thickBot="1">
      <c r="A52" s="271" t="s">
        <v>2002</v>
      </c>
      <c r="B52" s="272"/>
      <c r="C52" s="273">
        <f ca="1">C31+C51</f>
        <v>5415</v>
      </c>
      <c r="D52" s="272"/>
      <c r="E52" s="272"/>
      <c r="F52" s="272"/>
      <c r="G52" s="274"/>
    </row>
    <row r="55" spans="1:7" ht="15.5">
      <c r="B55" s="276" t="s">
        <v>2003</v>
      </c>
      <c r="C55" s="277"/>
    </row>
    <row r="56" spans="1:7" ht="13">
      <c r="B56" s="279" t="s">
        <v>1233</v>
      </c>
      <c r="C56" s="281">
        <f ca="1">1-C57</f>
        <v>0.67999999999999994</v>
      </c>
    </row>
    <row r="57" spans="1:7" ht="13">
      <c r="B57" s="279" t="s">
        <v>1234</v>
      </c>
      <c r="C57" s="280">
        <f ca="1">ROUND(C51/C52,3)</f>
        <v>0.32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2700-000000000000}">
      <formula1>"需扣减承租人权益,——"</formula1>
    </dataValidation>
    <dataValidation type="list" allowBlank="1" showInputMessage="1" showErrorMessage="1" sqref="G2" xr:uid="{00000000-0002-0000-2700-000001000000}">
      <formula1>估价方法</formula1>
    </dataValidation>
    <dataValidation type="list" allowBlank="1" showInputMessage="1" showErrorMessage="1" sqref="G9" xr:uid="{00000000-0002-0000-2700-000002000000}">
      <formula1>"部分缴纳,全部缴纳"</formula1>
    </dataValidation>
    <dataValidation type="list" allowBlank="1" showInputMessage="1" showErrorMessage="1" sqref="B1" xr:uid="{00000000-0002-0000-2700-000003000000}">
      <formula1>项目类型</formula1>
    </dataValidation>
    <dataValidation type="list" allowBlank="1" showInputMessage="1" showErrorMessage="1" sqref="G19" xr:uid="{00000000-0002-0000-2700-000004000000}">
      <formula1>"已包含在土地取得成本中,未包含在土地取得成本中"</formula1>
    </dataValidation>
    <dataValidation type="list" allowBlank="1" showInputMessage="1" showErrorMessage="1" sqref="G8" xr:uid="{00000000-0002-0000-27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V31"/>
  <sheetViews>
    <sheetView view="pageBreakPreview" zoomScaleNormal="100" zoomScaleSheetLayoutView="100" workbookViewId="0">
      <selection activeCell="H9" sqref="H9"/>
    </sheetView>
  </sheetViews>
  <sheetFormatPr defaultColWidth="9" defaultRowHeight="14"/>
  <cols>
    <col min="1" max="1" width="23.6328125" style="1612" customWidth="1"/>
    <col min="2" max="2" width="12" style="1612" customWidth="1"/>
    <col min="3" max="3" width="9" style="1612"/>
    <col min="4" max="4" width="14.08984375" style="1612" customWidth="1"/>
    <col min="5" max="5" width="9" style="1612"/>
    <col min="6" max="6" width="12.90625" style="1612" customWidth="1"/>
    <col min="7" max="16384" width="9" style="1612"/>
  </cols>
  <sheetData>
    <row r="1" spans="1:22" ht="21">
      <c r="A1" s="2002" t="s">
        <v>2102</v>
      </c>
      <c r="B1" s="2003"/>
      <c r="C1" s="2003"/>
      <c r="D1" s="2003"/>
      <c r="E1" s="2004"/>
      <c r="F1" s="2881"/>
      <c r="G1" s="1624"/>
      <c r="H1" s="1624"/>
      <c r="I1" s="1624"/>
      <c r="J1" s="1624"/>
      <c r="K1" s="1624"/>
      <c r="L1" s="1624"/>
      <c r="M1" s="1624"/>
      <c r="N1" s="1624"/>
      <c r="O1" s="1624"/>
      <c r="P1" s="1624"/>
      <c r="Q1" s="1624"/>
      <c r="R1" s="1624"/>
      <c r="S1" s="1624"/>
    </row>
    <row r="2" spans="1:22" ht="15.5">
      <c r="A2" s="2005" t="s">
        <v>1903</v>
      </c>
      <c r="B2" s="2006">
        <f ca="1">SUMIF(B6:B13,"&lt;&gt;#ref!",B6:B13)</f>
        <v>29458</v>
      </c>
      <c r="C2" s="2007" t="s">
        <v>2095</v>
      </c>
      <c r="D2" s="2008" t="s">
        <v>2096</v>
      </c>
      <c r="E2" s="2779">
        <f>SUM(E6:E13)</f>
        <v>24914.989999999998</v>
      </c>
      <c r="F2" s="2881"/>
      <c r="G2" s="1624"/>
      <c r="H2" s="1624"/>
      <c r="I2" s="1624"/>
      <c r="J2" s="1624"/>
      <c r="K2" s="1624"/>
      <c r="L2" s="1624"/>
      <c r="M2" s="1624"/>
      <c r="N2" s="1624"/>
      <c r="O2" s="1624"/>
      <c r="P2" s="1624"/>
      <c r="Q2" s="1624"/>
      <c r="R2" s="1624"/>
      <c r="S2" s="1624"/>
    </row>
    <row r="3" spans="1:22" ht="15.5">
      <c r="A3" s="2005" t="s">
        <v>1115</v>
      </c>
      <c r="B3" s="2773">
        <f ca="1">ROUND(B2*10000/E2,0)</f>
        <v>11823</v>
      </c>
      <c r="C3" s="2007" t="s">
        <v>2103</v>
      </c>
      <c r="D3" s="2883"/>
      <c r="E3" s="2885"/>
      <c r="F3" s="2881"/>
      <c r="G3" s="1624"/>
      <c r="H3" s="1624"/>
      <c r="I3" s="1624"/>
      <c r="J3" s="1624"/>
      <c r="K3" s="1624"/>
      <c r="L3" s="1624"/>
      <c r="M3" s="1624"/>
      <c r="N3" s="1624"/>
      <c r="O3" s="1624"/>
      <c r="P3" s="1624"/>
      <c r="Q3" s="1624"/>
      <c r="R3" s="1624"/>
      <c r="S3" s="1624"/>
    </row>
    <row r="4" spans="1:22" ht="15.5">
      <c r="A4" s="2886"/>
      <c r="B4" s="2883"/>
      <c r="C4" s="2883"/>
      <c r="D4" s="2883"/>
      <c r="E4" s="2885"/>
      <c r="F4" s="2881"/>
      <c r="G4" s="1624"/>
      <c r="H4" s="1624"/>
      <c r="I4" s="1624"/>
      <c r="J4" s="1624"/>
      <c r="K4" s="1624"/>
      <c r="L4" s="1624"/>
      <c r="M4" s="1624"/>
      <c r="N4" s="1624"/>
      <c r="O4" s="1624"/>
      <c r="P4" s="1624"/>
      <c r="Q4" s="1624"/>
      <c r="R4" s="1624"/>
      <c r="S4" s="1624"/>
    </row>
    <row r="5" spans="1:22">
      <c r="A5" s="2775" t="s">
        <v>2097</v>
      </c>
      <c r="B5" s="3613" t="s">
        <v>2098</v>
      </c>
      <c r="C5" s="3614"/>
      <c r="D5" s="2882"/>
      <c r="E5" s="2009" t="s">
        <v>2099</v>
      </c>
      <c r="F5" s="2010" t="s">
        <v>2100</v>
      </c>
      <c r="G5" s="1624"/>
      <c r="H5" s="1624"/>
      <c r="I5" s="1624"/>
      <c r="J5" s="1624"/>
      <c r="K5" s="1624"/>
      <c r="L5" s="1624"/>
      <c r="M5" s="1624"/>
      <c r="N5" s="1624"/>
      <c r="O5" s="1624"/>
      <c r="P5" s="1624"/>
      <c r="Q5" s="1624"/>
      <c r="R5" s="1624"/>
      <c r="S5" s="1624"/>
    </row>
    <row r="6" spans="1:22">
      <c r="A6" s="2776" t="str">
        <f>'数据-取费表'!AN6</f>
        <v>收益法</v>
      </c>
      <c r="B6" s="2774">
        <f>IF(F6="是",'数据-取费表'!AO6,0)</f>
        <v>0</v>
      </c>
      <c r="C6" s="2007" t="s">
        <v>2095</v>
      </c>
      <c r="D6" s="2883"/>
      <c r="E6" s="2778">
        <f>IF(OR(A6=0,F6="否"),0,'数据-取费表'!K6+'数据-取费表'!S6)</f>
        <v>0</v>
      </c>
      <c r="F6" s="2011" t="s">
        <v>3746</v>
      </c>
      <c r="G6" s="1624"/>
      <c r="H6" s="1624"/>
      <c r="I6" s="1624"/>
      <c r="J6" s="1624"/>
      <c r="K6" s="1624"/>
      <c r="L6" s="1624"/>
      <c r="M6" s="1624"/>
      <c r="N6" s="1624"/>
      <c r="O6" s="1624"/>
      <c r="P6" s="1624"/>
      <c r="Q6" s="1624"/>
      <c r="R6" s="1624"/>
      <c r="S6" s="1624"/>
    </row>
    <row r="7" spans="1:22">
      <c r="A7" s="2776" t="str">
        <f>'数据-取费表'!AN7</f>
        <v>收益法(商业)</v>
      </c>
      <c r="B7" s="2774">
        <f ca="1">IF(F7="是",'数据-取费表'!AO7,0)</f>
        <v>9956</v>
      </c>
      <c r="C7" s="2007" t="s">
        <v>2095</v>
      </c>
      <c r="D7" s="2883"/>
      <c r="E7" s="2778">
        <f>IF(OR(A7=0,F7="否"),0,'数据-取费表'!K7+'数据-取费表'!S7)</f>
        <v>3431.64</v>
      </c>
      <c r="F7" s="2011" t="s">
        <v>2101</v>
      </c>
      <c r="G7" s="1624"/>
      <c r="H7" s="1624"/>
      <c r="I7" s="1624"/>
      <c r="J7" s="1624"/>
      <c r="K7" s="1624"/>
      <c r="L7" s="1624"/>
      <c r="M7" s="1624"/>
      <c r="N7" s="1624"/>
      <c r="O7" s="1624"/>
      <c r="P7" s="1624"/>
      <c r="Q7" s="1624"/>
      <c r="R7" s="1624"/>
      <c r="S7" s="1624"/>
    </row>
    <row r="8" spans="1:22">
      <c r="A8" s="2776" t="str">
        <f>'数据-取费表'!AN8</f>
        <v>收益法(车库)</v>
      </c>
      <c r="B8" s="2774">
        <f ca="1">IF(F8="是",'数据-取费表'!AO8,0)</f>
        <v>11556</v>
      </c>
      <c r="C8" s="2007" t="s">
        <v>2095</v>
      </c>
      <c r="D8" s="2883"/>
      <c r="E8" s="2778">
        <f>IF(OR(A8=0,F8="否"),0,'数据-取费表'!K8+'数据-取费表'!S8)</f>
        <v>18842.53</v>
      </c>
      <c r="F8" s="2011" t="s">
        <v>2101</v>
      </c>
      <c r="G8" s="1624"/>
      <c r="H8" s="1624"/>
      <c r="I8" s="1624"/>
      <c r="J8" s="1624"/>
      <c r="K8" s="1624"/>
      <c r="L8" s="1624"/>
      <c r="M8" s="1624"/>
      <c r="N8" s="1624"/>
      <c r="O8" s="1624"/>
      <c r="P8" s="1624"/>
      <c r="Q8" s="1624"/>
      <c r="R8" s="1624"/>
      <c r="S8" s="1624"/>
    </row>
    <row r="9" spans="1:22">
      <c r="A9" s="2776" t="str">
        <f>'数据-取费表'!AN9</f>
        <v>收益法(仓储)</v>
      </c>
      <c r="B9" s="2774">
        <f ca="1">IF(F9="是",'数据-取费表'!AO9,0)</f>
        <v>7946</v>
      </c>
      <c r="C9" s="2007" t="s">
        <v>2095</v>
      </c>
      <c r="D9" s="2883"/>
      <c r="E9" s="2778">
        <f>IF(OR(A9=0,F9="否"),0,'数据-取费表'!K9+'数据-取费表'!S9)</f>
        <v>2640.82</v>
      </c>
      <c r="F9" s="2011" t="s">
        <v>2101</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2095</v>
      </c>
      <c r="D10" s="2883"/>
      <c r="E10" s="2778">
        <f>IF(OR(A10=0,F10="否"),0,'数据-取费表'!K10+'数据-取费表'!S10)</f>
        <v>0</v>
      </c>
      <c r="F10" s="2011" t="s">
        <v>2101</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2095</v>
      </c>
      <c r="D11" s="2883"/>
      <c r="E11" s="2778">
        <f>IF(OR(A11=0,F11="否"),0,'数据-取费表'!K11+'数据-取费表'!S11)</f>
        <v>0</v>
      </c>
      <c r="F11" s="2011" t="s">
        <v>2101</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2095</v>
      </c>
      <c r="D12" s="2883"/>
      <c r="E12" s="2778">
        <f>IF(OR(A12=0,F12="否"),0,'数据-取费表'!K12+'数据-取费表'!S12)</f>
        <v>0</v>
      </c>
      <c r="F12" s="2011" t="s">
        <v>2101</v>
      </c>
      <c r="G12" s="1624"/>
      <c r="H12" s="1624"/>
      <c r="I12" s="1624"/>
      <c r="J12" s="1624"/>
      <c r="K12" s="1624"/>
      <c r="L12" s="1624"/>
      <c r="M12" s="1624"/>
      <c r="N12" s="1624"/>
      <c r="O12" s="1624"/>
      <c r="P12" s="1624"/>
      <c r="Q12" s="1624"/>
      <c r="R12" s="1624"/>
      <c r="S12" s="1624"/>
    </row>
    <row r="13" spans="1:22" ht="14.5" thickBot="1">
      <c r="A13" s="2777">
        <f>'数据-取费表'!AN13</f>
        <v>0</v>
      </c>
      <c r="B13" s="2774" t="e">
        <f ca="1">IF(F13="是",'数据-取费表'!AO13,0)</f>
        <v>#REF!</v>
      </c>
      <c r="C13" s="2012" t="s">
        <v>2095</v>
      </c>
      <c r="D13" s="2884"/>
      <c r="E13" s="2778">
        <f>IF(OR(A13=0,F13="否"),0,'数据-取费表'!K13+'数据-取费表'!S13)</f>
        <v>0</v>
      </c>
      <c r="F13" s="2011" t="s">
        <v>2101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800-000000000000}">
      <formula1>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1902</v>
      </c>
      <c r="B1" s="1604"/>
      <c r="C1" s="204"/>
      <c r="D1" s="204"/>
      <c r="E1" s="204"/>
      <c r="F1" s="204"/>
      <c r="G1" s="1240">
        <f>MATCH(B1,'数据-取费表'!A6:A16,0)+5</f>
        <v>10</v>
      </c>
    </row>
    <row r="2" spans="1:9" s="206" customFormat="1" ht="18" customHeight="1">
      <c r="A2" s="207" t="s">
        <v>1903</v>
      </c>
      <c r="B2" s="208">
        <f ca="1">IF(D2="——",C52,C52-E2)</f>
        <v>412818</v>
      </c>
      <c r="C2" s="205" t="s">
        <v>1904</v>
      </c>
      <c r="D2" s="1988" t="s">
        <v>70</v>
      </c>
      <c r="E2" s="1283" t="e">
        <f ca="1">SUMIF(INDIRECT("'"&amp;G2&amp;"'"&amp;"!A:A"),"承租人权益价值",INDIRECT("'"&amp;G2&amp;"'"&amp;"!c:c"))</f>
        <v>#REF!</v>
      </c>
      <c r="F2" s="1989" t="s">
        <v>1904</v>
      </c>
      <c r="G2" s="1990"/>
    </row>
    <row r="3" spans="1:9" s="206" customFormat="1" ht="18" customHeight="1" thickBot="1">
      <c r="A3" s="209" t="s">
        <v>1905</v>
      </c>
      <c r="B3" s="210">
        <f ca="1">ROUND(B2*10000/(IF(B1="",'数据-汇总表'!E3,INDIRECT("'数据-取费表'!k"&amp;$G$1))),0)</f>
        <v>41866</v>
      </c>
      <c r="C3" s="205" t="s">
        <v>1906</v>
      </c>
      <c r="D3" s="205"/>
      <c r="E3" s="205"/>
      <c r="F3" s="205"/>
      <c r="G3" s="205"/>
    </row>
    <row r="4" spans="1:9" s="214" customFormat="1" ht="16">
      <c r="A4" s="211" t="s">
        <v>1907</v>
      </c>
      <c r="B4" s="212"/>
      <c r="C4" s="212"/>
      <c r="D4" s="212"/>
      <c r="E4" s="212"/>
      <c r="F4" s="212"/>
      <c r="G4" s="213"/>
    </row>
    <row r="5" spans="1:9" s="220" customFormat="1" ht="13.5" customHeight="1">
      <c r="A5" s="261" t="s">
        <v>1908</v>
      </c>
      <c r="B5" s="216" t="s">
        <v>1909</v>
      </c>
      <c r="C5" s="217">
        <f>C6+C7+C8</f>
        <v>222580</v>
      </c>
      <c r="D5" s="217" t="s">
        <v>1910</v>
      </c>
      <c r="E5" s="218" t="s">
        <v>1911</v>
      </c>
      <c r="F5" s="218" t="s">
        <v>1912</v>
      </c>
      <c r="G5" s="219"/>
    </row>
    <row r="6" spans="1:9" s="220" customFormat="1" ht="13.5" customHeight="1">
      <c r="A6" s="866" t="s">
        <v>1913</v>
      </c>
      <c r="B6" s="221" t="s">
        <v>1914</v>
      </c>
      <c r="C6" s="222">
        <f>[2]基准地价修正!$B$2+'[2]基准地价修正(商业)'!$B$2</f>
        <v>215992</v>
      </c>
      <c r="D6" s="223"/>
      <c r="E6" s="224"/>
      <c r="F6" s="224"/>
      <c r="G6" s="225"/>
    </row>
    <row r="7" spans="1:9" s="220" customFormat="1" ht="13.5" customHeight="1">
      <c r="A7" s="866" t="s">
        <v>1915</v>
      </c>
      <c r="B7" s="221" t="s">
        <v>1916</v>
      </c>
      <c r="C7" s="226">
        <f>ROUND(C6*F7,0)</f>
        <v>6588</v>
      </c>
      <c r="D7" s="226"/>
      <c r="E7" s="224"/>
      <c r="F7" s="227">
        <f>IF(项目基本情况!B8="出让",0,'数据-取费表'!B48+'数据-取费表'!B49)</f>
        <v>3.0499999999999999E-2</v>
      </c>
      <c r="G7" s="225"/>
    </row>
    <row r="8" spans="1:9" s="229" customFormat="1" ht="13">
      <c r="A8" s="866" t="s">
        <v>1917</v>
      </c>
      <c r="B8" s="221" t="s">
        <v>1918</v>
      </c>
      <c r="C8" s="226">
        <f>IF(G8="已包含在土地购买价格中","0",IF(B1="",'数据-取费表'!B29,IF(G9="全部缴纳",C9+C10,H9)))</f>
        <v>0</v>
      </c>
      <c r="D8" s="228"/>
      <c r="E8" s="226"/>
      <c r="F8" s="227"/>
      <c r="G8" s="1991" t="s">
        <v>3739</v>
      </c>
    </row>
    <row r="9" spans="1:9" s="220" customFormat="1" ht="13.5" customHeight="1">
      <c r="A9" s="867" t="s">
        <v>619</v>
      </c>
      <c r="B9" s="230" t="s">
        <v>1919</v>
      </c>
      <c r="C9" s="231">
        <f ca="1">ROUND(D9*E9/10000,0)</f>
        <v>0</v>
      </c>
      <c r="D9" s="934">
        <f ca="1">IF(B1="",'数据-汇总表'!E5,IF(INDIRECT("'数据-取费表'!c"&amp;$G$1)="住宅",INDIRECT("'数据-取费表'!k"&amp;$G$1),0))</f>
        <v>0</v>
      </c>
      <c r="E9" s="231">
        <f>'数据-取费表'!B27</f>
        <v>160</v>
      </c>
      <c r="F9" s="227"/>
      <c r="G9" s="1992" t="s">
        <v>3740</v>
      </c>
      <c r="H9" s="1251"/>
      <c r="I9" s="1993" t="s">
        <v>1920</v>
      </c>
    </row>
    <row r="10" spans="1:9" s="220" customFormat="1" ht="13.5" customHeight="1">
      <c r="A10" s="867" t="s">
        <v>620</v>
      </c>
      <c r="B10" s="230" t="s">
        <v>1921</v>
      </c>
      <c r="C10" s="231">
        <f ca="1">ROUND(D10*E10/10000,0)</f>
        <v>1972</v>
      </c>
      <c r="D10" s="934">
        <f ca="1">IF(B1="",'数据-汇总表'!E6,IF(INDIRECT("'数据-取费表'!c"&amp;$G$1)="住宅",INDIRECT("'数据-取费表'!s"&amp;$G$1),INDIRECT("'数据-取费表'!k"&amp;$G$1)+INDIRECT("'数据-取费表'!s"&amp;$G$1)))</f>
        <v>98604.219999999987</v>
      </c>
      <c r="E10" s="231">
        <f>'数据-取费表'!B28</f>
        <v>200</v>
      </c>
      <c r="F10" s="227"/>
      <c r="G10" s="232"/>
    </row>
    <row r="11" spans="1:9" s="220" customFormat="1" ht="13.5" hidden="1" customHeight="1">
      <c r="A11" s="233" t="s">
        <v>7</v>
      </c>
      <c r="B11" s="221" t="s">
        <v>1922</v>
      </c>
      <c r="C11" s="217"/>
      <c r="D11" s="936"/>
      <c r="E11" s="224"/>
      <c r="F11" s="224"/>
      <c r="G11" s="225"/>
    </row>
    <row r="12" spans="1:9" s="220" customFormat="1" ht="13.5" hidden="1" customHeight="1">
      <c r="A12" s="233" t="s">
        <v>8</v>
      </c>
      <c r="B12" s="221" t="s">
        <v>1923</v>
      </c>
      <c r="C12" s="217">
        <v>0</v>
      </c>
      <c r="D12" s="936"/>
      <c r="E12" s="234"/>
      <c r="F12" s="227">
        <v>3.0499999999999999E-2</v>
      </c>
      <c r="G12" s="225"/>
    </row>
    <row r="13" spans="1:9" s="220" customFormat="1" ht="13.5" hidden="1" customHeight="1">
      <c r="A13" s="233" t="s">
        <v>9</v>
      </c>
      <c r="B13" s="221" t="s">
        <v>1924</v>
      </c>
      <c r="C13" s="217"/>
      <c r="D13" s="936"/>
      <c r="E13" s="224"/>
      <c r="F13" s="224"/>
      <c r="G13" s="225"/>
    </row>
    <row r="14" spans="1:9" s="220" customFormat="1" ht="13.5" hidden="1" customHeight="1">
      <c r="A14" s="233" t="s">
        <v>10</v>
      </c>
      <c r="B14" s="221" t="s">
        <v>1925</v>
      </c>
      <c r="C14" s="217"/>
      <c r="D14" s="936"/>
      <c r="E14" s="224"/>
      <c r="F14" s="224"/>
      <c r="G14" s="225" t="s">
        <v>1926</v>
      </c>
    </row>
    <row r="15" spans="1:9" s="220" customFormat="1" ht="13.5" hidden="1" customHeight="1">
      <c r="A15" s="233" t="s">
        <v>11</v>
      </c>
      <c r="B15" s="221" t="s">
        <v>1927</v>
      </c>
      <c r="C15" s="226"/>
      <c r="D15" s="936"/>
      <c r="E15" s="224"/>
      <c r="F15" s="224"/>
      <c r="G15" s="225" t="s">
        <v>1928</v>
      </c>
    </row>
    <row r="16" spans="1:9" s="220" customFormat="1" ht="13.5" hidden="1" customHeight="1">
      <c r="A16" s="233" t="s">
        <v>12</v>
      </c>
      <c r="B16" s="221" t="s">
        <v>1925</v>
      </c>
      <c r="C16" s="226"/>
      <c r="D16" s="936"/>
      <c r="E16" s="224"/>
      <c r="F16" s="224"/>
      <c r="G16" s="225"/>
    </row>
    <row r="17" spans="1:7" s="220" customFormat="1" ht="13.5" hidden="1" customHeight="1">
      <c r="A17" s="233" t="s">
        <v>13</v>
      </c>
      <c r="B17" s="221" t="s">
        <v>1929</v>
      </c>
      <c r="C17" s="235"/>
      <c r="D17" s="937"/>
      <c r="E17" s="235"/>
      <c r="F17" s="235"/>
      <c r="G17" s="225" t="s">
        <v>1928</v>
      </c>
    </row>
    <row r="18" spans="1:7" s="220" customFormat="1" ht="13.5" hidden="1" customHeight="1">
      <c r="A18" s="233" t="s">
        <v>14</v>
      </c>
      <c r="B18" s="221" t="s">
        <v>1930</v>
      </c>
      <c r="C18" s="226">
        <v>0</v>
      </c>
      <c r="D18" s="936"/>
      <c r="E18" s="224"/>
      <c r="F18" s="227">
        <v>3.0499999999999999E-2</v>
      </c>
      <c r="G18" s="225" t="s">
        <v>1931</v>
      </c>
    </row>
    <row r="19" spans="1:7" s="229" customFormat="1" ht="13.5" customHeight="1">
      <c r="A19" s="261" t="s">
        <v>1932</v>
      </c>
      <c r="B19" s="216" t="s">
        <v>1933</v>
      </c>
      <c r="C19" s="217" t="str">
        <f>IF(G19="已包含在土地取得成本中","0",ROUND(D19*E19/10000,0))</f>
        <v>0</v>
      </c>
      <c r="D19" s="938">
        <f ca="1">D9+D10</f>
        <v>98604.219999999987</v>
      </c>
      <c r="E19" s="217">
        <f>'数据-取费表'!B31</f>
        <v>200</v>
      </c>
      <c r="F19" s="237"/>
      <c r="G19" s="1991" t="s">
        <v>3741</v>
      </c>
    </row>
    <row r="20" spans="1:7" s="220" customFormat="1" ht="13.5" customHeight="1">
      <c r="A20" s="261" t="s">
        <v>1934</v>
      </c>
      <c r="B20" s="216" t="s">
        <v>1935</v>
      </c>
      <c r="C20" s="238">
        <f>ROUND((C5+C19)*F20,0)</f>
        <v>4452</v>
      </c>
      <c r="D20" s="238"/>
      <c r="E20" s="238"/>
      <c r="F20" s="239">
        <f>'数据-取费表'!B37</f>
        <v>0.02</v>
      </c>
      <c r="G20" s="240" t="s">
        <v>1936</v>
      </c>
    </row>
    <row r="21" spans="1:7" s="220" customFormat="1" ht="13.5" customHeight="1">
      <c r="A21" s="261" t="s">
        <v>1937</v>
      </c>
      <c r="B21" s="216" t="s">
        <v>1938</v>
      </c>
      <c r="C21" s="241">
        <f>F21</f>
        <v>0.02</v>
      </c>
      <c r="D21" s="242" t="s">
        <v>1939</v>
      </c>
      <c r="E21" s="238"/>
      <c r="F21" s="239">
        <f>'数据-取费表'!B38</f>
        <v>0.02</v>
      </c>
      <c r="G21" s="240" t="s">
        <v>1940</v>
      </c>
    </row>
    <row r="22" spans="1:7" s="220" customFormat="1" ht="13.5" customHeight="1">
      <c r="A22" s="261" t="s">
        <v>1941</v>
      </c>
      <c r="B22" s="216" t="s">
        <v>1942</v>
      </c>
      <c r="C22" s="1216">
        <f ca="1">ROUND(SUM(C23:C25),0)</f>
        <v>29522</v>
      </c>
      <c r="D22" s="241">
        <f ca="1">C26</f>
        <v>1.2999999999999999E-3</v>
      </c>
      <c r="E22" s="242" t="s">
        <v>1939</v>
      </c>
      <c r="F22" s="243">
        <f ca="1">'数据-取费表'!B40</f>
        <v>4.2000000000000003E-2</v>
      </c>
      <c r="G22" s="240" t="str">
        <f>IF('数据-取费表'!B22&lt;=1,"单利计息","复利计息")</f>
        <v>复利计息</v>
      </c>
    </row>
    <row r="23" spans="1:7" s="220" customFormat="1" ht="13.5" customHeight="1">
      <c r="A23" s="868" t="s">
        <v>1943</v>
      </c>
      <c r="B23" s="221" t="s">
        <v>1944</v>
      </c>
      <c r="C23" s="1217">
        <f ca="1">ROUND(IF('数据-取费表'!B22&lt;=1,C5*F22*'数据-取费表'!B23,C5*(POWER((1+F22),'数据-取费表'!B23)-1)),0)</f>
        <v>29239</v>
      </c>
      <c r="D23" s="244"/>
      <c r="E23" s="244"/>
      <c r="F23" s="245"/>
      <c r="G23" s="246" t="s">
        <v>1945</v>
      </c>
    </row>
    <row r="24" spans="1:7" s="220" customFormat="1" ht="13.5" customHeight="1">
      <c r="A24" s="868" t="s">
        <v>1946</v>
      </c>
      <c r="B24" s="221" t="s">
        <v>1947</v>
      </c>
      <c r="C24" s="1217">
        <f ca="1">ROUND(IF('数据-取费表'!B22&lt;=1,C19*F22*('数据-取费表'!B19/2+'数据-取费表'!B21),C19*(POWER((1+F22),('数据-取费表'!B19/2+'数据-取费表'!B21))-1)),0)</f>
        <v>0</v>
      </c>
      <c r="D24" s="244"/>
      <c r="E24" s="244"/>
      <c r="F24" s="245"/>
      <c r="G24" s="246" t="s">
        <v>1948</v>
      </c>
    </row>
    <row r="25" spans="1:7" s="220" customFormat="1" ht="26">
      <c r="A25" s="868" t="s">
        <v>1949</v>
      </c>
      <c r="B25" s="221" t="s">
        <v>1950</v>
      </c>
      <c r="C25" s="1217">
        <f ca="1">ROUND(IF('数据-取费表'!B22&lt;=1,C20*F22*'数据-取费表'!B23/2,C20*(POWER((1+F22),'数据-取费表'!B23/2)-1)),0)</f>
        <v>283</v>
      </c>
      <c r="D25" s="244"/>
      <c r="E25" s="247"/>
      <c r="F25" s="245"/>
      <c r="G25" s="248" t="s">
        <v>1951</v>
      </c>
    </row>
    <row r="26" spans="1:7" s="220" customFormat="1" ht="13">
      <c r="A26" s="868" t="s">
        <v>614</v>
      </c>
      <c r="B26" s="221" t="s">
        <v>1952</v>
      </c>
      <c r="C26" s="244">
        <f ca="1">ROUND(IF('数据-取费表'!B22&lt;=1,F21*F22*'数据-取费表'!B23/2,F21*(POWER((1+F22),'数据-取费表'!B23/2)-1)),4)</f>
        <v>1.2999999999999999E-3</v>
      </c>
      <c r="D26" s="244"/>
      <c r="E26" s="247"/>
      <c r="F26" s="245"/>
      <c r="G26" s="249"/>
    </row>
    <row r="27" spans="1:7" s="220" customFormat="1" ht="27">
      <c r="A27" s="261" t="s">
        <v>1953</v>
      </c>
      <c r="B27" s="250" t="s">
        <v>1954</v>
      </c>
      <c r="C27" s="251">
        <f ca="1">C28</f>
        <v>49947</v>
      </c>
      <c r="D27" s="241">
        <f ca="1">C29</f>
        <v>4.4000000000000003E-3</v>
      </c>
      <c r="E27" s="242" t="s">
        <v>1955</v>
      </c>
      <c r="F27" s="252">
        <f ca="1">IF(B1="",'数据-取费表'!Q16,INDIRECT("'数据-取费表'!q"&amp;$G$1))</f>
        <v>0.22</v>
      </c>
      <c r="G27" s="253" t="s">
        <v>1956</v>
      </c>
    </row>
    <row r="28" spans="1:7" s="220" customFormat="1" ht="13.5" customHeight="1">
      <c r="A28" s="868" t="s">
        <v>610</v>
      </c>
      <c r="B28" s="254" t="s">
        <v>1957</v>
      </c>
      <c r="C28" s="255">
        <f ca="1">ROUND((C5+C19+C20)*F27*'数据-取费表'!B21/'数据-取费表'!B20,0)</f>
        <v>49947</v>
      </c>
      <c r="D28" s="241"/>
      <c r="E28" s="242"/>
      <c r="F28" s="252"/>
      <c r="G28" s="253"/>
    </row>
    <row r="29" spans="1:7" s="220" customFormat="1" ht="13.5" customHeight="1">
      <c r="A29" s="868" t="s">
        <v>611</v>
      </c>
      <c r="B29" s="254" t="s">
        <v>1958</v>
      </c>
      <c r="C29" s="244">
        <f ca="1">ROUND(C21*F27*'数据-取费表'!B21/'数据-取费表'!B20,4)</f>
        <v>4.4000000000000003E-3</v>
      </c>
      <c r="D29" s="241"/>
      <c r="E29" s="242"/>
      <c r="F29" s="252"/>
      <c r="G29" s="253"/>
    </row>
    <row r="30" spans="1:7" s="220" customFormat="1" ht="13.5" customHeight="1">
      <c r="A30" s="261" t="s">
        <v>1959</v>
      </c>
      <c r="B30" s="216" t="s">
        <v>1960</v>
      </c>
      <c r="C30" s="241">
        <f>ROUND(F30/(1+'数据-取费表'!C42),4)</f>
        <v>5.33E-2</v>
      </c>
      <c r="D30" s="242" t="s">
        <v>1955</v>
      </c>
      <c r="E30" s="247"/>
      <c r="F30" s="243">
        <f>'数据-取费表'!B41</f>
        <v>5.6000000000000001E-2</v>
      </c>
      <c r="G30" s="240" t="s">
        <v>1961</v>
      </c>
    </row>
    <row r="31" spans="1:7" ht="16.5" customHeight="1">
      <c r="A31" s="215">
        <v>1</v>
      </c>
      <c r="B31" s="216" t="s">
        <v>1962</v>
      </c>
      <c r="C31" s="217">
        <f ca="1">ROUND((C5+C19+C20+C22+C27)/(1-C21-D22-D27-C30),0)</f>
        <v>332792</v>
      </c>
      <c r="D31" s="236"/>
      <c r="E31" s="217"/>
      <c r="F31" s="256"/>
      <c r="G31" s="240" t="s">
        <v>1963</v>
      </c>
    </row>
    <row r="32" spans="1:7" s="214" customFormat="1" ht="16">
      <c r="A32" s="258" t="s">
        <v>1964</v>
      </c>
      <c r="B32" s="259"/>
      <c r="C32" s="259"/>
      <c r="D32" s="259"/>
      <c r="E32" s="259"/>
      <c r="F32" s="259"/>
      <c r="G32" s="260"/>
    </row>
    <row r="33" spans="1:7" s="220" customFormat="1" ht="13.5" customHeight="1">
      <c r="A33" s="261" t="s">
        <v>601</v>
      </c>
      <c r="B33" s="216" t="s">
        <v>1965</v>
      </c>
      <c r="C33" s="262">
        <f ca="1">SUM(C34:C38)</f>
        <v>57440</v>
      </c>
      <c r="D33" s="238"/>
      <c r="E33" s="218"/>
      <c r="F33" s="247"/>
      <c r="G33" s="240"/>
    </row>
    <row r="34" spans="1:7" s="264" customFormat="1" ht="13.5" customHeight="1">
      <c r="A34" s="868" t="s">
        <v>610</v>
      </c>
      <c r="B34" s="221" t="s">
        <v>1966</v>
      </c>
      <c r="C34" s="226">
        <f ca="1">IF(B1="",IF(F34=100%,'数据-取费表'!M16,'数据-取费表'!O16),IF(F34=100%,INDIRECT("'数据-取费表'!m"&amp;$G$1)+INDIRECT("'数据-取费表'!t"&amp;$G$1),INDIRECT("'数据-取费表'!o"&amp;$G$1)+INDIRECT("'数据-取费表'!aq"&amp;$G$1)))</f>
        <v>52083</v>
      </c>
      <c r="D34" s="223"/>
      <c r="E34" s="226"/>
      <c r="F34" s="263">
        <f ca="1">IF('数据-取费表'!B24=0,1,IF(B1="",'数据-取费表'!N16,INDIRECT("'数据-取费表'!n"&amp;$G$1)))</f>
        <v>1</v>
      </c>
      <c r="G34" s="225" t="s">
        <v>1967</v>
      </c>
    </row>
    <row r="35" spans="1:7" ht="13.5" customHeight="1">
      <c r="A35" s="868" t="s">
        <v>615</v>
      </c>
      <c r="B35" s="221" t="s">
        <v>1968</v>
      </c>
      <c r="C35" s="226">
        <f ca="1">ROUND(C34*F35,0)</f>
        <v>2604</v>
      </c>
      <c r="D35" s="226"/>
      <c r="E35" s="226"/>
      <c r="F35" s="265">
        <f>'数据-取费表'!B33</f>
        <v>0.05</v>
      </c>
      <c r="G35" s="225" t="s">
        <v>1969</v>
      </c>
    </row>
    <row r="36" spans="1:7" ht="26">
      <c r="A36" s="868" t="s">
        <v>616</v>
      </c>
      <c r="B36" s="221" t="s">
        <v>1970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1971</v>
      </c>
    </row>
    <row r="37" spans="1:7" s="264" customFormat="1" ht="13.5" customHeight="1">
      <c r="A37" s="868" t="s">
        <v>617</v>
      </c>
      <c r="B37" s="221" t="s">
        <v>1972</v>
      </c>
      <c r="C37" s="255">
        <f ca="1">ROUND(E37*D37*F34/10000,0)</f>
        <v>1972</v>
      </c>
      <c r="D37" s="223">
        <f ca="1">D19</f>
        <v>98604.219999999987</v>
      </c>
      <c r="E37" s="255">
        <f>'数据-取费表'!B35</f>
        <v>200</v>
      </c>
      <c r="F37" s="265"/>
      <c r="G37" s="267" t="s">
        <v>1973</v>
      </c>
    </row>
    <row r="38" spans="1:7" ht="13.5" customHeight="1">
      <c r="A38" s="868" t="s">
        <v>618</v>
      </c>
      <c r="B38" s="221" t="s">
        <v>1974</v>
      </c>
      <c r="C38" s="226">
        <f ca="1">ROUND(C34*F38,0)</f>
        <v>781</v>
      </c>
      <c r="D38" s="226"/>
      <c r="E38" s="226"/>
      <c r="F38" s="265">
        <f>'数据-取费表'!B36</f>
        <v>1.4999999999999999E-2</v>
      </c>
      <c r="G38" s="225" t="s">
        <v>1969</v>
      </c>
    </row>
    <row r="39" spans="1:7" s="220" customFormat="1" ht="13.5" customHeight="1">
      <c r="A39" s="261" t="s">
        <v>1975</v>
      </c>
      <c r="B39" s="216" t="s">
        <v>1976</v>
      </c>
      <c r="C39" s="238">
        <f ca="1">ROUND(C33*F20,0)</f>
        <v>1149</v>
      </c>
      <c r="D39" s="238"/>
      <c r="E39" s="238"/>
      <c r="F39" s="2484">
        <f>F20</f>
        <v>0.02</v>
      </c>
      <c r="G39" s="240" t="s">
        <v>1977</v>
      </c>
    </row>
    <row r="40" spans="1:7" s="220" customFormat="1" ht="13.5" customHeight="1">
      <c r="A40" s="261" t="s">
        <v>1978</v>
      </c>
      <c r="B40" s="216" t="s">
        <v>1979</v>
      </c>
      <c r="C40" s="1447">
        <f>F21</f>
        <v>0.02</v>
      </c>
      <c r="D40" s="242" t="s">
        <v>1980</v>
      </c>
      <c r="E40" s="238"/>
      <c r="F40" s="2484">
        <f>F21</f>
        <v>0.02</v>
      </c>
      <c r="G40" s="240" t="s">
        <v>1981</v>
      </c>
    </row>
    <row r="41" spans="1:7" s="220" customFormat="1" ht="13.5" customHeight="1">
      <c r="A41" s="261" t="s">
        <v>1982</v>
      </c>
      <c r="B41" s="216" t="s">
        <v>1983</v>
      </c>
      <c r="C41" s="238">
        <f ca="1">ROUND(SUM(C42:C43),0)</f>
        <v>3729</v>
      </c>
      <c r="D41" s="241">
        <f ca="1">C44</f>
        <v>1.2999999999999999E-3</v>
      </c>
      <c r="E41" s="242" t="s">
        <v>1980</v>
      </c>
      <c r="F41" s="2485">
        <f ca="1">F22</f>
        <v>4.2000000000000003E-2</v>
      </c>
      <c r="G41" s="240" t="str">
        <f>IF('数据-取费表'!B22&lt;=1,"单利计息","复利计息")</f>
        <v>复利计息</v>
      </c>
    </row>
    <row r="42" spans="1:7" ht="13.5" customHeight="1">
      <c r="A42" s="868" t="s">
        <v>610</v>
      </c>
      <c r="B42" s="221" t="s">
        <v>1984</v>
      </c>
      <c r="C42" s="244">
        <f ca="1">ROUND(IF('数据-取费表'!B22&lt;=1,C33*F22*'数据-取费表'!B21/2,C33*(POWER((1+F22),'数据-取费表'!B21/2)-1)),0)</f>
        <v>3656</v>
      </c>
      <c r="D42" s="244"/>
      <c r="E42" s="244"/>
      <c r="F42" s="245"/>
      <c r="G42" s="3371" t="s">
        <v>1985</v>
      </c>
    </row>
    <row r="43" spans="1:7" ht="13.5" customHeight="1">
      <c r="A43" s="868" t="s">
        <v>611</v>
      </c>
      <c r="B43" s="221" t="s">
        <v>1986</v>
      </c>
      <c r="C43" s="244">
        <f ca="1">ROUND(IF('数据-取费表'!B22&lt;=1,C39*F22*'数据-取费表'!B21/2,C39*(POWER((1+F22),'数据-取费表'!B21/2)-1)),0)</f>
        <v>73</v>
      </c>
      <c r="D43" s="244"/>
      <c r="E43" s="244"/>
      <c r="F43" s="245"/>
      <c r="G43" s="3372"/>
    </row>
    <row r="44" spans="1:7" ht="13.5" customHeight="1">
      <c r="A44" s="868" t="s">
        <v>612</v>
      </c>
      <c r="B44" s="221" t="s">
        <v>1987</v>
      </c>
      <c r="C44" s="244">
        <f ca="1">ROUND(IF('数据-取费表'!B22&lt;=1,C40*F22*'数据-取费表'!B21/2,C40*(POWER((1+F22),'数据-取费表'!B21/2)-1)),4)</f>
        <v>1.2999999999999999E-3</v>
      </c>
      <c r="D44" s="244"/>
      <c r="E44" s="244"/>
      <c r="F44" s="245"/>
      <c r="G44" s="3373"/>
    </row>
    <row r="45" spans="1:7" s="220" customFormat="1" ht="13.5" customHeight="1">
      <c r="A45" s="261" t="s">
        <v>1988</v>
      </c>
      <c r="B45" s="250" t="s">
        <v>1954</v>
      </c>
      <c r="C45" s="251">
        <f ca="1">C46</f>
        <v>12890</v>
      </c>
      <c r="D45" s="241">
        <f ca="1">C47</f>
        <v>4.4000000000000003E-3</v>
      </c>
      <c r="E45" s="242" t="s">
        <v>1980</v>
      </c>
      <c r="F45" s="2486">
        <f ca="1">F27</f>
        <v>0.22</v>
      </c>
      <c r="G45" s="253" t="s">
        <v>1989</v>
      </c>
    </row>
    <row r="46" spans="1:7" s="220" customFormat="1" ht="13.5" customHeight="1">
      <c r="A46" s="868" t="s">
        <v>610</v>
      </c>
      <c r="B46" s="254" t="s">
        <v>1990</v>
      </c>
      <c r="C46" s="255">
        <f ca="1">ROUND((C33+C39)*F27,0)</f>
        <v>12890</v>
      </c>
      <c r="D46" s="269"/>
      <c r="E46" s="242"/>
      <c r="F46" s="252"/>
      <c r="G46" s="253"/>
    </row>
    <row r="47" spans="1:7" s="220" customFormat="1" ht="13.5" customHeight="1">
      <c r="A47" s="868" t="s">
        <v>611</v>
      </c>
      <c r="B47" s="254" t="s">
        <v>1991</v>
      </c>
      <c r="C47" s="244">
        <f ca="1">ROUND(C40*F27,4)</f>
        <v>4.4000000000000003E-3</v>
      </c>
      <c r="D47" s="269"/>
      <c r="E47" s="242"/>
      <c r="F47" s="252"/>
      <c r="G47" s="253"/>
    </row>
    <row r="48" spans="1:7" s="220" customFormat="1" ht="13.5" customHeight="1">
      <c r="A48" s="261" t="s">
        <v>1953</v>
      </c>
      <c r="B48" s="216" t="s">
        <v>1992</v>
      </c>
      <c r="C48" s="1447">
        <f>ROUND(F30/(1+'数据-取费表'!C42),4)</f>
        <v>5.33E-2</v>
      </c>
      <c r="D48" s="242" t="s">
        <v>1980</v>
      </c>
      <c r="E48" s="238"/>
      <c r="F48" s="2485">
        <f>F30</f>
        <v>5.6000000000000001E-2</v>
      </c>
      <c r="G48" s="240" t="s">
        <v>1993</v>
      </c>
    </row>
    <row r="49" spans="1:7" ht="16.5" customHeight="1">
      <c r="A49" s="261" t="s">
        <v>1959</v>
      </c>
      <c r="B49" s="216" t="s">
        <v>1994</v>
      </c>
      <c r="C49" s="238">
        <f ca="1">ROUND((C33+C39+C41+C45)/(1-C40-D41-D45-C48),0)</f>
        <v>81659</v>
      </c>
      <c r="D49" s="238"/>
      <c r="E49" s="238"/>
      <c r="F49" s="270"/>
      <c r="G49" s="240" t="s">
        <v>1995</v>
      </c>
    </row>
    <row r="50" spans="1:7" s="264" customFormat="1" ht="26">
      <c r="A50" s="261" t="s">
        <v>1996</v>
      </c>
      <c r="B50" s="216" t="s">
        <v>1997</v>
      </c>
      <c r="C50" s="238"/>
      <c r="D50" s="238"/>
      <c r="E50" s="238"/>
      <c r="F50" s="270">
        <f>IF('数据-取费表'!B24=0,'数据-取费表'!N16,1)</f>
        <v>0.98</v>
      </c>
      <c r="G50" s="253" t="s">
        <v>1998</v>
      </c>
    </row>
    <row r="51" spans="1:7" ht="16.5" customHeight="1">
      <c r="A51" s="261" t="s">
        <v>1999</v>
      </c>
      <c r="B51" s="216" t="s">
        <v>2000</v>
      </c>
      <c r="C51" s="238">
        <f ca="1">ROUND(C49*F50,0)</f>
        <v>80026</v>
      </c>
      <c r="D51" s="238"/>
      <c r="E51" s="238"/>
      <c r="F51" s="270"/>
      <c r="G51" s="240" t="s">
        <v>2001</v>
      </c>
    </row>
    <row r="52" spans="1:7" s="214" customFormat="1" ht="16.5" thickBot="1">
      <c r="A52" s="271" t="s">
        <v>2002</v>
      </c>
      <c r="B52" s="272"/>
      <c r="C52" s="273">
        <f ca="1">C31+C51</f>
        <v>412818</v>
      </c>
      <c r="D52" s="272"/>
      <c r="E52" s="272"/>
      <c r="F52" s="272"/>
      <c r="G52" s="274"/>
    </row>
    <row r="55" spans="1:7" ht="15.5">
      <c r="B55" s="276" t="s">
        <v>2003</v>
      </c>
      <c r="C55" s="277"/>
    </row>
    <row r="56" spans="1:7" ht="13">
      <c r="B56" s="279" t="s">
        <v>1233</v>
      </c>
      <c r="C56" s="281">
        <f ca="1">1-C57</f>
        <v>0.80600000000000005</v>
      </c>
    </row>
    <row r="57" spans="1:7" ht="13">
      <c r="B57" s="279" t="s">
        <v>1234</v>
      </c>
      <c r="C57" s="280">
        <f ca="1">ROUND(C51/C52,3)</f>
        <v>0.19400000000000001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1"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13" t="s">
        <v>2105</v>
      </c>
      <c r="C1" s="1358" t="s">
        <v>2106</v>
      </c>
      <c r="D1" s="1345"/>
      <c r="E1" s="2493"/>
      <c r="F1" s="2014" t="s">
        <v>2107</v>
      </c>
      <c r="G1" s="1355" t="s">
        <v>2108</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1114</v>
      </c>
      <c r="B2" s="1278" t="e">
        <f ca="1">IF(C2="——",ROUND(C49*D3/10000,0),ROUND(C49*D3/10000,0)-D2)</f>
        <v>#DIV/0!</v>
      </c>
      <c r="C2" s="2016"/>
      <c r="D2" s="1227" t="e">
        <f ca="1">SUMIF(INDIRECT("'"&amp;F2&amp;"'"&amp;"!A:A"),"承租人权益价值",INDIRECT("'"&amp;F2&amp;"'"&amp;"!c:c"))</f>
        <v>#REF!</v>
      </c>
      <c r="E2" s="2017" t="s">
        <v>2109</v>
      </c>
      <c r="F2" s="2018"/>
      <c r="G2" s="1018"/>
      <c r="H2" s="1018"/>
      <c r="I2" s="1018"/>
      <c r="J2" s="1018"/>
      <c r="K2" s="2019"/>
      <c r="L2" s="2887"/>
      <c r="M2" s="2888"/>
      <c r="N2" s="2888"/>
      <c r="O2" s="2888"/>
      <c r="P2" s="2020"/>
      <c r="Q2" s="2021"/>
      <c r="R2" s="2021"/>
      <c r="S2" s="2021"/>
      <c r="T2" s="2021"/>
      <c r="U2" s="2021"/>
      <c r="V2" s="2021"/>
      <c r="W2" s="2021"/>
      <c r="X2" s="2021"/>
      <c r="Y2" s="2021"/>
      <c r="Z2" s="2021"/>
      <c r="AA2" s="2021"/>
      <c r="AB2" s="2021"/>
      <c r="AC2" s="2022"/>
    </row>
    <row r="3" spans="1:29" s="353" customFormat="1" ht="28.5" customHeight="1" thickBot="1">
      <c r="A3" s="209" t="s">
        <v>1115</v>
      </c>
      <c r="B3" s="359" t="e">
        <f ca="1">IF(C2="——",C49,ROUND(B2*10000/D3,0))</f>
        <v>#DIV/0!</v>
      </c>
      <c r="C3" s="360" t="s">
        <v>2110</v>
      </c>
      <c r="D3" s="359">
        <f>IF(D1="",'数据-汇总表'!E3,SUMIF('数据-汇总表'!$C19:$C33,D1,'数据-汇总表'!$E19:$E33))</f>
        <v>98604.219999999987</v>
      </c>
      <c r="E3" s="1018"/>
      <c r="F3" s="2023"/>
      <c r="G3" s="1018"/>
      <c r="H3" s="1018"/>
      <c r="I3" s="1018"/>
      <c r="J3" s="1018"/>
      <c r="K3" s="2019"/>
      <c r="L3" s="2887"/>
      <c r="M3" s="2888"/>
      <c r="N3" s="2888"/>
      <c r="O3" s="2888"/>
      <c r="P3" s="2020"/>
      <c r="Q3" s="2021"/>
      <c r="R3" s="2021"/>
      <c r="S3" s="2021"/>
      <c r="T3" s="2021"/>
      <c r="U3" s="2021"/>
      <c r="V3" s="2021"/>
      <c r="W3" s="2021"/>
      <c r="X3" s="2021"/>
      <c r="Y3" s="2021"/>
      <c r="Z3" s="2021"/>
      <c r="AA3" s="2021"/>
      <c r="AB3" s="2021"/>
      <c r="AC3" s="1172"/>
    </row>
    <row r="4" spans="1:29">
      <c r="A4" s="361" t="s">
        <v>2111</v>
      </c>
      <c r="B4" s="362"/>
      <c r="C4" s="3555" t="s">
        <v>2112</v>
      </c>
      <c r="D4" s="3556"/>
      <c r="E4" s="3557" t="s">
        <v>2113</v>
      </c>
      <c r="F4" s="3558"/>
      <c r="G4" s="3555" t="s">
        <v>2114</v>
      </c>
      <c r="H4" s="3556"/>
      <c r="I4" s="3555" t="s">
        <v>2115</v>
      </c>
      <c r="J4" s="3556"/>
      <c r="K4" s="2024" t="s">
        <v>2116</v>
      </c>
      <c r="L4" s="2889"/>
      <c r="M4" s="2890"/>
      <c r="N4" s="2890"/>
      <c r="O4" s="2890"/>
      <c r="P4" s="3619" t="s">
        <v>2117</v>
      </c>
      <c r="Q4" s="3620"/>
      <c r="R4" s="3623" t="s">
        <v>2113</v>
      </c>
      <c r="S4" s="3624"/>
      <c r="T4" s="3623" t="s">
        <v>2114</v>
      </c>
      <c r="U4" s="3624"/>
      <c r="V4" s="3572" t="s">
        <v>2115</v>
      </c>
      <c r="W4" s="3572"/>
      <c r="X4" s="1489"/>
      <c r="Y4" s="3623" t="s">
        <v>2117</v>
      </c>
      <c r="Z4" s="3624"/>
      <c r="AA4" s="3618" t="s">
        <v>2113</v>
      </c>
      <c r="AB4" s="3618" t="s">
        <v>2114</v>
      </c>
      <c r="AC4" s="3618" t="s">
        <v>2115</v>
      </c>
    </row>
    <row r="5" spans="1:29">
      <c r="A5" s="364"/>
      <c r="B5" s="365"/>
      <c r="C5" s="3581" t="s">
        <v>2118</v>
      </c>
      <c r="D5" s="3576"/>
      <c r="E5" s="3625" t="s">
        <v>2119</v>
      </c>
      <c r="F5" s="3588"/>
      <c r="G5" s="3581" t="s">
        <v>2120</v>
      </c>
      <c r="H5" s="3576"/>
      <c r="I5" s="3581" t="s">
        <v>2121</v>
      </c>
      <c r="J5" s="3576"/>
      <c r="K5" s="2025"/>
      <c r="L5" s="2889"/>
      <c r="M5" s="2890"/>
      <c r="N5" s="2890"/>
      <c r="O5" s="2890"/>
      <c r="P5" s="3621"/>
      <c r="Q5" s="3562"/>
      <c r="R5" s="3567"/>
      <c r="S5" s="3568"/>
      <c r="T5" s="3567"/>
      <c r="U5" s="3568"/>
      <c r="V5" s="3572"/>
      <c r="W5" s="3572"/>
      <c r="X5" s="1489"/>
      <c r="Y5" s="3567"/>
      <c r="Z5" s="3568"/>
      <c r="AA5" s="3585"/>
      <c r="AB5" s="3585"/>
      <c r="AC5" s="3585"/>
    </row>
    <row r="6" spans="1:29" ht="15" thickBot="1">
      <c r="A6" s="366"/>
      <c r="B6" s="367"/>
      <c r="C6" s="3573" t="s">
        <v>2122</v>
      </c>
      <c r="D6" s="3574"/>
      <c r="E6" s="3582" t="s">
        <v>2122</v>
      </c>
      <c r="F6" s="3583"/>
      <c r="G6" s="3573" t="s">
        <v>2122</v>
      </c>
      <c r="H6" s="3574"/>
      <c r="I6" s="3573" t="s">
        <v>2122</v>
      </c>
      <c r="J6" s="3574"/>
      <c r="K6" s="2025" t="s">
        <v>2123</v>
      </c>
      <c r="L6" s="2889"/>
      <c r="M6" s="2890"/>
      <c r="N6" s="2890"/>
      <c r="O6" s="2890"/>
      <c r="P6" s="3622"/>
      <c r="Q6" s="3564"/>
      <c r="R6" s="3567"/>
      <c r="S6" s="3568"/>
      <c r="T6" s="3569"/>
      <c r="U6" s="3570"/>
      <c r="V6" s="3572"/>
      <c r="W6" s="3572"/>
      <c r="X6" s="1489"/>
      <c r="Y6" s="3569"/>
      <c r="Z6" s="3570"/>
      <c r="AA6" s="3586"/>
      <c r="AB6" s="3586"/>
      <c r="AC6" s="3586"/>
    </row>
    <row r="7" spans="1:29" s="113" customFormat="1" ht="14.5" thickBot="1">
      <c r="A7" s="368" t="s">
        <v>2124</v>
      </c>
      <c r="B7" s="369"/>
      <c r="C7" s="370">
        <f>'数据-取费表'!B2</f>
        <v>44691</v>
      </c>
      <c r="D7" s="371">
        <v>100</v>
      </c>
      <c r="E7" s="372"/>
      <c r="F7" s="373">
        <f>SUMIF(58:58,YEAR(E7)&amp;"-"&amp;MONTH(E7),59:59)</f>
        <v>0</v>
      </c>
      <c r="G7" s="372"/>
      <c r="H7" s="371">
        <f>SUMIF(58:58,YEAR(G7)&amp;"-"&amp;MONTH(G7),59:59)</f>
        <v>0</v>
      </c>
      <c r="I7" s="372"/>
      <c r="J7" s="371">
        <f>SUMIF(58:58,YEAR(I7)&amp;"-"&amp;MONTH(I7),59:59)</f>
        <v>0</v>
      </c>
      <c r="K7" s="2026"/>
      <c r="L7" s="2891"/>
      <c r="M7" s="2892"/>
      <c r="N7" s="2892"/>
      <c r="O7" s="2892"/>
      <c r="P7" s="3579" t="s">
        <v>2125</v>
      </c>
      <c r="Q7" s="3580"/>
      <c r="R7" s="710" t="s">
        <v>23</v>
      </c>
      <c r="S7" s="711">
        <f t="shared" ref="S7:S15" si="0">F7</f>
        <v>0</v>
      </c>
      <c r="T7" s="710" t="s">
        <v>23</v>
      </c>
      <c r="U7" s="711">
        <f t="shared" ref="U7:U15" si="1">H7</f>
        <v>0</v>
      </c>
      <c r="V7" s="710" t="s">
        <v>23</v>
      </c>
      <c r="W7" s="711">
        <f t="shared" ref="W7:W15" si="2">J7</f>
        <v>0</v>
      </c>
      <c r="X7" s="712"/>
      <c r="Y7" s="3579" t="s">
        <v>2125</v>
      </c>
      <c r="Z7" s="3578"/>
      <c r="AA7" s="713" t="e">
        <f>D7/F7</f>
        <v>#DIV/0!</v>
      </c>
      <c r="AB7" s="713" t="e">
        <f>D7/H7</f>
        <v>#DIV/0!</v>
      </c>
      <c r="AC7" s="713" t="e">
        <f>D7/J7</f>
        <v>#DIV/0!</v>
      </c>
    </row>
    <row r="8" spans="1:29" s="113" customFormat="1" ht="14.5" thickBot="1">
      <c r="A8" s="368" t="s">
        <v>2126</v>
      </c>
      <c r="B8" s="369"/>
      <c r="C8" s="374" t="s">
        <v>2127</v>
      </c>
      <c r="D8" s="371">
        <v>100</v>
      </c>
      <c r="E8" s="2027"/>
      <c r="F8" s="373">
        <f>SUMIF(61:61,E8,62:62)-SUMIF(61:61,C8,62:62)+100</f>
        <v>0</v>
      </c>
      <c r="G8" s="374"/>
      <c r="H8" s="371">
        <f>SUMIF(61:61,G8,62:62)-SUMIF(61:61,C8,62:62)+100</f>
        <v>0</v>
      </c>
      <c r="I8" s="2027"/>
      <c r="J8" s="371">
        <f>SUMIF(61:61,I8,62:62)-SUMIF(61:61,C8,62:62)+100</f>
        <v>0</v>
      </c>
      <c r="K8" s="2026"/>
      <c r="L8" s="2891"/>
      <c r="M8" s="2892"/>
      <c r="N8" s="2892"/>
      <c r="O8" s="2892"/>
      <c r="P8" s="3579" t="s">
        <v>2128</v>
      </c>
      <c r="Q8" s="3578"/>
      <c r="R8" s="710" t="s">
        <v>23</v>
      </c>
      <c r="S8" s="711">
        <f t="shared" si="0"/>
        <v>0</v>
      </c>
      <c r="T8" s="710" t="s">
        <v>23</v>
      </c>
      <c r="U8" s="711">
        <f t="shared" si="1"/>
        <v>0</v>
      </c>
      <c r="V8" s="710" t="s">
        <v>23</v>
      </c>
      <c r="W8" s="711">
        <f t="shared" si="2"/>
        <v>0</v>
      </c>
      <c r="X8" s="712"/>
      <c r="Y8" s="3579" t="s">
        <v>2128</v>
      </c>
      <c r="Z8" s="3578"/>
      <c r="AA8" s="713" t="e">
        <f t="shared" ref="AA8:AA19" si="3">D8/F8</f>
        <v>#DIV/0!</v>
      </c>
      <c r="AB8" s="713" t="e">
        <f t="shared" ref="AB8:AB19" si="4">D8/H8</f>
        <v>#DIV/0!</v>
      </c>
      <c r="AC8" s="713" t="e">
        <f t="shared" ref="AC8:AC19" si="5">D8/J8</f>
        <v>#DIV/0!</v>
      </c>
    </row>
    <row r="9" spans="1:29" s="113" customFormat="1">
      <c r="A9" s="375" t="s">
        <v>2129</v>
      </c>
      <c r="B9" s="67" t="s">
        <v>2130</v>
      </c>
      <c r="C9" s="376"/>
      <c r="D9" s="131">
        <v>100</v>
      </c>
      <c r="E9" s="377"/>
      <c r="F9" s="378">
        <f>SUMIF(63:63,E9,64:64)-SUMIF(63:63,C9,64:64)+100</f>
        <v>100</v>
      </c>
      <c r="G9" s="379"/>
      <c r="H9" s="131">
        <f>SUMIF(63:63,G9,64:64)-SUMIF(63:63,C9,64:64)+100</f>
        <v>100</v>
      </c>
      <c r="I9" s="379"/>
      <c r="J9" s="131">
        <f>SUMIF(63:63,I9,64:64)-SUMIF(63:63,C9,64:64)+100</f>
        <v>100</v>
      </c>
      <c r="K9" s="2026"/>
      <c r="L9" s="2891"/>
      <c r="M9" s="2892"/>
      <c r="N9" s="2892"/>
      <c r="O9" s="2892"/>
      <c r="P9" s="3537" t="s">
        <v>2131</v>
      </c>
      <c r="Q9" s="1477" t="str">
        <f t="shared" ref="Q9:Q15" si="6">B9</f>
        <v>用途</v>
      </c>
      <c r="R9" s="710" t="s">
        <v>17</v>
      </c>
      <c r="S9" s="711">
        <f t="shared" si="0"/>
        <v>100</v>
      </c>
      <c r="T9" s="710" t="s">
        <v>17</v>
      </c>
      <c r="U9" s="711">
        <f t="shared" si="1"/>
        <v>100</v>
      </c>
      <c r="V9" s="710" t="s">
        <v>17</v>
      </c>
      <c r="W9" s="711">
        <f t="shared" si="2"/>
        <v>100</v>
      </c>
      <c r="X9" s="712"/>
      <c r="Y9" s="3446" t="s">
        <v>2132</v>
      </c>
      <c r="Z9" s="55" t="str">
        <f t="shared" ref="Z9:Z15" si="7">Q9</f>
        <v>用途</v>
      </c>
      <c r="AA9" s="713">
        <f t="shared" si="3"/>
        <v>1</v>
      </c>
      <c r="AB9" s="713">
        <f t="shared" si="4"/>
        <v>1</v>
      </c>
      <c r="AC9" s="713">
        <f t="shared" si="5"/>
        <v>1</v>
      </c>
    </row>
    <row r="10" spans="1:29" s="386" customFormat="1" ht="28">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37"/>
      <c r="Q10" s="1477" t="str">
        <f t="shared" si="6"/>
        <v>土地使用年限（年）</v>
      </c>
      <c r="R10" s="710" t="s">
        <v>17</v>
      </c>
      <c r="S10" s="711">
        <f t="shared" si="0"/>
        <v>100</v>
      </c>
      <c r="T10" s="710" t="s">
        <v>17</v>
      </c>
      <c r="U10" s="711">
        <f t="shared" si="1"/>
        <v>100</v>
      </c>
      <c r="V10" s="710" t="s">
        <v>17</v>
      </c>
      <c r="W10" s="711">
        <f t="shared" si="2"/>
        <v>100</v>
      </c>
      <c r="X10" s="712"/>
      <c r="Y10" s="3446"/>
      <c r="Z10" s="55" t="str">
        <f t="shared" si="7"/>
        <v>土地使用年限（年）</v>
      </c>
      <c r="AA10" s="713">
        <f t="shared" si="3"/>
        <v>1</v>
      </c>
      <c r="AB10" s="713">
        <f t="shared" si="4"/>
        <v>1</v>
      </c>
      <c r="AC10" s="713">
        <f t="shared" si="5"/>
        <v>1</v>
      </c>
    </row>
    <row r="11" spans="1:29" ht="15.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37"/>
      <c r="Q11" s="1477" t="str">
        <f t="shared" si="6"/>
        <v>容积率</v>
      </c>
      <c r="R11" s="710" t="s">
        <v>21</v>
      </c>
      <c r="S11" s="711" t="e">
        <f t="shared" si="0"/>
        <v>#N/A</v>
      </c>
      <c r="T11" s="710" t="s">
        <v>21</v>
      </c>
      <c r="U11" s="711" t="e">
        <f t="shared" si="1"/>
        <v>#N/A</v>
      </c>
      <c r="V11" s="710" t="s">
        <v>21</v>
      </c>
      <c r="W11" s="711" t="e">
        <f t="shared" si="2"/>
        <v>#N/A</v>
      </c>
      <c r="X11" s="712"/>
      <c r="Y11" s="3446"/>
      <c r="Z11" s="55" t="str">
        <f t="shared" si="7"/>
        <v>容积率</v>
      </c>
      <c r="AA11" s="713" t="e">
        <f t="shared" si="3"/>
        <v>#N/A</v>
      </c>
      <c r="AB11" s="713" t="e">
        <f t="shared" si="4"/>
        <v>#N/A</v>
      </c>
      <c r="AC11" s="713" t="e">
        <f t="shared" si="5"/>
        <v>#N/A</v>
      </c>
    </row>
    <row r="12" spans="1:29" s="113" customFormat="1" ht="15.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1"/>
      <c r="M12" s="2892"/>
      <c r="N12" s="2892"/>
      <c r="O12" s="2892"/>
      <c r="P12" s="3537"/>
      <c r="Q12" s="1477">
        <f t="shared" si="6"/>
        <v>111</v>
      </c>
      <c r="R12" s="710" t="s">
        <v>21</v>
      </c>
      <c r="S12" s="711">
        <f t="shared" si="0"/>
        <v>100</v>
      </c>
      <c r="T12" s="710" t="s">
        <v>21</v>
      </c>
      <c r="U12" s="711">
        <f t="shared" si="1"/>
        <v>100</v>
      </c>
      <c r="V12" s="710" t="s">
        <v>21</v>
      </c>
      <c r="W12" s="711">
        <f t="shared" si="2"/>
        <v>100</v>
      </c>
      <c r="X12" s="712"/>
      <c r="Y12" s="3446"/>
      <c r="Z12" s="55">
        <f t="shared" si="7"/>
        <v>111</v>
      </c>
      <c r="AA12" s="713">
        <f>D12/F12</f>
        <v>1</v>
      </c>
      <c r="AB12" s="713">
        <f>D12/H12</f>
        <v>1</v>
      </c>
      <c r="AC12" s="713">
        <f>D12/J12</f>
        <v>1</v>
      </c>
    </row>
    <row r="13" spans="1:29" ht="15.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6"/>
      <c r="M13" s="2890"/>
      <c r="N13" s="2890"/>
      <c r="O13" s="2890"/>
      <c r="P13" s="3537"/>
      <c r="Q13" s="1477">
        <f t="shared" si="6"/>
        <v>111</v>
      </c>
      <c r="R13" s="710" t="s">
        <v>21</v>
      </c>
      <c r="S13" s="711">
        <f t="shared" si="0"/>
        <v>100</v>
      </c>
      <c r="T13" s="710" t="s">
        <v>21</v>
      </c>
      <c r="U13" s="711">
        <f t="shared" si="1"/>
        <v>100</v>
      </c>
      <c r="V13" s="710" t="s">
        <v>21</v>
      </c>
      <c r="W13" s="711">
        <f t="shared" si="2"/>
        <v>100</v>
      </c>
      <c r="X13" s="712"/>
      <c r="Y13" s="3446"/>
      <c r="Z13" s="55">
        <f t="shared" si="7"/>
        <v>111</v>
      </c>
      <c r="AA13" s="713">
        <f t="shared" si="3"/>
        <v>1</v>
      </c>
      <c r="AB13" s="713">
        <f t="shared" si="4"/>
        <v>1</v>
      </c>
      <c r="AC13" s="713">
        <f t="shared" si="5"/>
        <v>1</v>
      </c>
    </row>
    <row r="14" spans="1:29" ht="16"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6"/>
      <c r="M14" s="2890"/>
      <c r="N14" s="2890"/>
      <c r="O14" s="2890"/>
      <c r="P14" s="3537"/>
      <c r="Q14" s="1477">
        <f t="shared" si="6"/>
        <v>111</v>
      </c>
      <c r="R14" s="710" t="s">
        <v>21</v>
      </c>
      <c r="S14" s="711">
        <f t="shared" si="0"/>
        <v>100</v>
      </c>
      <c r="T14" s="710" t="s">
        <v>21</v>
      </c>
      <c r="U14" s="711">
        <f t="shared" si="1"/>
        <v>100</v>
      </c>
      <c r="V14" s="710" t="s">
        <v>21</v>
      </c>
      <c r="W14" s="711">
        <f t="shared" si="2"/>
        <v>100</v>
      </c>
      <c r="X14" s="712"/>
      <c r="Y14" s="3446"/>
      <c r="Z14" s="55">
        <f t="shared" si="7"/>
        <v>111</v>
      </c>
      <c r="AA14" s="713">
        <f t="shared" si="3"/>
        <v>1</v>
      </c>
      <c r="AB14" s="713">
        <f t="shared" si="4"/>
        <v>1</v>
      </c>
      <c r="AC14" s="713">
        <f t="shared" si="5"/>
        <v>1</v>
      </c>
    </row>
    <row r="15" spans="1:29" ht="98">
      <c r="A15" s="399" t="s">
        <v>2135</v>
      </c>
      <c r="B15" s="65" t="s">
        <v>1698</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43" t="s">
        <v>2136</v>
      </c>
      <c r="Q15" s="1486" t="str">
        <f t="shared" si="6"/>
        <v>居住社区成熟度</v>
      </c>
      <c r="R15" s="714" t="s">
        <v>21</v>
      </c>
      <c r="S15" s="715">
        <f t="shared" si="0"/>
        <v>100</v>
      </c>
      <c r="T15" s="714" t="s">
        <v>21</v>
      </c>
      <c r="U15" s="715">
        <f t="shared" si="1"/>
        <v>100</v>
      </c>
      <c r="V15" s="714" t="s">
        <v>21</v>
      </c>
      <c r="W15" s="715">
        <f t="shared" si="2"/>
        <v>100</v>
      </c>
      <c r="X15" s="1489"/>
      <c r="Y15" s="3545" t="s">
        <v>2136</v>
      </c>
      <c r="Z15" s="1490" t="str">
        <f t="shared" si="7"/>
        <v>居住社区成熟度</v>
      </c>
      <c r="AA15" s="1487">
        <f t="shared" si="3"/>
        <v>1</v>
      </c>
      <c r="AB15" s="1487">
        <f t="shared" si="4"/>
        <v>1</v>
      </c>
      <c r="AC15" s="1487">
        <f t="shared" si="5"/>
        <v>1</v>
      </c>
    </row>
    <row r="16" spans="1:29" ht="15.5">
      <c r="A16" s="387"/>
      <c r="B16" s="405"/>
      <c r="C16" s="406"/>
      <c r="D16" s="407"/>
      <c r="E16" s="2032"/>
      <c r="F16" s="407"/>
      <c r="G16" s="2033"/>
      <c r="H16" s="409"/>
      <c r="I16" s="2033"/>
      <c r="J16" s="407"/>
      <c r="K16" s="2034"/>
      <c r="L16" s="2896"/>
      <c r="M16" s="2890"/>
      <c r="N16" s="2890"/>
      <c r="O16" s="2890"/>
      <c r="P16" s="3544"/>
      <c r="Q16" s="1486"/>
      <c r="R16" s="714"/>
      <c r="S16" s="715"/>
      <c r="T16" s="714"/>
      <c r="U16" s="715"/>
      <c r="V16" s="714"/>
      <c r="W16" s="715"/>
      <c r="X16" s="1489"/>
      <c r="Y16" s="3546"/>
      <c r="Z16" s="1490"/>
      <c r="AA16" s="1487">
        <v>1</v>
      </c>
      <c r="AB16" s="1487">
        <v>1</v>
      </c>
      <c r="AC16" s="1487">
        <v>1</v>
      </c>
    </row>
    <row r="17" spans="1:29" ht="84">
      <c r="A17" s="387"/>
      <c r="B17" s="410" t="s">
        <v>1700</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44"/>
      <c r="Q17" s="1486" t="str">
        <f>B17</f>
        <v>交通便捷度</v>
      </c>
      <c r="R17" s="714" t="s">
        <v>21</v>
      </c>
      <c r="S17" s="715">
        <f>F17</f>
        <v>100</v>
      </c>
      <c r="T17" s="714" t="s">
        <v>21</v>
      </c>
      <c r="U17" s="715">
        <f>H17</f>
        <v>100</v>
      </c>
      <c r="V17" s="714" t="s">
        <v>21</v>
      </c>
      <c r="W17" s="715">
        <f>J17</f>
        <v>100</v>
      </c>
      <c r="X17" s="1489"/>
      <c r="Y17" s="3546"/>
      <c r="Z17" s="1490" t="str">
        <f>Q17</f>
        <v>交通便捷度</v>
      </c>
      <c r="AA17" s="1487">
        <f t="shared" si="3"/>
        <v>1</v>
      </c>
      <c r="AB17" s="1487">
        <f t="shared" si="4"/>
        <v>1</v>
      </c>
      <c r="AC17" s="1487">
        <f t="shared" si="5"/>
        <v>1</v>
      </c>
    </row>
    <row r="18" spans="1:29" ht="15.5">
      <c r="A18" s="387"/>
      <c r="B18" s="415"/>
      <c r="C18" s="2036"/>
      <c r="D18" s="409"/>
      <c r="E18" s="2037"/>
      <c r="F18" s="409"/>
      <c r="G18" s="2038"/>
      <c r="H18" s="407"/>
      <c r="I18" s="2038"/>
      <c r="J18" s="407"/>
      <c r="K18" s="2034"/>
      <c r="L18" s="2896"/>
      <c r="M18" s="2890"/>
      <c r="N18" s="2890"/>
      <c r="O18" s="2890"/>
      <c r="P18" s="3544"/>
      <c r="Q18" s="1486"/>
      <c r="R18" s="714"/>
      <c r="S18" s="715"/>
      <c r="T18" s="714"/>
      <c r="U18" s="715"/>
      <c r="V18" s="714"/>
      <c r="W18" s="715"/>
      <c r="X18" s="1489"/>
      <c r="Y18" s="3546"/>
      <c r="Z18" s="1490"/>
      <c r="AA18" s="1487">
        <v>1</v>
      </c>
      <c r="AB18" s="1487">
        <v>1</v>
      </c>
      <c r="AC18" s="1487">
        <v>1</v>
      </c>
    </row>
    <row r="19" spans="1:29" ht="42">
      <c r="A19" s="387"/>
      <c r="B19" s="410" t="s">
        <v>1699</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44"/>
      <c r="Q19" s="1486" t="str">
        <f>B19</f>
        <v>公共配套设施</v>
      </c>
      <c r="R19" s="714" t="s">
        <v>21</v>
      </c>
      <c r="S19" s="715">
        <f>F19</f>
        <v>100</v>
      </c>
      <c r="T19" s="714" t="s">
        <v>21</v>
      </c>
      <c r="U19" s="715">
        <f>H19</f>
        <v>100</v>
      </c>
      <c r="V19" s="714" t="s">
        <v>21</v>
      </c>
      <c r="W19" s="715">
        <f>J19</f>
        <v>100</v>
      </c>
      <c r="X19" s="1489"/>
      <c r="Y19" s="3546"/>
      <c r="Z19" s="1490" t="str">
        <f>Q19</f>
        <v>公共配套设施</v>
      </c>
      <c r="AA19" s="1487">
        <f t="shared" si="3"/>
        <v>1</v>
      </c>
      <c r="AB19" s="1487">
        <f t="shared" si="4"/>
        <v>1</v>
      </c>
      <c r="AC19" s="1487">
        <f t="shared" si="5"/>
        <v>1</v>
      </c>
    </row>
    <row r="20" spans="1:29" ht="15.5">
      <c r="A20" s="387"/>
      <c r="B20" s="415"/>
      <c r="C20" s="406"/>
      <c r="D20" s="407"/>
      <c r="E20" s="2032"/>
      <c r="F20" s="407"/>
      <c r="G20" s="2033"/>
      <c r="H20" s="407"/>
      <c r="I20" s="2033"/>
      <c r="J20" s="407"/>
      <c r="K20" s="2034"/>
      <c r="L20" s="2896"/>
      <c r="M20" s="2890"/>
      <c r="N20" s="2890"/>
      <c r="O20" s="2890"/>
      <c r="P20" s="3544"/>
      <c r="Q20" s="1486"/>
      <c r="R20" s="714"/>
      <c r="S20" s="715"/>
      <c r="T20" s="714"/>
      <c r="U20" s="715"/>
      <c r="V20" s="714"/>
      <c r="W20" s="715"/>
      <c r="X20" s="1489"/>
      <c r="Y20" s="3546"/>
      <c r="Z20" s="1490"/>
      <c r="AA20" s="1487">
        <v>1</v>
      </c>
      <c r="AB20" s="1487">
        <v>1</v>
      </c>
      <c r="AC20" s="1487">
        <v>1</v>
      </c>
    </row>
    <row r="21" spans="1:29" ht="28">
      <c r="A21" s="387"/>
      <c r="B21" s="1245" t="s">
        <v>1701</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44"/>
      <c r="Q21" s="1486" t="str">
        <f>B21</f>
        <v>基础设施水平</v>
      </c>
      <c r="R21" s="714" t="s">
        <v>17</v>
      </c>
      <c r="S21" s="715">
        <f>F21</f>
        <v>100</v>
      </c>
      <c r="T21" s="714" t="s">
        <v>17</v>
      </c>
      <c r="U21" s="715">
        <f>H21</f>
        <v>100</v>
      </c>
      <c r="V21" s="714" t="s">
        <v>17</v>
      </c>
      <c r="W21" s="715">
        <f>J21</f>
        <v>100</v>
      </c>
      <c r="X21" s="1489"/>
      <c r="Y21" s="3546"/>
      <c r="Z21" s="1490" t="str">
        <f>Q21</f>
        <v>基础设施水平</v>
      </c>
      <c r="AA21" s="1487">
        <f t="shared" ref="AA21" si="8">D21/F21</f>
        <v>1</v>
      </c>
      <c r="AB21" s="1487">
        <f t="shared" ref="AB21" si="9">D21/H21</f>
        <v>1</v>
      </c>
      <c r="AC21" s="1487">
        <f t="shared" ref="AC21" si="10">D21/J21</f>
        <v>1</v>
      </c>
    </row>
    <row r="22" spans="1:29" ht="15.5">
      <c r="A22" s="387"/>
      <c r="B22" s="1245"/>
      <c r="C22" s="2036"/>
      <c r="D22" s="407"/>
      <c r="E22" s="406"/>
      <c r="F22" s="407"/>
      <c r="G22" s="2039"/>
      <c r="H22" s="407"/>
      <c r="I22" s="406"/>
      <c r="J22" s="407"/>
      <c r="K22" s="2040"/>
      <c r="L22" s="2896"/>
      <c r="M22" s="2890"/>
      <c r="N22" s="2890"/>
      <c r="O22" s="2890"/>
      <c r="P22" s="3544"/>
      <c r="Q22" s="1486"/>
      <c r="R22" s="714"/>
      <c r="S22" s="715"/>
      <c r="T22" s="714"/>
      <c r="U22" s="715"/>
      <c r="V22" s="714"/>
      <c r="W22" s="715"/>
      <c r="X22" s="1489"/>
      <c r="Y22" s="3546"/>
      <c r="Z22" s="1490"/>
      <c r="AA22" s="1487">
        <v>1</v>
      </c>
      <c r="AB22" s="1487">
        <v>1</v>
      </c>
      <c r="AC22" s="1487">
        <v>1</v>
      </c>
    </row>
    <row r="23" spans="1:29" ht="56">
      <c r="A23" s="387"/>
      <c r="B23" s="410" t="s">
        <v>1702</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44"/>
      <c r="Q23" s="1486" t="str">
        <f>B23</f>
        <v>自然及人文环境</v>
      </c>
      <c r="R23" s="714" t="s">
        <v>21</v>
      </c>
      <c r="S23" s="715">
        <f>F23</f>
        <v>100</v>
      </c>
      <c r="T23" s="714" t="s">
        <v>21</v>
      </c>
      <c r="U23" s="715">
        <f>H23</f>
        <v>100</v>
      </c>
      <c r="V23" s="714" t="s">
        <v>21</v>
      </c>
      <c r="W23" s="715">
        <f>J23</f>
        <v>100</v>
      </c>
      <c r="X23" s="1489"/>
      <c r="Y23" s="3546"/>
      <c r="Z23" s="1490" t="str">
        <f>Q23</f>
        <v>自然及人文环境</v>
      </c>
      <c r="AA23" s="1487">
        <f>D23/F23</f>
        <v>1</v>
      </c>
      <c r="AB23" s="1487">
        <f>D23/H23</f>
        <v>1</v>
      </c>
      <c r="AC23" s="1487">
        <f>D23/J23</f>
        <v>1</v>
      </c>
    </row>
    <row r="24" spans="1:29" ht="15.5">
      <c r="A24" s="387"/>
      <c r="B24" s="415"/>
      <c r="C24" s="406"/>
      <c r="D24" s="407"/>
      <c r="E24" s="2032"/>
      <c r="F24" s="407"/>
      <c r="G24" s="2033"/>
      <c r="H24" s="407"/>
      <c r="I24" s="2033"/>
      <c r="J24" s="407"/>
      <c r="K24" s="2034"/>
      <c r="L24" s="2896"/>
      <c r="M24" s="2890"/>
      <c r="N24" s="2890"/>
      <c r="O24" s="2890"/>
      <c r="P24" s="3544"/>
      <c r="Q24" s="1486"/>
      <c r="R24" s="714"/>
      <c r="S24" s="715"/>
      <c r="T24" s="714"/>
      <c r="U24" s="715"/>
      <c r="V24" s="714"/>
      <c r="W24" s="715"/>
      <c r="X24" s="1489"/>
      <c r="Y24" s="3546"/>
      <c r="Z24" s="1490"/>
      <c r="AA24" s="1487">
        <v>1</v>
      </c>
      <c r="AB24" s="1487">
        <v>1</v>
      </c>
      <c r="AC24" s="1487">
        <v>1</v>
      </c>
    </row>
    <row r="25" spans="1:29" ht="15.5">
      <c r="A25" s="387"/>
      <c r="B25" s="381" t="s">
        <v>2137</v>
      </c>
      <c r="C25" s="419"/>
      <c r="D25" s="394">
        <v>100</v>
      </c>
      <c r="E25" s="2041"/>
      <c r="F25" s="394">
        <f>SUMIF(86:86,E25,87:87)-SUMIF(86:86,C25,87:87)+100</f>
        <v>100</v>
      </c>
      <c r="G25" s="2042"/>
      <c r="H25" s="394">
        <f>SUMIF(86:86,G25,87:87)-SUMIF(86:86,C25,87:87)+100</f>
        <v>100</v>
      </c>
      <c r="I25" s="2042"/>
      <c r="J25" s="394">
        <f>SUMIF(86:86,I25,87:87)-SUMIF(86:86,C25,87:87)+100</f>
        <v>100</v>
      </c>
      <c r="K25" s="385"/>
      <c r="L25" s="2896"/>
      <c r="M25" s="2890"/>
      <c r="N25" s="2890"/>
      <c r="O25" s="2890"/>
      <c r="P25" s="3544"/>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46"/>
      <c r="Z25" s="1490" t="str">
        <f>Q25</f>
        <v>楼层-1</v>
      </c>
      <c r="AA25" s="1487">
        <f t="shared" ref="AA25:AA46" si="15">D25/F25</f>
        <v>1</v>
      </c>
      <c r="AB25" s="1487">
        <f t="shared" ref="AB25:AB46" si="16">D25/H25</f>
        <v>1</v>
      </c>
      <c r="AC25" s="1487">
        <f t="shared" ref="AC25:AC46" si="17">D25/J25</f>
        <v>1</v>
      </c>
    </row>
    <row r="26" spans="1:29" ht="15.5">
      <c r="A26" s="387"/>
      <c r="B26" s="381" t="s">
        <v>2138</v>
      </c>
      <c r="C26" s="419"/>
      <c r="D26" s="394">
        <v>100</v>
      </c>
      <c r="E26" s="2041"/>
      <c r="F26" s="394">
        <f>SUMIF(88:88,E26,89:89)-SUMIF(88:88,C26,89:89)+100</f>
        <v>100</v>
      </c>
      <c r="G26" s="2042"/>
      <c r="H26" s="394">
        <f>SUMIF(88:88,G26,89:89)-SUMIF(88:88,C26,89:89)+100</f>
        <v>100</v>
      </c>
      <c r="I26" s="2042"/>
      <c r="J26" s="394">
        <f>SUMIF(88:88,I26,89:89)-SUMIF(88:88,C26,89:89)+100</f>
        <v>100</v>
      </c>
      <c r="K26" s="385"/>
      <c r="L26" s="2896"/>
      <c r="M26" s="2890"/>
      <c r="N26" s="2890"/>
      <c r="O26" s="2890"/>
      <c r="P26" s="3544"/>
      <c r="Q26" s="1486" t="str">
        <f t="shared" si="11"/>
        <v>朝向</v>
      </c>
      <c r="R26" s="714" t="s">
        <v>21</v>
      </c>
      <c r="S26" s="715">
        <f t="shared" si="12"/>
        <v>100</v>
      </c>
      <c r="T26" s="714" t="s">
        <v>21</v>
      </c>
      <c r="U26" s="715">
        <f t="shared" si="13"/>
        <v>100</v>
      </c>
      <c r="V26" s="714" t="s">
        <v>21</v>
      </c>
      <c r="W26" s="715">
        <f t="shared" si="14"/>
        <v>100</v>
      </c>
      <c r="X26" s="1489"/>
      <c r="Y26" s="3546"/>
      <c r="Z26" s="1490" t="str">
        <f>Q26</f>
        <v>朝向</v>
      </c>
      <c r="AA26" s="1487">
        <f t="shared" si="15"/>
        <v>1</v>
      </c>
      <c r="AB26" s="1487">
        <f t="shared" si="16"/>
        <v>1</v>
      </c>
      <c r="AC26" s="1487">
        <f t="shared" si="17"/>
        <v>1</v>
      </c>
    </row>
    <row r="27" spans="1:29" s="113" customFormat="1" ht="15.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1"/>
      <c r="M27" s="2892"/>
      <c r="N27" s="2892"/>
      <c r="O27" s="2892"/>
      <c r="P27" s="3544"/>
      <c r="Q27" s="1477">
        <f t="shared" si="11"/>
        <v>111</v>
      </c>
      <c r="R27" s="710" t="s">
        <v>21</v>
      </c>
      <c r="S27" s="711">
        <f t="shared" si="12"/>
        <v>100</v>
      </c>
      <c r="T27" s="710" t="s">
        <v>21</v>
      </c>
      <c r="U27" s="711">
        <f t="shared" si="13"/>
        <v>100</v>
      </c>
      <c r="V27" s="710" t="s">
        <v>21</v>
      </c>
      <c r="W27" s="711">
        <f t="shared" si="14"/>
        <v>100</v>
      </c>
      <c r="X27" s="712"/>
      <c r="Y27" s="3546"/>
      <c r="Z27" s="55">
        <f>Q27</f>
        <v>111</v>
      </c>
      <c r="AA27" s="1487">
        <f t="shared" si="15"/>
        <v>1</v>
      </c>
      <c r="AB27" s="1487">
        <f t="shared" si="16"/>
        <v>1</v>
      </c>
      <c r="AC27" s="1487">
        <f t="shared" si="17"/>
        <v>1</v>
      </c>
    </row>
    <row r="28" spans="1:29" ht="15.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6"/>
      <c r="M28" s="2890"/>
      <c r="N28" s="2890"/>
      <c r="O28" s="2890"/>
      <c r="P28" s="3544"/>
      <c r="Q28" s="1486">
        <f t="shared" si="11"/>
        <v>111</v>
      </c>
      <c r="R28" s="714" t="s">
        <v>21</v>
      </c>
      <c r="S28" s="715">
        <f t="shared" si="12"/>
        <v>100</v>
      </c>
      <c r="T28" s="714" t="s">
        <v>21</v>
      </c>
      <c r="U28" s="715">
        <f t="shared" si="13"/>
        <v>100</v>
      </c>
      <c r="V28" s="714" t="s">
        <v>21</v>
      </c>
      <c r="W28" s="715">
        <f t="shared" si="14"/>
        <v>100</v>
      </c>
      <c r="X28" s="1489"/>
      <c r="Y28" s="3546"/>
      <c r="Z28" s="1490">
        <f t="shared" ref="Z28:Z46" si="18">Q28</f>
        <v>111</v>
      </c>
      <c r="AA28" s="1487">
        <f t="shared" si="15"/>
        <v>1</v>
      </c>
      <c r="AB28" s="1487">
        <f t="shared" si="16"/>
        <v>1</v>
      </c>
      <c r="AC28" s="1487">
        <f t="shared" si="17"/>
        <v>1</v>
      </c>
    </row>
    <row r="29" spans="1:29" ht="15.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6"/>
      <c r="M29" s="2890"/>
      <c r="N29" s="2890"/>
      <c r="O29" s="2890"/>
      <c r="P29" s="3544"/>
      <c r="Q29" s="1486">
        <f t="shared" si="11"/>
        <v>111</v>
      </c>
      <c r="R29" s="714" t="s">
        <v>21</v>
      </c>
      <c r="S29" s="715">
        <f t="shared" si="12"/>
        <v>100</v>
      </c>
      <c r="T29" s="714" t="s">
        <v>21</v>
      </c>
      <c r="U29" s="715">
        <f t="shared" si="13"/>
        <v>100</v>
      </c>
      <c r="V29" s="714" t="s">
        <v>21</v>
      </c>
      <c r="W29" s="715">
        <f t="shared" si="14"/>
        <v>100</v>
      </c>
      <c r="X29" s="1489"/>
      <c r="Y29" s="3546"/>
      <c r="Z29" s="1490">
        <f t="shared" si="18"/>
        <v>111</v>
      </c>
      <c r="AA29" s="1487">
        <f t="shared" si="15"/>
        <v>1</v>
      </c>
      <c r="AB29" s="1487">
        <f t="shared" si="16"/>
        <v>1</v>
      </c>
      <c r="AC29" s="1487">
        <f t="shared" si="17"/>
        <v>1</v>
      </c>
    </row>
    <row r="30" spans="1:29" ht="15.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6"/>
      <c r="M30" s="2890"/>
      <c r="N30" s="2890"/>
      <c r="O30" s="2890"/>
      <c r="P30" s="3544"/>
      <c r="Q30" s="1486">
        <f t="shared" si="11"/>
        <v>111</v>
      </c>
      <c r="R30" s="714" t="s">
        <v>21</v>
      </c>
      <c r="S30" s="715">
        <f t="shared" si="12"/>
        <v>100</v>
      </c>
      <c r="T30" s="714" t="s">
        <v>21</v>
      </c>
      <c r="U30" s="715">
        <f t="shared" si="13"/>
        <v>100</v>
      </c>
      <c r="V30" s="714" t="s">
        <v>21</v>
      </c>
      <c r="W30" s="715">
        <f t="shared" si="14"/>
        <v>100</v>
      </c>
      <c r="X30" s="1489"/>
      <c r="Y30" s="3546"/>
      <c r="Z30" s="1490">
        <f t="shared" si="18"/>
        <v>111</v>
      </c>
      <c r="AA30" s="1487">
        <f t="shared" si="15"/>
        <v>1</v>
      </c>
      <c r="AB30" s="1487">
        <f t="shared" si="16"/>
        <v>1</v>
      </c>
      <c r="AC30" s="1487">
        <f t="shared" si="17"/>
        <v>1</v>
      </c>
    </row>
    <row r="31" spans="1:29" ht="16"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6"/>
      <c r="M31" s="2890"/>
      <c r="N31" s="2890"/>
      <c r="O31" s="2890"/>
      <c r="P31" s="3544"/>
      <c r="Q31" s="1486">
        <f t="shared" si="11"/>
        <v>111</v>
      </c>
      <c r="R31" s="714" t="s">
        <v>21</v>
      </c>
      <c r="S31" s="715">
        <f t="shared" si="12"/>
        <v>100</v>
      </c>
      <c r="T31" s="714" t="s">
        <v>21</v>
      </c>
      <c r="U31" s="715">
        <f t="shared" si="13"/>
        <v>100</v>
      </c>
      <c r="V31" s="714" t="s">
        <v>21</v>
      </c>
      <c r="W31" s="715">
        <f t="shared" si="14"/>
        <v>100</v>
      </c>
      <c r="X31" s="1489"/>
      <c r="Y31" s="3546"/>
      <c r="Z31" s="1490">
        <f t="shared" si="18"/>
        <v>111</v>
      </c>
      <c r="AA31" s="1487">
        <f t="shared" si="15"/>
        <v>1</v>
      </c>
      <c r="AB31" s="1487">
        <f t="shared" si="16"/>
        <v>1</v>
      </c>
      <c r="AC31" s="1487">
        <f t="shared" si="17"/>
        <v>1</v>
      </c>
    </row>
    <row r="32" spans="1:29" ht="15.5">
      <c r="A32" s="399" t="s">
        <v>2139</v>
      </c>
      <c r="B32" s="67" t="s">
        <v>2140</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6"/>
      <c r="M32" s="2890"/>
      <c r="N32" s="2890"/>
      <c r="O32" s="2890"/>
      <c r="P32" s="3547" t="s">
        <v>2141</v>
      </c>
      <c r="Q32" s="1486" t="str">
        <f t="shared" si="11"/>
        <v>建筑类型</v>
      </c>
      <c r="R32" s="714" t="s">
        <v>21</v>
      </c>
      <c r="S32" s="715">
        <f t="shared" si="12"/>
        <v>100</v>
      </c>
      <c r="T32" s="714" t="s">
        <v>21</v>
      </c>
      <c r="U32" s="715">
        <f t="shared" si="13"/>
        <v>100</v>
      </c>
      <c r="V32" s="714" t="s">
        <v>21</v>
      </c>
      <c r="W32" s="715">
        <f t="shared" si="14"/>
        <v>100</v>
      </c>
      <c r="X32" s="1489"/>
      <c r="Y32" s="3550" t="s">
        <v>2141</v>
      </c>
      <c r="Z32" s="1490" t="str">
        <f t="shared" si="18"/>
        <v>建筑类型</v>
      </c>
      <c r="AA32" s="1487">
        <f t="shared" si="15"/>
        <v>1</v>
      </c>
      <c r="AB32" s="1487">
        <f t="shared" si="16"/>
        <v>1</v>
      </c>
      <c r="AC32" s="1487">
        <f t="shared" si="17"/>
        <v>1</v>
      </c>
    </row>
    <row r="33" spans="1:29" s="430" customFormat="1" ht="15.5">
      <c r="A33" s="427"/>
      <c r="B33" s="381" t="s">
        <v>2142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5"/>
      <c r="M33" s="2897"/>
      <c r="N33" s="2897"/>
      <c r="O33" s="2897"/>
      <c r="P33" s="3548"/>
      <c r="Q33" s="716" t="str">
        <f t="shared" si="11"/>
        <v>项目建筑规模</v>
      </c>
      <c r="R33" s="717" t="s">
        <v>21</v>
      </c>
      <c r="S33" s="718" t="e">
        <f t="shared" si="12"/>
        <v>#N/A</v>
      </c>
      <c r="T33" s="717" t="s">
        <v>21</v>
      </c>
      <c r="U33" s="718" t="e">
        <f t="shared" si="13"/>
        <v>#N/A</v>
      </c>
      <c r="V33" s="717" t="s">
        <v>21</v>
      </c>
      <c r="W33" s="718" t="e">
        <f t="shared" si="14"/>
        <v>#N/A</v>
      </c>
      <c r="X33" s="719"/>
      <c r="Y33" s="3550"/>
      <c r="Z33" s="720" t="str">
        <f t="shared" si="18"/>
        <v>项目建筑规模</v>
      </c>
      <c r="AA33" s="1487" t="e">
        <f t="shared" si="15"/>
        <v>#N/A</v>
      </c>
      <c r="AB33" s="1487" t="e">
        <f t="shared" si="16"/>
        <v>#N/A</v>
      </c>
      <c r="AC33" s="1487" t="e">
        <f t="shared" si="17"/>
        <v>#N/A</v>
      </c>
    </row>
    <row r="34" spans="1:29" ht="15.5">
      <c r="A34" s="431"/>
      <c r="B34" s="381" t="s">
        <v>2143</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6"/>
      <c r="M34" s="2890"/>
      <c r="N34" s="2890"/>
      <c r="O34" s="2890"/>
      <c r="P34" s="3548"/>
      <c r="Q34" s="1486" t="str">
        <f t="shared" si="11"/>
        <v>建筑结构</v>
      </c>
      <c r="R34" s="714" t="s">
        <v>21</v>
      </c>
      <c r="S34" s="715">
        <f t="shared" si="12"/>
        <v>100</v>
      </c>
      <c r="T34" s="714" t="s">
        <v>21</v>
      </c>
      <c r="U34" s="715">
        <f t="shared" si="13"/>
        <v>100</v>
      </c>
      <c r="V34" s="714" t="s">
        <v>21</v>
      </c>
      <c r="W34" s="715">
        <f t="shared" si="14"/>
        <v>100</v>
      </c>
      <c r="X34" s="1489"/>
      <c r="Y34" s="3550"/>
      <c r="Z34" s="1490" t="str">
        <f t="shared" si="18"/>
        <v>建筑结构</v>
      </c>
      <c r="AA34" s="1487">
        <f t="shared" si="15"/>
        <v>1</v>
      </c>
      <c r="AB34" s="1487">
        <f t="shared" si="16"/>
        <v>1</v>
      </c>
      <c r="AC34" s="1487">
        <f t="shared" si="17"/>
        <v>1</v>
      </c>
    </row>
    <row r="35" spans="1:29" ht="15.5">
      <c r="A35" s="431"/>
      <c r="B35" s="381" t="s">
        <v>2144</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6"/>
      <c r="M35" s="2890"/>
      <c r="N35" s="2890"/>
      <c r="O35" s="2890"/>
      <c r="P35" s="3548"/>
      <c r="Q35" s="1486" t="str">
        <f t="shared" si="11"/>
        <v>建筑品质</v>
      </c>
      <c r="R35" s="714" t="s">
        <v>21</v>
      </c>
      <c r="S35" s="715">
        <f t="shared" si="12"/>
        <v>100</v>
      </c>
      <c r="T35" s="714" t="s">
        <v>21</v>
      </c>
      <c r="U35" s="715">
        <f t="shared" si="13"/>
        <v>100</v>
      </c>
      <c r="V35" s="714" t="s">
        <v>21</v>
      </c>
      <c r="W35" s="715">
        <f t="shared" si="14"/>
        <v>100</v>
      </c>
      <c r="X35" s="1489"/>
      <c r="Y35" s="3550"/>
      <c r="Z35" s="1490" t="str">
        <f t="shared" si="18"/>
        <v>建筑品质</v>
      </c>
      <c r="AA35" s="1487">
        <f t="shared" si="15"/>
        <v>1</v>
      </c>
      <c r="AB35" s="1487">
        <f t="shared" si="16"/>
        <v>1</v>
      </c>
      <c r="AC35" s="1487">
        <f t="shared" si="17"/>
        <v>1</v>
      </c>
    </row>
    <row r="36" spans="1:29" ht="15.5">
      <c r="A36" s="431"/>
      <c r="B36" s="381" t="s">
        <v>2145</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6"/>
      <c r="M36" s="2890"/>
      <c r="N36" s="2890"/>
      <c r="O36" s="2890"/>
      <c r="P36" s="3548"/>
      <c r="Q36" s="1486" t="str">
        <f t="shared" si="11"/>
        <v>公共部分装修</v>
      </c>
      <c r="R36" s="714" t="s">
        <v>21</v>
      </c>
      <c r="S36" s="715">
        <f t="shared" si="12"/>
        <v>100</v>
      </c>
      <c r="T36" s="714" t="s">
        <v>21</v>
      </c>
      <c r="U36" s="715">
        <f t="shared" si="13"/>
        <v>100</v>
      </c>
      <c r="V36" s="714" t="s">
        <v>21</v>
      </c>
      <c r="W36" s="715">
        <f t="shared" si="14"/>
        <v>100</v>
      </c>
      <c r="X36" s="1489"/>
      <c r="Y36" s="3550"/>
      <c r="Z36" s="1490" t="str">
        <f t="shared" si="18"/>
        <v>公共部分装修</v>
      </c>
      <c r="AA36" s="1487">
        <f t="shared" si="15"/>
        <v>1</v>
      </c>
      <c r="AB36" s="1487">
        <f t="shared" si="16"/>
        <v>1</v>
      </c>
      <c r="AC36" s="1487">
        <f t="shared" si="17"/>
        <v>1</v>
      </c>
    </row>
    <row r="37" spans="1:29" s="113" customFormat="1" ht="15.5">
      <c r="A37" s="432"/>
      <c r="B37" s="381" t="s">
        <v>2146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48"/>
      <c r="Q37" s="1477" t="str">
        <f t="shared" si="11"/>
        <v>成新度</v>
      </c>
      <c r="R37" s="710" t="s">
        <v>21</v>
      </c>
      <c r="S37" s="711" t="e">
        <f t="shared" si="12"/>
        <v>#N/A</v>
      </c>
      <c r="T37" s="710" t="s">
        <v>21</v>
      </c>
      <c r="U37" s="711" t="e">
        <f t="shared" si="13"/>
        <v>#N/A</v>
      </c>
      <c r="V37" s="710" t="s">
        <v>21</v>
      </c>
      <c r="W37" s="711" t="e">
        <f t="shared" si="14"/>
        <v>#N/A</v>
      </c>
      <c r="X37" s="712"/>
      <c r="Y37" s="3550"/>
      <c r="Z37" s="55" t="str">
        <f t="shared" si="18"/>
        <v>成新度</v>
      </c>
      <c r="AA37" s="713" t="e">
        <f t="shared" si="15"/>
        <v>#N/A</v>
      </c>
      <c r="AB37" s="713" t="e">
        <f t="shared" si="16"/>
        <v>#N/A</v>
      </c>
      <c r="AC37" s="713" t="e">
        <f t="shared" si="17"/>
        <v>#N/A</v>
      </c>
    </row>
    <row r="38" spans="1:29" ht="15.5">
      <c r="A38" s="431"/>
      <c r="B38" s="381" t="s">
        <v>2147</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6"/>
      <c r="M38" s="2890"/>
      <c r="N38" s="2890"/>
      <c r="O38" s="2890"/>
      <c r="P38" s="3548" t="s">
        <v>2141</v>
      </c>
      <c r="Q38" s="1486" t="str">
        <f t="shared" si="11"/>
        <v>物业管理</v>
      </c>
      <c r="R38" s="714" t="s">
        <v>21</v>
      </c>
      <c r="S38" s="715">
        <f t="shared" si="12"/>
        <v>100</v>
      </c>
      <c r="T38" s="714" t="s">
        <v>21</v>
      </c>
      <c r="U38" s="715">
        <f t="shared" si="13"/>
        <v>100</v>
      </c>
      <c r="V38" s="714" t="s">
        <v>21</v>
      </c>
      <c r="W38" s="715">
        <f t="shared" si="14"/>
        <v>100</v>
      </c>
      <c r="X38" s="1489"/>
      <c r="Y38" s="3550" t="s">
        <v>2141</v>
      </c>
      <c r="Z38" s="1490" t="str">
        <f t="shared" si="18"/>
        <v>物业管理</v>
      </c>
      <c r="AA38" s="1487">
        <f t="shared" si="15"/>
        <v>1</v>
      </c>
      <c r="AB38" s="1487">
        <f t="shared" si="16"/>
        <v>1</v>
      </c>
      <c r="AC38" s="1487">
        <f t="shared" si="17"/>
        <v>1</v>
      </c>
    </row>
    <row r="39" spans="1:29" ht="15.5">
      <c r="A39" s="431"/>
      <c r="B39" s="381" t="s">
        <v>2148</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6"/>
      <c r="M39" s="2890"/>
      <c r="N39" s="2890"/>
      <c r="O39" s="2890"/>
      <c r="P39" s="3548"/>
      <c r="Q39" s="1486" t="str">
        <f t="shared" si="11"/>
        <v>市政基础设施</v>
      </c>
      <c r="R39" s="714" t="s">
        <v>21</v>
      </c>
      <c r="S39" s="715">
        <f t="shared" si="12"/>
        <v>100</v>
      </c>
      <c r="T39" s="714" t="s">
        <v>21</v>
      </c>
      <c r="U39" s="715">
        <f t="shared" si="13"/>
        <v>100</v>
      </c>
      <c r="V39" s="714" t="s">
        <v>21</v>
      </c>
      <c r="W39" s="715">
        <f t="shared" si="14"/>
        <v>100</v>
      </c>
      <c r="X39" s="1489"/>
      <c r="Y39" s="3550"/>
      <c r="Z39" s="1490" t="str">
        <f t="shared" si="18"/>
        <v>市政基础设施</v>
      </c>
      <c r="AA39" s="1487">
        <f t="shared" si="15"/>
        <v>1</v>
      </c>
      <c r="AB39" s="1487">
        <f t="shared" si="16"/>
        <v>1</v>
      </c>
      <c r="AC39" s="1487">
        <f t="shared" si="17"/>
        <v>1</v>
      </c>
    </row>
    <row r="40" spans="1:29" ht="15.5">
      <c r="A40" s="431"/>
      <c r="B40" s="381" t="s">
        <v>2149</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6"/>
      <c r="M40" s="2890"/>
      <c r="N40" s="2890"/>
      <c r="O40" s="2890"/>
      <c r="P40" s="3548"/>
      <c r="Q40" s="1486" t="str">
        <f t="shared" si="11"/>
        <v>房型</v>
      </c>
      <c r="R40" s="714" t="s">
        <v>21</v>
      </c>
      <c r="S40" s="715">
        <f t="shared" si="12"/>
        <v>100</v>
      </c>
      <c r="T40" s="714" t="s">
        <v>21</v>
      </c>
      <c r="U40" s="715">
        <f t="shared" si="13"/>
        <v>100</v>
      </c>
      <c r="V40" s="714" t="s">
        <v>21</v>
      </c>
      <c r="W40" s="715">
        <f t="shared" si="14"/>
        <v>100</v>
      </c>
      <c r="X40" s="1489"/>
      <c r="Y40" s="3550"/>
      <c r="Z40" s="1490" t="str">
        <f t="shared" si="18"/>
        <v>房型</v>
      </c>
      <c r="AA40" s="1487">
        <f t="shared" si="15"/>
        <v>1</v>
      </c>
      <c r="AB40" s="1487">
        <f t="shared" si="16"/>
        <v>1</v>
      </c>
      <c r="AC40" s="1487">
        <f t="shared" si="17"/>
        <v>1</v>
      </c>
    </row>
    <row r="41" spans="1:29" s="430" customFormat="1" ht="28.5">
      <c r="A41" s="427"/>
      <c r="B41" s="381" t="s">
        <v>2150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5"/>
      <c r="M41" s="2897"/>
      <c r="N41" s="2897"/>
      <c r="O41" s="2897"/>
      <c r="P41" s="3548"/>
      <c r="Q41" s="716" t="str">
        <f t="shared" si="11"/>
        <v>单套/主力户型建筑面积</v>
      </c>
      <c r="R41" s="717" t="s">
        <v>21</v>
      </c>
      <c r="S41" s="718">
        <f t="shared" si="12"/>
        <v>100</v>
      </c>
      <c r="T41" s="717" t="s">
        <v>21</v>
      </c>
      <c r="U41" s="718">
        <f t="shared" si="13"/>
        <v>100</v>
      </c>
      <c r="V41" s="717" t="s">
        <v>21</v>
      </c>
      <c r="W41" s="718">
        <f t="shared" si="14"/>
        <v>100</v>
      </c>
      <c r="X41" s="719"/>
      <c r="Y41" s="3550"/>
      <c r="Z41" s="720" t="str">
        <f t="shared" si="18"/>
        <v>单套/主力户型建筑面积</v>
      </c>
      <c r="AA41" s="1487">
        <f t="shared" si="15"/>
        <v>1</v>
      </c>
      <c r="AB41" s="1487">
        <f t="shared" si="16"/>
        <v>1</v>
      </c>
      <c r="AC41" s="1487">
        <f t="shared" si="17"/>
        <v>1</v>
      </c>
    </row>
    <row r="42" spans="1:29" ht="15.5">
      <c r="A42" s="431"/>
      <c r="B42" s="381" t="s">
        <v>2151</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6"/>
      <c r="M42" s="2890"/>
      <c r="N42" s="2890"/>
      <c r="O42" s="2890"/>
      <c r="P42" s="3548"/>
      <c r="Q42" s="1486" t="str">
        <f t="shared" si="11"/>
        <v>内部装修</v>
      </c>
      <c r="R42" s="714" t="s">
        <v>21</v>
      </c>
      <c r="S42" s="715">
        <f t="shared" si="12"/>
        <v>100</v>
      </c>
      <c r="T42" s="714" t="s">
        <v>21</v>
      </c>
      <c r="U42" s="715">
        <f t="shared" si="13"/>
        <v>100</v>
      </c>
      <c r="V42" s="714" t="s">
        <v>21</v>
      </c>
      <c r="W42" s="715">
        <f t="shared" si="14"/>
        <v>100</v>
      </c>
      <c r="X42" s="1489"/>
      <c r="Y42" s="3550"/>
      <c r="Z42" s="1490" t="str">
        <f t="shared" si="18"/>
        <v>内部装修</v>
      </c>
      <c r="AA42" s="1487">
        <f t="shared" si="15"/>
        <v>1</v>
      </c>
      <c r="AB42" s="1487">
        <f t="shared" si="16"/>
        <v>1</v>
      </c>
      <c r="AC42" s="1487">
        <f t="shared" si="17"/>
        <v>1</v>
      </c>
    </row>
    <row r="43" spans="1:29" ht="28">
      <c r="A43" s="431"/>
      <c r="B43" s="381" t="s">
        <v>2152</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6"/>
      <c r="M43" s="2890"/>
      <c r="N43" s="2890"/>
      <c r="O43" s="2890"/>
      <c r="P43" s="3548"/>
      <c r="Q43" s="1486" t="str">
        <f t="shared" si="11"/>
        <v>内部装修维护情况</v>
      </c>
      <c r="R43" s="714" t="s">
        <v>21</v>
      </c>
      <c r="S43" s="715">
        <f t="shared" si="12"/>
        <v>100</v>
      </c>
      <c r="T43" s="714" t="s">
        <v>21</v>
      </c>
      <c r="U43" s="715">
        <f t="shared" si="13"/>
        <v>100</v>
      </c>
      <c r="V43" s="714" t="s">
        <v>21</v>
      </c>
      <c r="W43" s="715">
        <f t="shared" si="14"/>
        <v>100</v>
      </c>
      <c r="X43" s="1489"/>
      <c r="Y43" s="3550"/>
      <c r="Z43" s="1490" t="str">
        <f t="shared" si="18"/>
        <v>内部装修维护情况</v>
      </c>
      <c r="AA43" s="1487">
        <f t="shared" si="15"/>
        <v>1</v>
      </c>
      <c r="AB43" s="1487">
        <f t="shared" si="16"/>
        <v>1</v>
      </c>
      <c r="AC43" s="1487">
        <f t="shared" si="17"/>
        <v>1</v>
      </c>
    </row>
    <row r="44" spans="1:29" s="113" customFormat="1" ht="15.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1"/>
      <c r="M44" s="2892"/>
      <c r="N44" s="2892"/>
      <c r="O44" s="2892"/>
      <c r="P44" s="3548"/>
      <c r="Q44" s="1477">
        <f t="shared" si="11"/>
        <v>111</v>
      </c>
      <c r="R44" s="710" t="s">
        <v>21</v>
      </c>
      <c r="S44" s="711">
        <f t="shared" si="12"/>
        <v>100</v>
      </c>
      <c r="T44" s="710" t="s">
        <v>21</v>
      </c>
      <c r="U44" s="711">
        <f t="shared" si="13"/>
        <v>100</v>
      </c>
      <c r="V44" s="710" t="s">
        <v>21</v>
      </c>
      <c r="W44" s="711">
        <f t="shared" si="14"/>
        <v>100</v>
      </c>
      <c r="X44" s="712"/>
      <c r="Y44" s="3550"/>
      <c r="Z44" s="55">
        <f t="shared" si="18"/>
        <v>111</v>
      </c>
      <c r="AA44" s="713">
        <f t="shared" si="15"/>
        <v>1</v>
      </c>
      <c r="AB44" s="713">
        <f t="shared" si="16"/>
        <v>1</v>
      </c>
      <c r="AC44" s="713">
        <f t="shared" si="17"/>
        <v>1</v>
      </c>
    </row>
    <row r="45" spans="1:29" ht="15.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6"/>
      <c r="M45" s="2890"/>
      <c r="N45" s="2890"/>
      <c r="O45" s="2890"/>
      <c r="P45" s="3548"/>
      <c r="Q45" s="1486">
        <f t="shared" si="11"/>
        <v>111</v>
      </c>
      <c r="R45" s="714" t="s">
        <v>21</v>
      </c>
      <c r="S45" s="715">
        <f t="shared" si="12"/>
        <v>100</v>
      </c>
      <c r="T45" s="714" t="s">
        <v>21</v>
      </c>
      <c r="U45" s="715">
        <f t="shared" si="13"/>
        <v>100</v>
      </c>
      <c r="V45" s="714" t="s">
        <v>21</v>
      </c>
      <c r="W45" s="715">
        <f t="shared" si="14"/>
        <v>100</v>
      </c>
      <c r="X45" s="1489"/>
      <c r="Y45" s="3550"/>
      <c r="Z45" s="1490">
        <f t="shared" si="18"/>
        <v>111</v>
      </c>
      <c r="AA45" s="1487">
        <f t="shared" si="15"/>
        <v>1</v>
      </c>
      <c r="AB45" s="1487">
        <f t="shared" si="16"/>
        <v>1</v>
      </c>
      <c r="AC45" s="1487">
        <f t="shared" si="17"/>
        <v>1</v>
      </c>
    </row>
    <row r="46" spans="1:29" ht="16"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6"/>
      <c r="M46" s="2890"/>
      <c r="N46" s="2890"/>
      <c r="O46" s="2890"/>
      <c r="P46" s="3549"/>
      <c r="Q46" s="1486">
        <f t="shared" si="11"/>
        <v>111</v>
      </c>
      <c r="R46" s="714" t="s">
        <v>20</v>
      </c>
      <c r="S46" s="715">
        <f t="shared" si="12"/>
        <v>100</v>
      </c>
      <c r="T46" s="714" t="s">
        <v>20</v>
      </c>
      <c r="U46" s="715">
        <f t="shared" si="13"/>
        <v>100</v>
      </c>
      <c r="V46" s="714" t="s">
        <v>20</v>
      </c>
      <c r="W46" s="715">
        <f t="shared" si="14"/>
        <v>100</v>
      </c>
      <c r="X46" s="1489"/>
      <c r="Y46" s="3551"/>
      <c r="Z46" s="1490">
        <f t="shared" si="18"/>
        <v>111</v>
      </c>
      <c r="AA46" s="1487">
        <f t="shared" si="15"/>
        <v>1</v>
      </c>
      <c r="AB46" s="1487">
        <f t="shared" si="16"/>
        <v>1</v>
      </c>
      <c r="AC46" s="1487">
        <f t="shared" si="17"/>
        <v>1</v>
      </c>
    </row>
    <row r="47" spans="1:29">
      <c r="A47" s="438" t="s">
        <v>2153</v>
      </c>
      <c r="B47" s="439"/>
      <c r="C47" s="1268" t="s">
        <v>19</v>
      </c>
      <c r="D47" s="1269"/>
      <c r="E47" s="1270"/>
      <c r="F47" s="1271"/>
      <c r="G47" s="1272"/>
      <c r="H47" s="1273"/>
      <c r="I47" s="1270"/>
      <c r="J47" s="1273"/>
      <c r="K47" s="2049"/>
      <c r="L47" s="2898"/>
      <c r="M47" s="2899"/>
      <c r="N47" s="2890"/>
      <c r="O47" s="2899"/>
      <c r="P47" s="3538" t="str">
        <f>A47</f>
        <v>成交单价（元/平方米）</v>
      </c>
      <c r="Q47" s="3538"/>
      <c r="R47" s="3539">
        <f>E47</f>
        <v>0</v>
      </c>
      <c r="S47" s="3539"/>
      <c r="T47" s="3539">
        <f>G47</f>
        <v>0</v>
      </c>
      <c r="U47" s="3539"/>
      <c r="V47" s="3539">
        <f>I47</f>
        <v>0</v>
      </c>
      <c r="W47" s="3539"/>
      <c r="X47" s="699"/>
      <c r="Y47" s="721"/>
      <c r="Z47" s="699"/>
      <c r="AA47" s="699"/>
      <c r="AB47" s="699"/>
      <c r="AC47" s="699"/>
    </row>
    <row r="48" spans="1:29" ht="14.5" thickBot="1">
      <c r="A48" s="445" t="s">
        <v>2154</v>
      </c>
      <c r="B48" s="446"/>
      <c r="C48" s="1274" t="e">
        <f>R49</f>
        <v>#DIV/0!</v>
      </c>
      <c r="D48" s="2487" t="s">
        <v>2635</v>
      </c>
      <c r="E48" s="1275" t="e">
        <f>R48</f>
        <v>#DIV/0!</v>
      </c>
      <c r="F48" s="2488"/>
      <c r="G48" s="1274" t="e">
        <f>T48</f>
        <v>#DIV/0!</v>
      </c>
      <c r="H48" s="2488"/>
      <c r="I48" s="1275" t="e">
        <f>V48</f>
        <v>#DIV/0!</v>
      </c>
      <c r="J48" s="2488"/>
      <c r="K48" s="2489">
        <f>F48+H48+J48</f>
        <v>0</v>
      </c>
      <c r="L48" s="2898"/>
      <c r="M48" s="2899"/>
      <c r="N48" s="2899"/>
      <c r="O48" s="2899"/>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4.5" thickBot="1">
      <c r="A49" s="449" t="s">
        <v>2155</v>
      </c>
      <c r="B49" s="450"/>
      <c r="C49" s="1276" t="e">
        <f>R49</f>
        <v>#DIV/0!</v>
      </c>
      <c r="D49" s="1277"/>
      <c r="E49" s="1277"/>
      <c r="F49" s="1277"/>
      <c r="G49" s="1277"/>
      <c r="H49" s="1277"/>
      <c r="I49" s="1277"/>
      <c r="J49" s="1277"/>
      <c r="K49" s="2050"/>
      <c r="L49" s="2898"/>
      <c r="M49" s="2899"/>
      <c r="N49" s="2899"/>
      <c r="O49" s="2899"/>
      <c r="P49" s="3615" t="str">
        <f>A49</f>
        <v>估价对象XX用房的比较价值（楼面单价，元/平方米）</v>
      </c>
      <c r="Q49" s="3616"/>
      <c r="R49" s="3617" t="e">
        <f>IF(F1="售价",ROUND(IF(D48="简单平均",AVERAGE(R48:V48),R48*F48+T48*H48+V48*J48),0),ROUND(IF(D48="简单平均",AVERAGE(R48:V48),R48*F48+T48*H48+V48*J48),1))</f>
        <v>#DIV/0!</v>
      </c>
      <c r="S49" s="3617"/>
      <c r="T49" s="3617"/>
      <c r="U49" s="3617"/>
      <c r="V49" s="3617"/>
      <c r="W49" s="3617"/>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2156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2157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2158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2"/>
    </row>
    <row r="55" spans="1:29" s="459" customFormat="1">
      <c r="A55" s="2902"/>
      <c r="B55" s="2905"/>
      <c r="C55" s="2906"/>
      <c r="D55" s="2902"/>
      <c r="E55" s="2902"/>
      <c r="F55" s="2902"/>
      <c r="G55" s="2902"/>
      <c r="H55" s="2902"/>
      <c r="I55" s="2902"/>
      <c r="J55" s="2902"/>
      <c r="K55" s="2907"/>
      <c r="L55" s="2901"/>
      <c r="M55" s="2902"/>
      <c r="N55" s="2902"/>
      <c r="O55" s="2902"/>
      <c r="P55" s="2052"/>
    </row>
    <row r="56" spans="1:29">
      <c r="A56" s="2899"/>
      <c r="B56" s="2905"/>
      <c r="C56" s="2906"/>
      <c r="D56" s="2899"/>
      <c r="E56" s="2899"/>
      <c r="F56" s="2899"/>
      <c r="G56" s="2899"/>
      <c r="H56" s="2899"/>
      <c r="I56" s="2899"/>
      <c r="J56" s="2899"/>
      <c r="K56" s="2904"/>
      <c r="L56" s="2900"/>
      <c r="M56" s="2899"/>
      <c r="N56" s="2899"/>
      <c r="O56" s="2899"/>
    </row>
    <row r="57" spans="1:29" ht="21.5" thickBot="1">
      <c r="A57" s="703" t="s">
        <v>2159</v>
      </c>
      <c r="B57" s="699"/>
      <c r="C57" s="704"/>
      <c r="D57" s="704"/>
      <c r="E57" s="704"/>
      <c r="F57" s="705"/>
      <c r="G57" s="705"/>
      <c r="H57" s="704"/>
      <c r="I57" s="704"/>
      <c r="J57" s="704"/>
      <c r="K57" s="1052"/>
      <c r="L57" s="1053"/>
      <c r="M57" s="1051"/>
      <c r="N57" s="1051"/>
      <c r="O57" s="1051"/>
      <c r="P57" s="2053"/>
      <c r="Q57" s="461"/>
    </row>
    <row r="58" spans="1:29" s="465" customFormat="1">
      <c r="A58" s="462" t="s">
        <v>2160</v>
      </c>
      <c r="B58" s="463"/>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3" customFormat="1">
      <c r="A59" s="466"/>
      <c r="B59" s="2054"/>
      <c r="C59" s="1297">
        <v>100</v>
      </c>
      <c r="D59" s="468"/>
      <c r="E59" s="469"/>
      <c r="F59" s="469"/>
      <c r="G59" s="469"/>
      <c r="H59" s="469"/>
      <c r="I59" s="469"/>
      <c r="J59" s="469"/>
      <c r="K59" s="469"/>
      <c r="L59" s="469"/>
      <c r="M59" s="470"/>
      <c r="N59" s="469"/>
      <c r="O59" s="470"/>
      <c r="P59" s="2055"/>
    </row>
    <row r="60" spans="1:29" s="113" customFormat="1" ht="14.5" thickBot="1">
      <c r="A60" s="472" t="s">
        <v>2161</v>
      </c>
      <c r="B60" s="473"/>
      <c r="C60" s="474"/>
      <c r="D60" s="475"/>
      <c r="E60" s="475"/>
      <c r="F60" s="475"/>
      <c r="G60" s="475"/>
      <c r="H60" s="475"/>
      <c r="I60" s="475"/>
      <c r="J60" s="475"/>
      <c r="K60" s="475"/>
      <c r="L60" s="475"/>
      <c r="M60" s="476"/>
      <c r="N60" s="475"/>
      <c r="O60" s="476"/>
      <c r="P60" s="2055"/>
      <c r="Q60" s="461"/>
    </row>
    <row r="61" spans="1:29" s="113" customFormat="1">
      <c r="A61" s="478" t="s">
        <v>2162</v>
      </c>
      <c r="B61" s="467"/>
      <c r="C61" s="479" t="s">
        <v>2163</v>
      </c>
      <c r="D61" s="480"/>
      <c r="E61" s="480"/>
      <c r="F61" s="480"/>
      <c r="G61" s="480"/>
      <c r="H61" s="480"/>
      <c r="I61" s="480"/>
      <c r="J61" s="480"/>
      <c r="K61" s="480"/>
      <c r="L61" s="481"/>
      <c r="M61" s="482"/>
      <c r="N61" s="1043"/>
      <c r="O61" s="1043"/>
      <c r="P61" s="2056"/>
      <c r="Q61" s="461"/>
    </row>
    <row r="62" spans="1:29" s="113" customFormat="1" ht="14.5" thickBot="1">
      <c r="A62" s="478"/>
      <c r="B62" s="467"/>
      <c r="C62" s="468">
        <v>100</v>
      </c>
      <c r="D62" s="469"/>
      <c r="E62" s="469"/>
      <c r="F62" s="469"/>
      <c r="G62" s="469"/>
      <c r="H62" s="469"/>
      <c r="I62" s="469"/>
      <c r="J62" s="469"/>
      <c r="K62" s="469"/>
      <c r="L62" s="469"/>
      <c r="M62" s="471"/>
      <c r="N62" s="1043"/>
      <c r="O62" s="1043"/>
      <c r="P62" s="2055"/>
      <c r="Q62" s="461"/>
    </row>
    <row r="63" spans="1:29">
      <c r="A63" s="484" t="s">
        <v>2164</v>
      </c>
      <c r="B63" s="485" t="s">
        <v>2130</v>
      </c>
      <c r="C63" s="486">
        <f>C9</f>
        <v>0</v>
      </c>
      <c r="D63" s="487"/>
      <c r="E63" s="487"/>
      <c r="F63" s="487"/>
      <c r="G63" s="487"/>
      <c r="H63" s="487"/>
      <c r="I63" s="487"/>
      <c r="J63" s="487"/>
      <c r="K63" s="488"/>
      <c r="L63" s="489"/>
      <c r="M63" s="490"/>
      <c r="N63" s="1044"/>
      <c r="O63" s="1044"/>
      <c r="P63" s="2057"/>
      <c r="Q63" s="461"/>
    </row>
    <row r="64" spans="1:29" ht="14.5" thickBot="1">
      <c r="A64" s="491"/>
      <c r="B64" s="492"/>
      <c r="C64" s="493">
        <v>100</v>
      </c>
      <c r="D64" s="493"/>
      <c r="E64" s="493"/>
      <c r="F64" s="493"/>
      <c r="G64" s="493"/>
      <c r="H64" s="493"/>
      <c r="I64" s="493"/>
      <c r="J64" s="493"/>
      <c r="K64" s="493"/>
      <c r="L64" s="493"/>
      <c r="M64" s="494"/>
      <c r="N64" s="1045"/>
      <c r="O64" s="1045"/>
      <c r="P64" s="2057"/>
      <c r="Q64" s="461"/>
    </row>
    <row r="65" spans="1:17" ht="28.5" thickTop="1">
      <c r="A65" s="491"/>
      <c r="B65" s="495" t="s">
        <v>2133</v>
      </c>
      <c r="C65" s="496" t="s">
        <v>2165</v>
      </c>
      <c r="D65" s="496" t="s">
        <v>2166</v>
      </c>
      <c r="E65" s="496" t="s">
        <v>2167</v>
      </c>
      <c r="F65" s="496" t="s">
        <v>2168</v>
      </c>
      <c r="G65" s="496" t="s">
        <v>2169</v>
      </c>
      <c r="H65" s="496" t="s">
        <v>2170</v>
      </c>
      <c r="I65" s="496" t="s">
        <v>2171</v>
      </c>
      <c r="J65" s="496"/>
      <c r="K65" s="497"/>
      <c r="L65" s="498"/>
      <c r="M65" s="499"/>
      <c r="N65" s="1044"/>
      <c r="O65" s="1044"/>
      <c r="P65" s="2057"/>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7"/>
      <c r="Q66" s="461"/>
    </row>
    <row r="67" spans="1:17" ht="14.5" thickTop="1">
      <c r="A67" s="491"/>
      <c r="B67" s="503" t="s">
        <v>2134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7"/>
      <c r="Q67" s="461"/>
    </row>
    <row r="68" spans="1:17">
      <c r="A68" s="491"/>
      <c r="B68" s="505"/>
      <c r="C68" s="506"/>
      <c r="D68" s="506"/>
      <c r="E68" s="506"/>
      <c r="F68" s="506"/>
      <c r="G68" s="506"/>
      <c r="H68" s="506"/>
      <c r="I68" s="506"/>
      <c r="J68" s="506"/>
      <c r="K68" s="507"/>
      <c r="L68" s="508"/>
      <c r="M68" s="509"/>
      <c r="N68" s="1044"/>
      <c r="O68" s="1044"/>
      <c r="P68" s="2057"/>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7"/>
      <c r="Q69" s="461"/>
    </row>
    <row r="70" spans="1:17" s="430" customFormat="1" ht="14.5" thickTop="1">
      <c r="A70" s="510"/>
      <c r="B70" s="495">
        <f>B12</f>
        <v>111</v>
      </c>
      <c r="C70" s="511"/>
      <c r="D70" s="511"/>
      <c r="E70" s="511"/>
      <c r="F70" s="511"/>
      <c r="G70" s="511"/>
      <c r="H70" s="512"/>
      <c r="I70" s="512"/>
      <c r="J70" s="512"/>
      <c r="K70" s="512"/>
      <c r="L70" s="513"/>
      <c r="M70" s="514"/>
      <c r="N70" s="1046"/>
      <c r="O70" s="1046"/>
      <c r="P70" s="2058"/>
      <c r="Q70" s="516"/>
    </row>
    <row r="71" spans="1:17" s="430" customFormat="1" ht="14.5" thickBot="1">
      <c r="A71" s="510"/>
      <c r="B71" s="500"/>
      <c r="C71" s="517"/>
      <c r="D71" s="493"/>
      <c r="E71" s="493"/>
      <c r="F71" s="493"/>
      <c r="G71" s="493"/>
      <c r="H71" s="493"/>
      <c r="I71" s="493"/>
      <c r="J71" s="493"/>
      <c r="K71" s="493"/>
      <c r="L71" s="493"/>
      <c r="M71" s="494"/>
      <c r="N71" s="1045"/>
      <c r="O71" s="1045"/>
      <c r="P71" s="2058"/>
      <c r="Q71" s="516"/>
    </row>
    <row r="72" spans="1:17" s="430" customFormat="1" ht="14.5" thickTop="1">
      <c r="A72" s="510"/>
      <c r="B72" s="495">
        <f>B13</f>
        <v>111</v>
      </c>
      <c r="C72" s="511"/>
      <c r="D72" s="511"/>
      <c r="E72" s="511"/>
      <c r="F72" s="511"/>
      <c r="G72" s="511"/>
      <c r="H72" s="512"/>
      <c r="I72" s="512"/>
      <c r="J72" s="512"/>
      <c r="K72" s="512"/>
      <c r="L72" s="513"/>
      <c r="M72" s="514"/>
      <c r="N72" s="1046"/>
      <c r="O72" s="1046"/>
      <c r="P72" s="2059"/>
      <c r="Q72" s="518"/>
    </row>
    <row r="73" spans="1:17" s="430" customFormat="1" ht="14.5" thickBot="1">
      <c r="A73" s="510"/>
      <c r="B73" s="500"/>
      <c r="C73" s="517"/>
      <c r="D73" s="517"/>
      <c r="E73" s="517"/>
      <c r="F73" s="517"/>
      <c r="G73" s="517"/>
      <c r="H73" s="519"/>
      <c r="I73" s="519"/>
      <c r="J73" s="519"/>
      <c r="K73" s="519"/>
      <c r="L73" s="519"/>
      <c r="M73" s="520"/>
      <c r="N73" s="1046"/>
      <c r="O73" s="1046"/>
      <c r="P73" s="2058"/>
      <c r="Q73" s="516"/>
    </row>
    <row r="74" spans="1:17" s="430" customFormat="1" ht="14.5" thickTop="1">
      <c r="A74" s="510"/>
      <c r="B74" s="503">
        <f>B14</f>
        <v>111</v>
      </c>
      <c r="C74" s="511"/>
      <c r="D74" s="511"/>
      <c r="E74" s="511"/>
      <c r="F74" s="511"/>
      <c r="G74" s="480"/>
      <c r="H74" s="521"/>
      <c r="I74" s="521"/>
      <c r="J74" s="521"/>
      <c r="K74" s="521"/>
      <c r="L74" s="522"/>
      <c r="M74" s="523"/>
      <c r="N74" s="1046"/>
      <c r="O74" s="1046"/>
      <c r="P74" s="2060"/>
      <c r="Q74" s="516"/>
    </row>
    <row r="75" spans="1:17" s="430" customFormat="1" ht="14.5" thickBot="1">
      <c r="A75" s="525"/>
      <c r="B75" s="526"/>
      <c r="C75" s="527"/>
      <c r="D75" s="527"/>
      <c r="E75" s="527"/>
      <c r="F75" s="527"/>
      <c r="G75" s="527"/>
      <c r="H75" s="528"/>
      <c r="I75" s="528"/>
      <c r="J75" s="528"/>
      <c r="K75" s="528"/>
      <c r="L75" s="528"/>
      <c r="M75" s="529"/>
      <c r="N75" s="1046"/>
      <c r="O75" s="1046"/>
      <c r="P75" s="2058"/>
      <c r="Q75" s="516"/>
    </row>
    <row r="76" spans="1:17">
      <c r="A76" s="484" t="s">
        <v>2135</v>
      </c>
      <c r="B76" s="485" t="s">
        <v>2172</v>
      </c>
      <c r="C76" s="530" t="s">
        <v>2173</v>
      </c>
      <c r="D76" s="530" t="s">
        <v>2174</v>
      </c>
      <c r="E76" s="530" t="s">
        <v>2175</v>
      </c>
      <c r="F76" s="530" t="s">
        <v>2176</v>
      </c>
      <c r="G76" s="530" t="s">
        <v>2177</v>
      </c>
      <c r="H76" s="486"/>
      <c r="I76" s="486"/>
      <c r="J76" s="486"/>
      <c r="K76" s="531"/>
      <c r="L76" s="532"/>
      <c r="M76" s="533"/>
      <c r="N76" s="1044"/>
      <c r="O76" s="1044"/>
      <c r="P76" s="2061"/>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7"/>
      <c r="Q77" s="461"/>
    </row>
    <row r="78" spans="1:17" ht="14.5" thickTop="1">
      <c r="A78" s="491"/>
      <c r="B78" s="495" t="s">
        <v>2178</v>
      </c>
      <c r="C78" s="535" t="s">
        <v>2173</v>
      </c>
      <c r="D78" s="535" t="s">
        <v>2174</v>
      </c>
      <c r="E78" s="535" t="s">
        <v>2175</v>
      </c>
      <c r="F78" s="535" t="s">
        <v>2176</v>
      </c>
      <c r="G78" s="535" t="s">
        <v>2177</v>
      </c>
      <c r="H78" s="496"/>
      <c r="I78" s="496"/>
      <c r="J78" s="496"/>
      <c r="K78" s="497"/>
      <c r="L78" s="498"/>
      <c r="M78" s="499"/>
      <c r="N78" s="1044"/>
      <c r="O78" s="1044"/>
      <c r="P78" s="2057"/>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7"/>
      <c r="Q79" s="461"/>
    </row>
    <row r="80" spans="1:17" ht="14.5" thickTop="1">
      <c r="A80" s="491"/>
      <c r="B80" s="495" t="s">
        <v>2179</v>
      </c>
      <c r="C80" s="535" t="s">
        <v>2173</v>
      </c>
      <c r="D80" s="535" t="s">
        <v>2174</v>
      </c>
      <c r="E80" s="535" t="s">
        <v>2175</v>
      </c>
      <c r="F80" s="535" t="s">
        <v>2176</v>
      </c>
      <c r="G80" s="535" t="s">
        <v>2177</v>
      </c>
      <c r="H80" s="496"/>
      <c r="I80" s="496"/>
      <c r="J80" s="496"/>
      <c r="K80" s="497"/>
      <c r="L80" s="498"/>
      <c r="M80" s="499"/>
      <c r="N80" s="1044"/>
      <c r="O80" s="1044"/>
      <c r="P80" s="2057"/>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7"/>
      <c r="Q81" s="461"/>
    </row>
    <row r="82" spans="1:17" ht="14.5" thickTop="1">
      <c r="A82" s="491"/>
      <c r="B82" s="503" t="s">
        <v>1701</v>
      </c>
      <c r="C82" s="496" t="s">
        <v>2180</v>
      </c>
      <c r="D82" s="496" t="s">
        <v>2181</v>
      </c>
      <c r="E82" s="496" t="s">
        <v>2182</v>
      </c>
      <c r="F82" s="496" t="s">
        <v>2183</v>
      </c>
      <c r="G82" s="496" t="s">
        <v>2184</v>
      </c>
      <c r="H82" s="496"/>
      <c r="I82" s="496"/>
      <c r="J82" s="496"/>
      <c r="K82" s="496"/>
      <c r="L82" s="496"/>
      <c r="M82" s="1243"/>
      <c r="N82" s="1045"/>
      <c r="O82" s="1045"/>
      <c r="P82" s="2057"/>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7"/>
      <c r="Q83" s="461"/>
    </row>
    <row r="84" spans="1:17" ht="14.5" thickTop="1">
      <c r="A84" s="491"/>
      <c r="B84" s="495" t="s">
        <v>2185</v>
      </c>
      <c r="C84" s="535" t="s">
        <v>2173</v>
      </c>
      <c r="D84" s="535" t="s">
        <v>2174</v>
      </c>
      <c r="E84" s="535" t="s">
        <v>2175</v>
      </c>
      <c r="F84" s="535" t="s">
        <v>2176</v>
      </c>
      <c r="G84" s="535" t="s">
        <v>2177</v>
      </c>
      <c r="H84" s="496"/>
      <c r="I84" s="496"/>
      <c r="J84" s="496"/>
      <c r="K84" s="497"/>
      <c r="L84" s="498"/>
      <c r="M84" s="499"/>
      <c r="N84" s="1044"/>
      <c r="O84" s="1044"/>
      <c r="P84" s="2057"/>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7"/>
      <c r="Q85" s="461"/>
    </row>
    <row r="86" spans="1:17" s="113" customFormat="1" ht="15" thickTop="1">
      <c r="A86" s="536"/>
      <c r="B86" s="495" t="s">
        <v>2186</v>
      </c>
      <c r="C86" s="511"/>
      <c r="D86" s="511"/>
      <c r="E86" s="511"/>
      <c r="F86" s="511"/>
      <c r="G86" s="511"/>
      <c r="H86" s="511"/>
      <c r="I86" s="511"/>
      <c r="J86" s="511"/>
      <c r="K86" s="511"/>
      <c r="L86" s="537"/>
      <c r="M86" s="538"/>
      <c r="N86" s="1043"/>
      <c r="O86" s="1043"/>
      <c r="P86" s="2057"/>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7"/>
      <c r="Q87" s="461"/>
    </row>
    <row r="88" spans="1:17" s="113" customFormat="1" ht="14.5" thickTop="1">
      <c r="A88" s="536"/>
      <c r="B88" s="495" t="s">
        <v>2187</v>
      </c>
      <c r="C88" s="511"/>
      <c r="D88" s="511"/>
      <c r="E88" s="511"/>
      <c r="F88" s="2062"/>
      <c r="G88" s="511"/>
      <c r="H88" s="511"/>
      <c r="I88" s="511"/>
      <c r="J88" s="511"/>
      <c r="K88" s="511"/>
      <c r="L88" s="511"/>
      <c r="M88" s="538"/>
      <c r="N88" s="1043"/>
      <c r="O88" s="1043"/>
      <c r="P88" s="2057"/>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7"/>
      <c r="Q89" s="461"/>
    </row>
    <row r="90" spans="1:17" s="430" customFormat="1" ht="14.5" thickTop="1">
      <c r="A90" s="510"/>
      <c r="B90" s="495">
        <f>B27</f>
        <v>111</v>
      </c>
      <c r="C90" s="511"/>
      <c r="D90" s="511"/>
      <c r="E90" s="511"/>
      <c r="F90" s="511"/>
      <c r="G90" s="511"/>
      <c r="H90" s="512"/>
      <c r="I90" s="512"/>
      <c r="J90" s="512"/>
      <c r="K90" s="512"/>
      <c r="L90" s="513"/>
      <c r="M90" s="514"/>
      <c r="N90" s="1046"/>
      <c r="O90" s="1046"/>
      <c r="P90" s="2058"/>
      <c r="Q90" s="516"/>
    </row>
    <row r="91" spans="1:17" s="430" customFormat="1" ht="14.5" thickBot="1">
      <c r="A91" s="510"/>
      <c r="B91" s="500"/>
      <c r="C91" s="517"/>
      <c r="D91" s="517"/>
      <c r="E91" s="517"/>
      <c r="F91" s="517"/>
      <c r="G91" s="517"/>
      <c r="H91" s="519"/>
      <c r="I91" s="519"/>
      <c r="J91" s="519"/>
      <c r="K91" s="519"/>
      <c r="L91" s="519"/>
      <c r="M91" s="520"/>
      <c r="N91" s="1046"/>
      <c r="O91" s="1046"/>
      <c r="P91" s="2058"/>
      <c r="Q91" s="516"/>
    </row>
    <row r="92" spans="1:17" ht="14.5" thickTop="1">
      <c r="A92" s="491"/>
      <c r="B92" s="495">
        <f>B28</f>
        <v>111</v>
      </c>
      <c r="C92" s="511"/>
      <c r="D92" s="511"/>
      <c r="E92" s="511"/>
      <c r="F92" s="511"/>
      <c r="G92" s="540"/>
      <c r="H92" s="540"/>
      <c r="I92" s="540"/>
      <c r="J92" s="540"/>
      <c r="K92" s="541"/>
      <c r="L92" s="542"/>
      <c r="M92" s="543"/>
      <c r="N92" s="1044"/>
      <c r="O92" s="1044"/>
      <c r="P92" s="2057"/>
      <c r="Q92" s="461"/>
    </row>
    <row r="93" spans="1:17" ht="14.5" thickBot="1">
      <c r="A93" s="491"/>
      <c r="B93" s="500"/>
      <c r="C93" s="517"/>
      <c r="D93" s="493"/>
      <c r="E93" s="493"/>
      <c r="F93" s="493"/>
      <c r="G93" s="493"/>
      <c r="H93" s="493"/>
      <c r="I93" s="493"/>
      <c r="J93" s="493"/>
      <c r="K93" s="493"/>
      <c r="L93" s="493"/>
      <c r="M93" s="494"/>
      <c r="N93" s="1045"/>
      <c r="O93" s="1045"/>
      <c r="P93" s="2057"/>
      <c r="Q93" s="461"/>
    </row>
    <row r="94" spans="1:17" ht="14.5" thickTop="1">
      <c r="A94" s="491"/>
      <c r="B94" s="495">
        <f>B29</f>
        <v>111</v>
      </c>
      <c r="C94" s="511"/>
      <c r="D94" s="511"/>
      <c r="E94" s="511"/>
      <c r="F94" s="511"/>
      <c r="G94" s="540"/>
      <c r="H94" s="540"/>
      <c r="I94" s="540"/>
      <c r="J94" s="540"/>
      <c r="K94" s="541"/>
      <c r="L94" s="542"/>
      <c r="M94" s="543"/>
      <c r="N94" s="1044"/>
      <c r="O94" s="1044"/>
      <c r="P94" s="2057"/>
      <c r="Q94" s="461"/>
    </row>
    <row r="95" spans="1:17" ht="14.5" thickBot="1">
      <c r="A95" s="491"/>
      <c r="B95" s="500"/>
      <c r="C95" s="517"/>
      <c r="D95" s="517"/>
      <c r="E95" s="517"/>
      <c r="F95" s="517"/>
      <c r="G95" s="493"/>
      <c r="H95" s="493"/>
      <c r="I95" s="493"/>
      <c r="J95" s="493"/>
      <c r="K95" s="493"/>
      <c r="L95" s="493"/>
      <c r="M95" s="494"/>
      <c r="N95" s="1045"/>
      <c r="O95" s="1045"/>
      <c r="P95" s="2057"/>
      <c r="Q95" s="461"/>
    </row>
    <row r="96" spans="1:17" ht="14.5" thickTop="1">
      <c r="A96" s="491"/>
      <c r="B96" s="495">
        <f>B30</f>
        <v>111</v>
      </c>
      <c r="C96" s="511"/>
      <c r="D96" s="511"/>
      <c r="E96" s="511"/>
      <c r="F96" s="511"/>
      <c r="G96" s="540"/>
      <c r="H96" s="540"/>
      <c r="I96" s="540"/>
      <c r="J96" s="540"/>
      <c r="K96" s="541"/>
      <c r="L96" s="542"/>
      <c r="M96" s="543"/>
      <c r="N96" s="1044"/>
      <c r="O96" s="1044"/>
      <c r="P96" s="2057"/>
      <c r="Q96" s="461"/>
    </row>
    <row r="97" spans="1:17" ht="14.5" thickBot="1">
      <c r="A97" s="491"/>
      <c r="B97" s="500"/>
      <c r="C97" s="527"/>
      <c r="D97" s="527"/>
      <c r="E97" s="527"/>
      <c r="F97" s="527"/>
      <c r="G97" s="493"/>
      <c r="H97" s="493"/>
      <c r="I97" s="493"/>
      <c r="J97" s="493"/>
      <c r="K97" s="493"/>
      <c r="L97" s="493"/>
      <c r="M97" s="494"/>
      <c r="N97" s="1045"/>
      <c r="O97" s="1045"/>
      <c r="P97" s="2057"/>
      <c r="Q97" s="461"/>
    </row>
    <row r="98" spans="1:17" ht="14.5" thickTop="1">
      <c r="A98" s="491"/>
      <c r="B98" s="503">
        <f>B31</f>
        <v>111</v>
      </c>
      <c r="C98" s="544"/>
      <c r="D98" s="544"/>
      <c r="E98" s="544"/>
      <c r="F98" s="544"/>
      <c r="G98" s="544"/>
      <c r="H98" s="544"/>
      <c r="I98" s="544"/>
      <c r="J98" s="544"/>
      <c r="K98" s="545"/>
      <c r="L98" s="546"/>
      <c r="M98" s="547"/>
      <c r="N98" s="1044"/>
      <c r="O98" s="1044"/>
      <c r="P98" s="2057"/>
      <c r="Q98" s="461"/>
    </row>
    <row r="99" spans="1:17" ht="14.5" thickBot="1">
      <c r="A99" s="2063"/>
      <c r="B99" s="526"/>
      <c r="C99" s="548"/>
      <c r="D99" s="548"/>
      <c r="E99" s="548"/>
      <c r="F99" s="548"/>
      <c r="G99" s="548"/>
      <c r="H99" s="548"/>
      <c r="I99" s="548"/>
      <c r="J99" s="548"/>
      <c r="K99" s="548"/>
      <c r="L99" s="548"/>
      <c r="M99" s="549"/>
      <c r="N99" s="1045"/>
      <c r="O99" s="1045"/>
      <c r="P99" s="2057"/>
      <c r="Q99" s="461"/>
    </row>
    <row r="100" spans="1:17">
      <c r="A100" s="484" t="s">
        <v>2139</v>
      </c>
      <c r="B100" s="485" t="s">
        <v>2188</v>
      </c>
      <c r="C100" s="487"/>
      <c r="D100" s="487"/>
      <c r="E100" s="487"/>
      <c r="F100" s="487"/>
      <c r="G100" s="487"/>
      <c r="H100" s="487"/>
      <c r="I100" s="487"/>
      <c r="J100" s="487"/>
      <c r="K100" s="488"/>
      <c r="L100" s="489"/>
      <c r="M100" s="490"/>
      <c r="N100" s="1044"/>
      <c r="O100" s="1044"/>
      <c r="P100" s="2057"/>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7"/>
      <c r="Q101" s="461"/>
    </row>
    <row r="102" spans="1:17" ht="14.5" thickTop="1">
      <c r="A102" s="491"/>
      <c r="B102" s="495" t="s">
        <v>2189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7"/>
      <c r="Q102" s="461"/>
    </row>
    <row r="103" spans="1:17" s="430" customFormat="1">
      <c r="A103" s="550"/>
      <c r="B103" s="551"/>
      <c r="C103" s="552"/>
      <c r="D103" s="552"/>
      <c r="E103" s="552"/>
      <c r="F103" s="552"/>
      <c r="G103" s="552"/>
      <c r="H103" s="552"/>
      <c r="I103" s="552"/>
      <c r="J103" s="553"/>
      <c r="K103" s="553"/>
      <c r="L103" s="554"/>
      <c r="M103" s="555"/>
      <c r="N103" s="1046"/>
      <c r="O103" s="1046"/>
      <c r="P103" s="2058"/>
      <c r="Q103" s="516"/>
    </row>
    <row r="104" spans="1:17" s="430" customFormat="1" ht="14.5" thickBot="1">
      <c r="A104" s="510"/>
      <c r="B104" s="500"/>
      <c r="C104" s="517"/>
      <c r="D104" s="493"/>
      <c r="E104" s="493"/>
      <c r="F104" s="493"/>
      <c r="G104" s="493"/>
      <c r="H104" s="493"/>
      <c r="I104" s="493"/>
      <c r="J104" s="493"/>
      <c r="K104" s="493"/>
      <c r="L104" s="493"/>
      <c r="M104" s="493"/>
      <c r="N104" s="1045"/>
      <c r="O104" s="1045"/>
      <c r="P104" s="2058"/>
      <c r="Q104" s="516"/>
    </row>
    <row r="105" spans="1:17" ht="14.5" thickTop="1">
      <c r="A105" s="556"/>
      <c r="B105" s="495" t="s">
        <v>2190</v>
      </c>
      <c r="C105" s="511"/>
      <c r="D105" s="511"/>
      <c r="E105" s="540"/>
      <c r="F105" s="540"/>
      <c r="G105" s="540"/>
      <c r="H105" s="540"/>
      <c r="I105" s="540"/>
      <c r="J105" s="540"/>
      <c r="K105" s="541"/>
      <c r="L105" s="542"/>
      <c r="M105" s="543"/>
      <c r="N105" s="1044"/>
      <c r="O105" s="1044"/>
      <c r="P105" s="2057"/>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7"/>
      <c r="Q106" s="461"/>
    </row>
    <row r="107" spans="1:17" ht="14.5" thickTop="1">
      <c r="A107" s="556"/>
      <c r="B107" s="495" t="s">
        <v>2191</v>
      </c>
      <c r="C107" s="540"/>
      <c r="D107" s="540"/>
      <c r="E107" s="540"/>
      <c r="F107" s="540"/>
      <c r="G107" s="540"/>
      <c r="H107" s="540"/>
      <c r="I107" s="540"/>
      <c r="J107" s="540"/>
      <c r="K107" s="541"/>
      <c r="L107" s="542"/>
      <c r="M107" s="543"/>
      <c r="N107" s="1044"/>
      <c r="O107" s="1044"/>
      <c r="P107" s="2057"/>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7"/>
      <c r="Q108" s="461"/>
    </row>
    <row r="109" spans="1:17" ht="14.5" thickTop="1">
      <c r="A109" s="556"/>
      <c r="B109" s="495" t="s">
        <v>2192</v>
      </c>
      <c r="C109" s="511"/>
      <c r="D109" s="511"/>
      <c r="E109" s="511"/>
      <c r="F109" s="540"/>
      <c r="G109" s="540"/>
      <c r="H109" s="540"/>
      <c r="I109" s="540"/>
      <c r="J109" s="540"/>
      <c r="K109" s="541"/>
      <c r="L109" s="542"/>
      <c r="M109" s="543"/>
      <c r="N109" s="1044"/>
      <c r="O109" s="1044"/>
      <c r="P109" s="2057"/>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7"/>
      <c r="Q110" s="461"/>
    </row>
    <row r="111" spans="1:17" s="430" customFormat="1" ht="14.5" thickTop="1">
      <c r="A111" s="550"/>
      <c r="B111" s="495" t="s">
        <v>1631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8"/>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8"/>
      <c r="Q113" s="516"/>
    </row>
    <row r="114" spans="1:17" ht="14.5" thickTop="1">
      <c r="A114" s="556"/>
      <c r="B114" s="495" t="s">
        <v>2193</v>
      </c>
      <c r="C114" s="511"/>
      <c r="D114" s="511"/>
      <c r="E114" s="540"/>
      <c r="F114" s="540"/>
      <c r="G114" s="540"/>
      <c r="H114" s="540"/>
      <c r="I114" s="540"/>
      <c r="J114" s="540"/>
      <c r="K114" s="541"/>
      <c r="L114" s="542"/>
      <c r="M114" s="543"/>
      <c r="N114" s="1044"/>
      <c r="O114" s="1044"/>
      <c r="P114" s="2057"/>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7"/>
      <c r="Q115" s="461"/>
    </row>
    <row r="116" spans="1:17" ht="14.5" thickTop="1">
      <c r="A116" s="556"/>
      <c r="B116" s="495" t="s">
        <v>2194</v>
      </c>
      <c r="C116" s="511"/>
      <c r="D116" s="511"/>
      <c r="E116" s="511"/>
      <c r="F116" s="511"/>
      <c r="G116" s="511"/>
      <c r="H116" s="540"/>
      <c r="I116" s="540"/>
      <c r="J116" s="540"/>
      <c r="K116" s="541"/>
      <c r="L116" s="542"/>
      <c r="M116" s="543"/>
      <c r="N116" s="1044"/>
      <c r="O116" s="1044"/>
      <c r="P116" s="2057"/>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7"/>
      <c r="Q117" s="461"/>
    </row>
    <row r="118" spans="1:17" ht="14.5" thickTop="1">
      <c r="A118" s="556"/>
      <c r="B118" s="495" t="s">
        <v>2195</v>
      </c>
      <c r="C118" s="540"/>
      <c r="D118" s="540"/>
      <c r="E118" s="540"/>
      <c r="F118" s="540"/>
      <c r="G118" s="540"/>
      <c r="H118" s="540"/>
      <c r="I118" s="540"/>
      <c r="J118" s="540"/>
      <c r="K118" s="541"/>
      <c r="L118" s="542"/>
      <c r="M118" s="543"/>
      <c r="N118" s="1044"/>
      <c r="O118" s="1044"/>
      <c r="P118" s="2057"/>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7"/>
      <c r="Q119" s="461"/>
    </row>
    <row r="120" spans="1:17" s="430" customFormat="1" ht="29" thickTop="1">
      <c r="A120" s="550"/>
      <c r="B120" s="495" t="s">
        <v>2150</v>
      </c>
      <c r="C120" s="511"/>
      <c r="D120" s="511"/>
      <c r="E120" s="511"/>
      <c r="F120" s="511"/>
      <c r="G120" s="511"/>
      <c r="H120" s="511"/>
      <c r="I120" s="511"/>
      <c r="J120" s="511"/>
      <c r="K120" s="511"/>
      <c r="L120" s="537"/>
      <c r="M120" s="538"/>
      <c r="N120" s="1046"/>
      <c r="O120" s="1046"/>
      <c r="P120" s="2058"/>
      <c r="Q120" s="516"/>
    </row>
    <row r="121" spans="1:17" s="430" customFormat="1" ht="14.5" thickBot="1">
      <c r="A121" s="510"/>
      <c r="B121" s="492"/>
      <c r="C121" s="517"/>
      <c r="D121" s="493"/>
      <c r="E121" s="493"/>
      <c r="F121" s="493"/>
      <c r="G121" s="493"/>
      <c r="H121" s="493"/>
      <c r="I121" s="493"/>
      <c r="J121" s="493"/>
      <c r="K121" s="493"/>
      <c r="L121" s="493"/>
      <c r="M121" s="493"/>
      <c r="N121" s="1046"/>
      <c r="O121" s="1046"/>
      <c r="P121" s="2058"/>
      <c r="Q121" s="516"/>
    </row>
    <row r="122" spans="1:17" ht="14.5" thickTop="1">
      <c r="A122" s="556"/>
      <c r="B122" s="495" t="s">
        <v>2196</v>
      </c>
      <c r="C122" s="511"/>
      <c r="D122" s="511"/>
      <c r="E122" s="511"/>
      <c r="F122" s="540"/>
      <c r="G122" s="540"/>
      <c r="H122" s="540"/>
      <c r="I122" s="540"/>
      <c r="J122" s="540"/>
      <c r="K122" s="541"/>
      <c r="L122" s="542"/>
      <c r="M122" s="543"/>
      <c r="N122" s="1044"/>
      <c r="O122" s="1044"/>
      <c r="P122" s="2057"/>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7"/>
      <c r="Q123" s="461"/>
    </row>
    <row r="124" spans="1:17" ht="28.5" thickTop="1">
      <c r="A124" s="556"/>
      <c r="B124" s="495" t="s">
        <v>2197</v>
      </c>
      <c r="C124" s="535" t="s">
        <v>2173</v>
      </c>
      <c r="D124" s="535" t="s">
        <v>2174</v>
      </c>
      <c r="E124" s="535" t="s">
        <v>2175</v>
      </c>
      <c r="F124" s="535" t="s">
        <v>2176</v>
      </c>
      <c r="G124" s="535" t="s">
        <v>2177</v>
      </c>
      <c r="H124" s="496"/>
      <c r="I124" s="496"/>
      <c r="J124" s="496"/>
      <c r="K124" s="497"/>
      <c r="L124" s="498"/>
      <c r="M124" s="499"/>
      <c r="N124" s="1044"/>
      <c r="O124" s="1044"/>
      <c r="P124" s="2058"/>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7"/>
      <c r="Q125" s="461"/>
    </row>
    <row r="126" spans="1:17" s="430" customFormat="1" ht="14.5" thickTop="1">
      <c r="A126" s="550"/>
      <c r="B126" s="495">
        <f>B44</f>
        <v>111</v>
      </c>
      <c r="C126" s="511"/>
      <c r="D126" s="511"/>
      <c r="E126" s="511"/>
      <c r="F126" s="511"/>
      <c r="G126" s="511"/>
      <c r="H126" s="512"/>
      <c r="I126" s="512"/>
      <c r="J126" s="512"/>
      <c r="K126" s="512"/>
      <c r="L126" s="513"/>
      <c r="M126" s="514"/>
      <c r="N126" s="1046"/>
      <c r="O126" s="1046"/>
      <c r="P126" s="2058"/>
      <c r="Q126" s="516"/>
    </row>
    <row r="127" spans="1:17" s="430" customFormat="1" ht="14.5" thickBot="1">
      <c r="A127" s="510"/>
      <c r="B127" s="500"/>
      <c r="C127" s="517"/>
      <c r="D127" s="493"/>
      <c r="E127" s="493"/>
      <c r="F127" s="493"/>
      <c r="G127" s="517"/>
      <c r="H127" s="519"/>
      <c r="I127" s="519"/>
      <c r="J127" s="519"/>
      <c r="K127" s="519"/>
      <c r="L127" s="519"/>
      <c r="M127" s="520"/>
      <c r="N127" s="1046"/>
      <c r="O127" s="1046"/>
      <c r="P127" s="2058"/>
      <c r="Q127" s="516"/>
    </row>
    <row r="128" spans="1:17" ht="14.5" thickTop="1">
      <c r="A128" s="556"/>
      <c r="B128" s="495">
        <f>B45</f>
        <v>111</v>
      </c>
      <c r="C128" s="511"/>
      <c r="D128" s="511"/>
      <c r="E128" s="511"/>
      <c r="F128" s="511"/>
      <c r="G128" s="540"/>
      <c r="H128" s="540"/>
      <c r="I128" s="540"/>
      <c r="J128" s="540"/>
      <c r="K128" s="541"/>
      <c r="L128" s="542"/>
      <c r="M128" s="543"/>
      <c r="N128" s="1044"/>
      <c r="O128" s="1044"/>
      <c r="P128" s="2057"/>
      <c r="Q128" s="461"/>
    </row>
    <row r="129" spans="1:17" ht="14.5" thickBot="1">
      <c r="A129" s="491"/>
      <c r="B129" s="500"/>
      <c r="C129" s="517"/>
      <c r="D129" s="517"/>
      <c r="E129" s="517"/>
      <c r="F129" s="517"/>
      <c r="G129" s="493"/>
      <c r="H129" s="493"/>
      <c r="I129" s="493"/>
      <c r="J129" s="493"/>
      <c r="K129" s="493"/>
      <c r="L129" s="493"/>
      <c r="M129" s="494"/>
      <c r="N129" s="1045"/>
      <c r="O129" s="1045"/>
      <c r="P129" s="2057"/>
      <c r="Q129" s="461"/>
    </row>
    <row r="130" spans="1:17" ht="14.5" thickTop="1">
      <c r="A130" s="556"/>
      <c r="B130" s="503">
        <f>B46</f>
        <v>111</v>
      </c>
      <c r="C130" s="511"/>
      <c r="D130" s="511"/>
      <c r="E130" s="511"/>
      <c r="F130" s="511"/>
      <c r="G130" s="544"/>
      <c r="H130" s="544"/>
      <c r="I130" s="544"/>
      <c r="J130" s="544"/>
      <c r="K130" s="480"/>
      <c r="L130" s="481"/>
      <c r="M130" s="547"/>
      <c r="N130" s="1044"/>
      <c r="O130" s="1044"/>
      <c r="P130" s="2057"/>
      <c r="Q130" s="461"/>
    </row>
    <row r="131" spans="1:17" ht="14.5" thickBot="1">
      <c r="A131" s="2063"/>
      <c r="B131" s="526"/>
      <c r="C131" s="527"/>
      <c r="D131" s="527"/>
      <c r="E131" s="527"/>
      <c r="F131" s="527"/>
      <c r="G131" s="548"/>
      <c r="H131" s="548"/>
      <c r="I131" s="548"/>
      <c r="J131" s="548"/>
      <c r="K131" s="548"/>
      <c r="L131" s="548"/>
      <c r="M131" s="549"/>
      <c r="N131" s="1045"/>
      <c r="O131" s="1045"/>
      <c r="P131" s="2057"/>
      <c r="Q131" s="461"/>
    </row>
    <row r="136" spans="1:17" ht="14.5" thickBot="1">
      <c r="B136" s="2064" t="s">
        <v>2198</v>
      </c>
    </row>
    <row r="137" spans="1:17" ht="15.5">
      <c r="B137" s="2065" t="s">
        <v>2199</v>
      </c>
      <c r="C137" s="2066"/>
      <c r="D137" s="2066"/>
      <c r="E137" s="2066"/>
      <c r="F137" s="2066"/>
      <c r="G137" s="2067"/>
      <c r="H137" s="2068"/>
      <c r="I137" s="2069" t="s">
        <v>2200</v>
      </c>
      <c r="J137" s="2066"/>
      <c r="K137" s="2070"/>
    </row>
    <row r="138" spans="1:17" ht="15.5">
      <c r="B138" s="2071"/>
      <c r="C138" s="142" t="s">
        <v>2201</v>
      </c>
      <c r="D138" s="142" t="s">
        <v>2202</v>
      </c>
      <c r="E138" s="2072" t="s">
        <v>2203</v>
      </c>
      <c r="F138" s="2073" t="s">
        <v>2204</v>
      </c>
      <c r="G138" s="142" t="s">
        <v>2202</v>
      </c>
      <c r="H138" s="143" t="s">
        <v>2203</v>
      </c>
      <c r="I138" s="2074"/>
      <c r="J138" s="142" t="s">
        <v>2205</v>
      </c>
      <c r="K138" s="143" t="s">
        <v>2206</v>
      </c>
    </row>
    <row r="139" spans="1:17" ht="15.5">
      <c r="B139" s="978">
        <v>6</v>
      </c>
      <c r="C139" s="979">
        <v>96</v>
      </c>
      <c r="D139" s="2075" t="s">
        <v>2207</v>
      </c>
      <c r="E139" s="980">
        <v>100</v>
      </c>
      <c r="F139" s="981">
        <v>102.5</v>
      </c>
      <c r="G139" s="2075" t="s">
        <v>2207</v>
      </c>
      <c r="H139" s="982">
        <v>105</v>
      </c>
      <c r="I139" s="2076" t="s">
        <v>2208</v>
      </c>
      <c r="J139" s="979">
        <v>20</v>
      </c>
      <c r="K139" s="983">
        <f>C145/(J139-2)</f>
        <v>4.0555555555555553E-3</v>
      </c>
    </row>
    <row r="140" spans="1:17" ht="15.5">
      <c r="B140" s="984">
        <v>5</v>
      </c>
      <c r="C140" s="985">
        <v>100</v>
      </c>
      <c r="D140" s="985"/>
      <c r="E140" s="986"/>
      <c r="F140" s="987">
        <v>102</v>
      </c>
      <c r="G140" s="985"/>
      <c r="H140" s="988"/>
      <c r="I140" s="2077" t="s">
        <v>2209</v>
      </c>
      <c r="J140" s="277">
        <f>ROUNDUP((J139-1)/2,0)</f>
        <v>10</v>
      </c>
      <c r="K140" s="989">
        <v>100</v>
      </c>
    </row>
    <row r="141" spans="1:17" ht="15.5">
      <c r="B141" s="984">
        <v>4</v>
      </c>
      <c r="C141" s="985">
        <v>102</v>
      </c>
      <c r="D141" s="985"/>
      <c r="E141" s="986"/>
      <c r="F141" s="987">
        <v>101.5</v>
      </c>
      <c r="G141" s="985"/>
      <c r="H141" s="988"/>
      <c r="I141" s="2077" t="s">
        <v>2210</v>
      </c>
      <c r="J141" s="277">
        <v>1</v>
      </c>
      <c r="K141" s="990">
        <f>ROUND(100+(J141-J140)*K139*100,1)</f>
        <v>96.4</v>
      </c>
    </row>
    <row r="142" spans="1:17" ht="15.5">
      <c r="B142" s="984">
        <v>3</v>
      </c>
      <c r="C142" s="985">
        <v>103</v>
      </c>
      <c r="D142" s="985"/>
      <c r="E142" s="986"/>
      <c r="F142" s="987">
        <v>101</v>
      </c>
      <c r="G142" s="985"/>
      <c r="H142" s="988"/>
      <c r="I142" s="2077" t="s">
        <v>2211</v>
      </c>
      <c r="J142" s="277">
        <f>J139</f>
        <v>20</v>
      </c>
      <c r="K142" s="991">
        <v>95</v>
      </c>
    </row>
    <row r="143" spans="1:17" ht="15.5">
      <c r="B143" s="984">
        <v>2</v>
      </c>
      <c r="C143" s="985">
        <v>100</v>
      </c>
      <c r="D143" s="985"/>
      <c r="E143" s="986"/>
      <c r="F143" s="987">
        <v>100.5</v>
      </c>
      <c r="G143" s="985"/>
      <c r="H143" s="988"/>
      <c r="I143" s="2077" t="s">
        <v>2212</v>
      </c>
      <c r="J143" s="985">
        <v>15</v>
      </c>
      <c r="K143" s="990">
        <f>ROUND(100+(J143-J140)*K139*100,1)</f>
        <v>102</v>
      </c>
    </row>
    <row r="144" spans="1:17" ht="15.5">
      <c r="B144" s="984">
        <v>1</v>
      </c>
      <c r="C144" s="985">
        <v>98</v>
      </c>
      <c r="D144" s="2078" t="s">
        <v>2213</v>
      </c>
      <c r="E144" s="986">
        <v>102</v>
      </c>
      <c r="F144" s="992">
        <v>100</v>
      </c>
      <c r="G144" s="2078" t="s">
        <v>2213</v>
      </c>
      <c r="H144" s="988">
        <v>105</v>
      </c>
      <c r="I144" s="2077" t="s">
        <v>2212</v>
      </c>
      <c r="J144" s="985">
        <v>18</v>
      </c>
      <c r="K144" s="990">
        <f>ROUND(100+(J144-J140)*K139*100,1)</f>
        <v>103.2</v>
      </c>
    </row>
    <row r="145" spans="2:11" ht="16" thickBot="1">
      <c r="B145" s="2079" t="s">
        <v>2214</v>
      </c>
      <c r="C145" s="993">
        <f>ROUND(MAX(C139:C144)/MIN(C139:C144)-1,3)</f>
        <v>7.2999999999999995E-2</v>
      </c>
      <c r="D145" s="994"/>
      <c r="E145" s="994"/>
      <c r="F145" s="2080" t="s">
        <v>2215</v>
      </c>
      <c r="G145" s="2081"/>
      <c r="H145" s="2082"/>
      <c r="I145" s="2083" t="s">
        <v>2212</v>
      </c>
      <c r="J145" s="995">
        <v>8</v>
      </c>
      <c r="K145" s="996">
        <f>ROUND(100+(J145-J140)*K139*100,1)</f>
        <v>99.2</v>
      </c>
    </row>
    <row r="147" spans="2:11">
      <c r="B147" s="2064" t="s">
        <v>2216</v>
      </c>
    </row>
    <row r="148" spans="2:11">
      <c r="B148" s="2064"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2A00-000000000000}">
      <formula1>环境</formula1>
    </dataValidation>
    <dataValidation type="list" allowBlank="1" showInputMessage="1" showErrorMessage="1" sqref="E16 G16 I16 C16" xr:uid="{00000000-0002-0000-2A00-000001000000}">
      <formula1>居住社区成熟度</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E20 I20" xr:uid="{00000000-0002-0000-2A00-000003000000}">
      <formula1>公共配套设施</formula1>
    </dataValidation>
    <dataValidation type="list" allowBlank="1" showInputMessage="1" showErrorMessage="1" sqref="E25 G25 I25 C25" xr:uid="{00000000-0002-0000-2A00-000004000000}">
      <formula1>住宅楼层</formula1>
    </dataValidation>
    <dataValidation type="list" allowBlank="1" showInputMessage="1" showErrorMessage="1" sqref="E26 G26 I26 C26" xr:uid="{00000000-0002-0000-2A00-000005000000}">
      <formula1>住宅朝向</formula1>
    </dataValidation>
    <dataValidation type="list" allowBlank="1" showInputMessage="1" showErrorMessage="1" sqref="E32 G32 I32 C32" xr:uid="{00000000-0002-0000-2A00-000006000000}">
      <formula1>住宅建筑类型</formula1>
    </dataValidation>
    <dataValidation type="list" allowBlank="1" showInputMessage="1" showErrorMessage="1" sqref="E34 G34 I34 C34" xr:uid="{00000000-0002-0000-2A00-000007000000}">
      <formula1>住宅建筑结构</formula1>
    </dataValidation>
    <dataValidation type="list" allowBlank="1" showInputMessage="1" showErrorMessage="1" sqref="E35 G35 I35 C35" xr:uid="{00000000-0002-0000-2A00-000008000000}">
      <formula1>住宅建筑品质</formula1>
    </dataValidation>
    <dataValidation type="list" allowBlank="1" showInputMessage="1" showErrorMessage="1" sqref="E36 G36 I36 C36" xr:uid="{00000000-0002-0000-2A00-000009000000}">
      <formula1>住宅公共部分装修</formula1>
    </dataValidation>
    <dataValidation type="list" allowBlank="1" showInputMessage="1" showErrorMessage="1" sqref="E38 G38 I38 C38" xr:uid="{00000000-0002-0000-2A00-00000A000000}">
      <formula1>住宅物业管理</formula1>
    </dataValidation>
    <dataValidation type="list" allowBlank="1" showInputMessage="1" showErrorMessage="1" sqref="E39 G39 I39 C39" xr:uid="{00000000-0002-0000-2A00-00000B000000}">
      <formula1>住宅基础设施水平</formula1>
    </dataValidation>
    <dataValidation type="list" allowBlank="1" showInputMessage="1" showErrorMessage="1" sqref="E40 G40 I40 C40" xr:uid="{00000000-0002-0000-2A00-00000C000000}">
      <formula1>住宅房型</formula1>
    </dataValidation>
    <dataValidation type="list" allowBlank="1" showInputMessage="1" showErrorMessage="1" sqref="E42 G42 I42 C42" xr:uid="{00000000-0002-0000-2A00-00000D000000}">
      <formula1>住宅内部装修</formula1>
    </dataValidation>
    <dataValidation type="list" allowBlank="1" showInputMessage="1" showErrorMessage="1" sqref="E43 G43 I43 C43" xr:uid="{00000000-0002-0000-2A00-00000E000000}">
      <formula1>内部装修维护情况</formula1>
    </dataValidation>
    <dataValidation type="list" allowBlank="1" showInputMessage="1" showErrorMessage="1" sqref="E8 G8 I8 C8" xr:uid="{00000000-0002-0000-2A00-00000F000000}">
      <formula1>住宅交易情况</formula1>
    </dataValidation>
    <dataValidation type="list" allowBlank="1" showInputMessage="1" showErrorMessage="1" sqref="D1" xr:uid="{00000000-0002-0000-2A00-000010000000}">
      <formula1>项目类型</formula1>
    </dataValidation>
    <dataValidation type="list" allowBlank="1" showInputMessage="1" showErrorMessage="1" sqref="C10 E10 G10 I10" xr:uid="{00000000-0002-0000-2A00-000011000000}">
      <formula1>土地年限区间</formula1>
    </dataValidation>
    <dataValidation type="list" allowBlank="1" showInputMessage="1" showErrorMessage="1" sqref="E9 G9 I9" xr:uid="{00000000-0002-0000-2A00-000012000000}">
      <formula1>住宅用途</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 type="list" allowBlank="1" showInputMessage="1" showErrorMessage="1" sqref="C2" xr:uid="{00000000-0002-0000-2A00-000015000000}">
      <formula1>"需扣减承租人权益,——"</formula1>
    </dataValidation>
    <dataValidation type="list" allowBlank="1" showInputMessage="1" showErrorMessage="1" sqref="F2" xr:uid="{00000000-0002-0000-2A00-000016000000}">
      <formula1>估价方法</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1"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13" t="s">
        <v>2218</v>
      </c>
      <c r="C1" s="1358" t="s">
        <v>2106</v>
      </c>
      <c r="D1" s="1345"/>
      <c r="E1" s="2492"/>
      <c r="F1" s="2014"/>
      <c r="G1" s="1355" t="s">
        <v>2219</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1903</v>
      </c>
      <c r="B2" s="1278" t="e">
        <f ca="1">IF(C2="——",ROUND(C49*D3/10000,0),ROUND(C49*D3/10000,0)-D2)</f>
        <v>#DIV/0!</v>
      </c>
      <c r="C2" s="2016"/>
      <c r="D2" s="1227" t="e">
        <f ca="1">SUMIF(INDIRECT("'"&amp;F2&amp;"'"&amp;"!A:A"),"承租人权益价值",INDIRECT("'"&amp;F2&amp;"'"&amp;"!c:c"))</f>
        <v>#REF!</v>
      </c>
      <c r="E2" s="2017" t="s">
        <v>1904</v>
      </c>
      <c r="F2" s="2018"/>
      <c r="G2" s="1019"/>
      <c r="H2" s="1019"/>
      <c r="I2" s="1019"/>
      <c r="J2" s="1019"/>
      <c r="K2" s="1019"/>
      <c r="L2" s="2908"/>
      <c r="M2" s="2909"/>
      <c r="N2" s="2909"/>
      <c r="O2" s="2909"/>
      <c r="P2" s="2087"/>
      <c r="Q2" s="1023"/>
      <c r="R2" s="1023"/>
      <c r="S2" s="1023"/>
      <c r="T2" s="1023"/>
      <c r="U2" s="1023"/>
      <c r="V2" s="1023"/>
      <c r="W2" s="1023"/>
      <c r="X2" s="1023"/>
      <c r="Y2" s="1023"/>
      <c r="Z2" s="1023"/>
      <c r="AA2" s="1023"/>
      <c r="AB2" s="1023"/>
      <c r="AC2" s="2088"/>
    </row>
    <row r="3" spans="1:29" s="358" customFormat="1" ht="28.5" customHeight="1" thickBot="1">
      <c r="A3" s="209" t="s">
        <v>1905</v>
      </c>
      <c r="B3" s="566" t="e">
        <f ca="1">IF(C2="——",C49,ROUND(B2*10000/D3,0))</f>
        <v>#DIV/0!</v>
      </c>
      <c r="C3" s="360" t="s">
        <v>2220</v>
      </c>
      <c r="D3" s="359">
        <f>IF(D1="",'数据-汇总表'!E3,SUMIF('数据-汇总表'!$C19:$C33,D1,'数据-汇总表'!$E19:$E33))</f>
        <v>98604.219999999987</v>
      </c>
      <c r="E3" s="2089"/>
      <c r="F3" s="1020"/>
      <c r="G3" s="1019"/>
      <c r="H3" s="1019"/>
      <c r="I3" s="1019"/>
      <c r="J3" s="1019"/>
      <c r="K3" s="1021"/>
      <c r="L3" s="2908"/>
      <c r="M3" s="2909"/>
      <c r="N3" s="2909"/>
      <c r="O3" s="2909"/>
      <c r="P3" s="2087"/>
      <c r="Q3" s="1023"/>
      <c r="R3" s="1023"/>
      <c r="S3" s="1023"/>
      <c r="T3" s="1023"/>
      <c r="U3" s="1023"/>
      <c r="V3" s="1023"/>
      <c r="W3" s="1023"/>
      <c r="X3" s="1023"/>
      <c r="Y3" s="1023"/>
      <c r="Z3" s="1023"/>
      <c r="AA3" s="1023"/>
      <c r="AB3" s="1023"/>
      <c r="AC3" s="2089"/>
    </row>
    <row r="4" spans="1:29">
      <c r="A4" s="361" t="s">
        <v>2221</v>
      </c>
      <c r="B4" s="362"/>
      <c r="C4" s="3555" t="s">
        <v>2222</v>
      </c>
      <c r="D4" s="3556"/>
      <c r="E4" s="3557" t="s">
        <v>2223</v>
      </c>
      <c r="F4" s="3558"/>
      <c r="G4" s="3555" t="s">
        <v>2224</v>
      </c>
      <c r="H4" s="3556"/>
      <c r="I4" s="3555" t="s">
        <v>2225</v>
      </c>
      <c r="J4" s="3556"/>
      <c r="K4" s="567" t="s">
        <v>2226</v>
      </c>
      <c r="L4" s="2889"/>
      <c r="M4" s="2890"/>
      <c r="N4" s="2890"/>
      <c r="O4" s="2890"/>
      <c r="P4" s="3619" t="s">
        <v>2227</v>
      </c>
      <c r="Q4" s="3620"/>
      <c r="R4" s="3623" t="s">
        <v>2223</v>
      </c>
      <c r="S4" s="3624"/>
      <c r="T4" s="3623" t="s">
        <v>2224</v>
      </c>
      <c r="U4" s="3624"/>
      <c r="V4" s="3572" t="s">
        <v>2225</v>
      </c>
      <c r="W4" s="3572"/>
      <c r="X4" s="1489"/>
      <c r="Y4" s="3623" t="s">
        <v>2227</v>
      </c>
      <c r="Z4" s="3624"/>
      <c r="AA4" s="3618" t="s">
        <v>2223</v>
      </c>
      <c r="AB4" s="3572" t="s">
        <v>2224</v>
      </c>
      <c r="AC4" s="3618" t="s">
        <v>2225</v>
      </c>
    </row>
    <row r="5" spans="1:29">
      <c r="A5" s="364"/>
      <c r="B5" s="365"/>
      <c r="C5" s="3581" t="s">
        <v>2118</v>
      </c>
      <c r="D5" s="3576"/>
      <c r="E5" s="3625" t="s">
        <v>2119</v>
      </c>
      <c r="F5" s="3588"/>
      <c r="G5" s="3581" t="s">
        <v>2120</v>
      </c>
      <c r="H5" s="3576"/>
      <c r="I5" s="3581" t="s">
        <v>2121</v>
      </c>
      <c r="J5" s="3576"/>
      <c r="K5" s="567"/>
      <c r="L5" s="2889"/>
      <c r="M5" s="2890"/>
      <c r="N5" s="2890"/>
      <c r="O5" s="2890"/>
      <c r="P5" s="3621"/>
      <c r="Q5" s="3562"/>
      <c r="R5" s="3567"/>
      <c r="S5" s="3568"/>
      <c r="T5" s="3567"/>
      <c r="U5" s="3568"/>
      <c r="V5" s="3572"/>
      <c r="W5" s="3572"/>
      <c r="X5" s="1489"/>
      <c r="Y5" s="3567"/>
      <c r="Z5" s="3568"/>
      <c r="AA5" s="3585"/>
      <c r="AB5" s="3572"/>
      <c r="AC5" s="3585"/>
    </row>
    <row r="6" spans="1:29" ht="15" thickBot="1">
      <c r="A6" s="366"/>
      <c r="B6" s="367"/>
      <c r="C6" s="3573" t="s">
        <v>2122</v>
      </c>
      <c r="D6" s="3574"/>
      <c r="E6" s="3582" t="s">
        <v>2122</v>
      </c>
      <c r="F6" s="3583"/>
      <c r="G6" s="3573" t="s">
        <v>2122</v>
      </c>
      <c r="H6" s="3574"/>
      <c r="I6" s="3573" t="s">
        <v>2122</v>
      </c>
      <c r="J6" s="3574"/>
      <c r="K6" s="567" t="s">
        <v>2123</v>
      </c>
      <c r="L6" s="2889"/>
      <c r="M6" s="2890"/>
      <c r="N6" s="2890"/>
      <c r="O6" s="2890"/>
      <c r="P6" s="3622"/>
      <c r="Q6" s="3564"/>
      <c r="R6" s="3567"/>
      <c r="S6" s="3568"/>
      <c r="T6" s="3569"/>
      <c r="U6" s="3570"/>
      <c r="V6" s="3572"/>
      <c r="W6" s="3572"/>
      <c r="X6" s="1489"/>
      <c r="Y6" s="3569"/>
      <c r="Z6" s="3570"/>
      <c r="AA6" s="3586"/>
      <c r="AB6" s="3572"/>
      <c r="AC6" s="3586"/>
    </row>
    <row r="7" spans="1:29" s="113" customFormat="1" ht="14.5" thickBot="1">
      <c r="A7" s="368" t="s">
        <v>2124</v>
      </c>
      <c r="B7" s="369"/>
      <c r="C7" s="370">
        <f>'数据-取费表'!B2</f>
        <v>44691</v>
      </c>
      <c r="D7" s="371">
        <v>100</v>
      </c>
      <c r="E7" s="372"/>
      <c r="F7" s="373">
        <f>SUMIF(58:58,YEAR(E7)&amp;"-"&amp;MONTH(E7),59:59)</f>
        <v>0</v>
      </c>
      <c r="G7" s="372"/>
      <c r="H7" s="371">
        <f>SUMIF(58:58,YEAR(G7)&amp;"-"&amp;MONTH(G7),59:59)</f>
        <v>0</v>
      </c>
      <c r="I7" s="372"/>
      <c r="J7" s="371">
        <f>SUMIF(58:58,YEAR(I7)&amp;"-"&amp;MONTH(I7),59:59)</f>
        <v>0</v>
      </c>
      <c r="K7" s="568"/>
      <c r="L7" s="2891"/>
      <c r="M7" s="2892"/>
      <c r="N7" s="2892"/>
      <c r="O7" s="2892"/>
      <c r="P7" s="3579" t="s">
        <v>2125</v>
      </c>
      <c r="Q7" s="3580"/>
      <c r="R7" s="710" t="s">
        <v>17</v>
      </c>
      <c r="S7" s="711">
        <f t="shared" ref="S7:S15" si="0">F7</f>
        <v>0</v>
      </c>
      <c r="T7" s="710" t="s">
        <v>17</v>
      </c>
      <c r="U7" s="711">
        <f t="shared" ref="U7:U15" si="1">H7</f>
        <v>0</v>
      </c>
      <c r="V7" s="710" t="s">
        <v>17</v>
      </c>
      <c r="W7" s="711">
        <f t="shared" ref="W7:W15" si="2">J7</f>
        <v>0</v>
      </c>
      <c r="X7" s="712"/>
      <c r="Y7" s="3579" t="s">
        <v>2125</v>
      </c>
      <c r="Z7" s="3578"/>
      <c r="AA7" s="713" t="e">
        <f>D7/F7</f>
        <v>#DIV/0!</v>
      </c>
      <c r="AB7" s="713" t="e">
        <f>D7/H7</f>
        <v>#DIV/0!</v>
      </c>
      <c r="AC7" s="713" t="e">
        <f>D7/J7</f>
        <v>#DIV/0!</v>
      </c>
    </row>
    <row r="8" spans="1:29" s="113" customFormat="1" ht="14.5" thickBot="1">
      <c r="A8" s="368" t="s">
        <v>2126</v>
      </c>
      <c r="B8" s="369"/>
      <c r="C8" s="374" t="s">
        <v>2228</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579" t="s">
        <v>2128</v>
      </c>
      <c r="Q8" s="3578"/>
      <c r="R8" s="710" t="s">
        <v>17</v>
      </c>
      <c r="S8" s="711">
        <f t="shared" si="0"/>
        <v>0</v>
      </c>
      <c r="T8" s="710" t="s">
        <v>17</v>
      </c>
      <c r="U8" s="711">
        <f t="shared" si="1"/>
        <v>0</v>
      </c>
      <c r="V8" s="710" t="s">
        <v>17</v>
      </c>
      <c r="W8" s="711">
        <f t="shared" si="2"/>
        <v>0</v>
      </c>
      <c r="X8" s="712"/>
      <c r="Y8" s="3579" t="s">
        <v>2128</v>
      </c>
      <c r="Z8" s="3578"/>
      <c r="AA8" s="713" t="e">
        <f t="shared" ref="AA8:AA46" si="3">D8/F8</f>
        <v>#DIV/0!</v>
      </c>
      <c r="AB8" s="713" t="e">
        <f t="shared" ref="AB8:AB46" si="4">D8/H8</f>
        <v>#DIV/0!</v>
      </c>
      <c r="AC8" s="713" t="e">
        <f t="shared" ref="AC8:AC46" si="5">D8/J8</f>
        <v>#DIV/0!</v>
      </c>
    </row>
    <row r="9" spans="1:29" s="113" customFormat="1">
      <c r="A9" s="375" t="s">
        <v>2129</v>
      </c>
      <c r="B9" s="67" t="s">
        <v>2130</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537" t="s">
        <v>2131</v>
      </c>
      <c r="Q9" s="1477" t="str">
        <f t="shared" ref="Q9:Q15" si="6">B9</f>
        <v>用途</v>
      </c>
      <c r="R9" s="710" t="s">
        <v>17</v>
      </c>
      <c r="S9" s="711">
        <f t="shared" si="0"/>
        <v>100</v>
      </c>
      <c r="T9" s="710" t="s">
        <v>17</v>
      </c>
      <c r="U9" s="711">
        <f t="shared" si="1"/>
        <v>100</v>
      </c>
      <c r="V9" s="710" t="s">
        <v>17</v>
      </c>
      <c r="W9" s="711">
        <f t="shared" si="2"/>
        <v>100</v>
      </c>
      <c r="X9" s="712"/>
      <c r="Y9" s="3446" t="s">
        <v>2132</v>
      </c>
      <c r="Z9" s="55" t="str">
        <f t="shared" ref="Z9:Z15" si="7">Q9</f>
        <v>用途</v>
      </c>
      <c r="AA9" s="713">
        <f t="shared" si="3"/>
        <v>1</v>
      </c>
      <c r="AB9" s="713">
        <f t="shared" si="4"/>
        <v>1</v>
      </c>
      <c r="AC9" s="713">
        <f t="shared" si="5"/>
        <v>1</v>
      </c>
    </row>
    <row r="10" spans="1:29" s="386" customFormat="1" ht="28">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537"/>
      <c r="Q10" s="1477" t="str">
        <f t="shared" si="6"/>
        <v>土地使用年限（年）</v>
      </c>
      <c r="R10" s="710" t="s">
        <v>17</v>
      </c>
      <c r="S10" s="711">
        <f t="shared" si="0"/>
        <v>100</v>
      </c>
      <c r="T10" s="710" t="s">
        <v>17</v>
      </c>
      <c r="U10" s="711">
        <f t="shared" si="1"/>
        <v>100</v>
      </c>
      <c r="V10" s="710" t="s">
        <v>17</v>
      </c>
      <c r="W10" s="711">
        <f t="shared" si="2"/>
        <v>100</v>
      </c>
      <c r="X10" s="712"/>
      <c r="Y10" s="3446"/>
      <c r="Z10" s="55" t="str">
        <f t="shared" si="7"/>
        <v>土地使用年限（年）</v>
      </c>
      <c r="AA10" s="713">
        <f t="shared" si="3"/>
        <v>1</v>
      </c>
      <c r="AB10" s="713">
        <f t="shared" si="4"/>
        <v>1</v>
      </c>
      <c r="AC10" s="713">
        <f t="shared" si="5"/>
        <v>1</v>
      </c>
    </row>
    <row r="11" spans="1:29" ht="15.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537"/>
      <c r="Q11" s="1477" t="str">
        <f t="shared" si="6"/>
        <v>容积率</v>
      </c>
      <c r="R11" s="710" t="s">
        <v>17</v>
      </c>
      <c r="S11" s="711" t="e">
        <f t="shared" si="0"/>
        <v>#N/A</v>
      </c>
      <c r="T11" s="710" t="s">
        <v>17</v>
      </c>
      <c r="U11" s="711" t="e">
        <f t="shared" si="1"/>
        <v>#N/A</v>
      </c>
      <c r="V11" s="710" t="s">
        <v>17</v>
      </c>
      <c r="W11" s="711" t="e">
        <f t="shared" si="2"/>
        <v>#N/A</v>
      </c>
      <c r="X11" s="712"/>
      <c r="Y11" s="3446"/>
      <c r="Z11" s="55" t="str">
        <f t="shared" si="7"/>
        <v>容积率</v>
      </c>
      <c r="AA11" s="713" t="e">
        <f t="shared" si="3"/>
        <v>#N/A</v>
      </c>
      <c r="AB11" s="713" t="e">
        <f t="shared" si="4"/>
        <v>#N/A</v>
      </c>
      <c r="AC11" s="713" t="e">
        <f t="shared" si="5"/>
        <v>#N/A</v>
      </c>
    </row>
    <row r="12" spans="1:29" s="113" customFormat="1" ht="15.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37"/>
      <c r="Q12" s="1477">
        <f t="shared" si="6"/>
        <v>111</v>
      </c>
      <c r="R12" s="710" t="s">
        <v>17</v>
      </c>
      <c r="S12" s="711">
        <f t="shared" si="0"/>
        <v>100</v>
      </c>
      <c r="T12" s="710" t="s">
        <v>17</v>
      </c>
      <c r="U12" s="711">
        <f t="shared" si="1"/>
        <v>100</v>
      </c>
      <c r="V12" s="710" t="s">
        <v>17</v>
      </c>
      <c r="W12" s="711">
        <f t="shared" si="2"/>
        <v>100</v>
      </c>
      <c r="X12" s="712"/>
      <c r="Y12" s="3446"/>
      <c r="Z12" s="55">
        <f t="shared" si="7"/>
        <v>111</v>
      </c>
      <c r="AA12" s="713">
        <f>D12/F12</f>
        <v>1</v>
      </c>
      <c r="AB12" s="713">
        <f>D12/H12</f>
        <v>1</v>
      </c>
      <c r="AC12" s="713">
        <f>D12/J12</f>
        <v>1</v>
      </c>
    </row>
    <row r="13" spans="1:29" ht="15.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37"/>
      <c r="Q13" s="1477">
        <f t="shared" si="6"/>
        <v>111</v>
      </c>
      <c r="R13" s="710" t="s">
        <v>17</v>
      </c>
      <c r="S13" s="711">
        <f t="shared" si="0"/>
        <v>100</v>
      </c>
      <c r="T13" s="710" t="s">
        <v>17</v>
      </c>
      <c r="U13" s="711">
        <f t="shared" si="1"/>
        <v>100</v>
      </c>
      <c r="V13" s="710" t="s">
        <v>17</v>
      </c>
      <c r="W13" s="711">
        <f t="shared" si="2"/>
        <v>100</v>
      </c>
      <c r="X13" s="712"/>
      <c r="Y13" s="3446"/>
      <c r="Z13" s="55">
        <f t="shared" si="7"/>
        <v>111</v>
      </c>
      <c r="AA13" s="713">
        <f t="shared" si="3"/>
        <v>1</v>
      </c>
      <c r="AB13" s="713">
        <f t="shared" si="4"/>
        <v>1</v>
      </c>
      <c r="AC13" s="713">
        <f t="shared" si="5"/>
        <v>1</v>
      </c>
    </row>
    <row r="14" spans="1:29" ht="16"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37"/>
      <c r="Q14" s="1477">
        <f t="shared" si="6"/>
        <v>111</v>
      </c>
      <c r="R14" s="710" t="s">
        <v>17</v>
      </c>
      <c r="S14" s="711">
        <f t="shared" si="0"/>
        <v>100</v>
      </c>
      <c r="T14" s="710" t="s">
        <v>17</v>
      </c>
      <c r="U14" s="711">
        <f t="shared" si="1"/>
        <v>100</v>
      </c>
      <c r="V14" s="710" t="s">
        <v>17</v>
      </c>
      <c r="W14" s="711">
        <f t="shared" si="2"/>
        <v>100</v>
      </c>
      <c r="X14" s="712"/>
      <c r="Y14" s="3446"/>
      <c r="Z14" s="55">
        <f t="shared" si="7"/>
        <v>111</v>
      </c>
      <c r="AA14" s="713">
        <f t="shared" si="3"/>
        <v>1</v>
      </c>
      <c r="AB14" s="713">
        <f t="shared" si="4"/>
        <v>1</v>
      </c>
      <c r="AC14" s="713">
        <f t="shared" si="5"/>
        <v>1</v>
      </c>
    </row>
    <row r="15" spans="1:29" ht="70">
      <c r="A15" s="399" t="s">
        <v>2135</v>
      </c>
      <c r="B15" s="65" t="s">
        <v>2229</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43" t="s">
        <v>2136</v>
      </c>
      <c r="Q15" s="1486" t="str">
        <f t="shared" si="6"/>
        <v>商业繁华度</v>
      </c>
      <c r="R15" s="714" t="s">
        <v>17</v>
      </c>
      <c r="S15" s="715">
        <f t="shared" si="0"/>
        <v>100</v>
      </c>
      <c r="T15" s="714" t="s">
        <v>17</v>
      </c>
      <c r="U15" s="715">
        <f t="shared" si="1"/>
        <v>100</v>
      </c>
      <c r="V15" s="714" t="s">
        <v>17</v>
      </c>
      <c r="W15" s="715">
        <f t="shared" si="2"/>
        <v>100</v>
      </c>
      <c r="X15" s="1489"/>
      <c r="Y15" s="3545" t="s">
        <v>2136</v>
      </c>
      <c r="Z15" s="1490" t="str">
        <f t="shared" si="7"/>
        <v>商业繁华度</v>
      </c>
      <c r="AA15" s="1487">
        <f t="shared" si="3"/>
        <v>1</v>
      </c>
      <c r="AB15" s="1487">
        <f t="shared" si="4"/>
        <v>1</v>
      </c>
      <c r="AC15" s="1487">
        <f t="shared" si="5"/>
        <v>1</v>
      </c>
    </row>
    <row r="16" spans="1:29" ht="15.5">
      <c r="A16" s="387"/>
      <c r="B16" s="405"/>
      <c r="C16" s="406"/>
      <c r="D16" s="407"/>
      <c r="E16" s="406"/>
      <c r="F16" s="408"/>
      <c r="G16" s="406"/>
      <c r="H16" s="409"/>
      <c r="I16" s="406"/>
      <c r="J16" s="407"/>
      <c r="K16" s="572"/>
      <c r="L16" s="2896"/>
      <c r="M16" s="2890"/>
      <c r="N16" s="2890"/>
      <c r="O16" s="2890"/>
      <c r="P16" s="3544"/>
      <c r="Q16" s="1486"/>
      <c r="R16" s="714"/>
      <c r="S16" s="715"/>
      <c r="T16" s="714"/>
      <c r="U16" s="715"/>
      <c r="V16" s="714"/>
      <c r="W16" s="715"/>
      <c r="X16" s="1489"/>
      <c r="Y16" s="3546"/>
      <c r="Z16" s="1490"/>
      <c r="AA16" s="1487">
        <v>1</v>
      </c>
      <c r="AB16" s="1487">
        <v>1</v>
      </c>
      <c r="AC16" s="1487">
        <v>1</v>
      </c>
    </row>
    <row r="17" spans="1:29" ht="84">
      <c r="A17" s="387"/>
      <c r="B17" s="410" t="s">
        <v>1700</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44"/>
      <c r="Q17" s="1486" t="str">
        <f>B17</f>
        <v>交通便捷度</v>
      </c>
      <c r="R17" s="714" t="s">
        <v>17</v>
      </c>
      <c r="S17" s="715">
        <f>F17</f>
        <v>100</v>
      </c>
      <c r="T17" s="714" t="s">
        <v>17</v>
      </c>
      <c r="U17" s="715">
        <f>H17</f>
        <v>100</v>
      </c>
      <c r="V17" s="714" t="s">
        <v>17</v>
      </c>
      <c r="W17" s="715">
        <f>J17</f>
        <v>100</v>
      </c>
      <c r="X17" s="1489"/>
      <c r="Y17" s="3546"/>
      <c r="Z17" s="1490" t="str">
        <f>Q17</f>
        <v>交通便捷度</v>
      </c>
      <c r="AA17" s="1487">
        <f t="shared" si="3"/>
        <v>1</v>
      </c>
      <c r="AB17" s="1487">
        <f t="shared" si="4"/>
        <v>1</v>
      </c>
      <c r="AC17" s="1487">
        <f t="shared" si="5"/>
        <v>1</v>
      </c>
    </row>
    <row r="18" spans="1:29" ht="15.5">
      <c r="A18" s="387"/>
      <c r="B18" s="415"/>
      <c r="C18" s="2036"/>
      <c r="D18" s="409"/>
      <c r="E18" s="2038"/>
      <c r="F18" s="412"/>
      <c r="G18" s="2037"/>
      <c r="H18" s="407"/>
      <c r="I18" s="2038"/>
      <c r="J18" s="407"/>
      <c r="K18" s="572"/>
      <c r="L18" s="2896"/>
      <c r="M18" s="2890"/>
      <c r="N18" s="2890"/>
      <c r="O18" s="2890"/>
      <c r="P18" s="3544"/>
      <c r="Q18" s="1486"/>
      <c r="R18" s="714"/>
      <c r="S18" s="715"/>
      <c r="T18" s="714"/>
      <c r="U18" s="715"/>
      <c r="V18" s="714"/>
      <c r="W18" s="715"/>
      <c r="X18" s="1489"/>
      <c r="Y18" s="3546"/>
      <c r="Z18" s="1490"/>
      <c r="AA18" s="1487">
        <v>1</v>
      </c>
      <c r="AB18" s="1487">
        <v>1</v>
      </c>
      <c r="AC18" s="1487">
        <v>1</v>
      </c>
    </row>
    <row r="19" spans="1:29" ht="42">
      <c r="A19" s="387"/>
      <c r="B19" s="410" t="s">
        <v>2230</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44"/>
      <c r="Q19" s="1486" t="str">
        <f>B19</f>
        <v>公共配套设施</v>
      </c>
      <c r="R19" s="714" t="s">
        <v>17</v>
      </c>
      <c r="S19" s="715">
        <f>F19</f>
        <v>100</v>
      </c>
      <c r="T19" s="714" t="s">
        <v>17</v>
      </c>
      <c r="U19" s="715">
        <f>H19</f>
        <v>100</v>
      </c>
      <c r="V19" s="714" t="s">
        <v>17</v>
      </c>
      <c r="W19" s="715">
        <f>J19</f>
        <v>100</v>
      </c>
      <c r="X19" s="1489"/>
      <c r="Y19" s="3546"/>
      <c r="Z19" s="1490" t="str">
        <f>Q19</f>
        <v>公共配套设施</v>
      </c>
      <c r="AA19" s="1487">
        <f t="shared" si="3"/>
        <v>1</v>
      </c>
      <c r="AB19" s="1487">
        <f t="shared" si="4"/>
        <v>1</v>
      </c>
      <c r="AC19" s="1487">
        <f t="shared" si="5"/>
        <v>1</v>
      </c>
    </row>
    <row r="20" spans="1:29" ht="15.5">
      <c r="A20" s="387"/>
      <c r="B20" s="415"/>
      <c r="C20" s="406"/>
      <c r="D20" s="407"/>
      <c r="E20" s="2033"/>
      <c r="F20" s="408"/>
      <c r="G20" s="2032"/>
      <c r="H20" s="407"/>
      <c r="I20" s="2033"/>
      <c r="J20" s="407"/>
      <c r="K20" s="572"/>
      <c r="L20" s="2896"/>
      <c r="M20" s="2890"/>
      <c r="N20" s="2890"/>
      <c r="O20" s="2890"/>
      <c r="P20" s="3544"/>
      <c r="Q20" s="1486"/>
      <c r="R20" s="714"/>
      <c r="S20" s="715"/>
      <c r="T20" s="714"/>
      <c r="U20" s="715"/>
      <c r="V20" s="714"/>
      <c r="W20" s="715"/>
      <c r="X20" s="1489"/>
      <c r="Y20" s="3546"/>
      <c r="Z20" s="1490"/>
      <c r="AA20" s="1487">
        <v>1</v>
      </c>
      <c r="AB20" s="1487">
        <v>1</v>
      </c>
      <c r="AC20" s="1487">
        <v>1</v>
      </c>
    </row>
    <row r="21" spans="1:29" ht="28">
      <c r="A21" s="387"/>
      <c r="B21" s="1245" t="s">
        <v>2231</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44"/>
      <c r="Q21" s="1486" t="str">
        <f>B21</f>
        <v>基础设施水平</v>
      </c>
      <c r="R21" s="714" t="s">
        <v>17</v>
      </c>
      <c r="S21" s="715">
        <f>F21</f>
        <v>100</v>
      </c>
      <c r="T21" s="714" t="s">
        <v>17</v>
      </c>
      <c r="U21" s="715">
        <f>H21</f>
        <v>100</v>
      </c>
      <c r="V21" s="714" t="s">
        <v>17</v>
      </c>
      <c r="W21" s="715">
        <f>J21</f>
        <v>100</v>
      </c>
      <c r="X21" s="1489"/>
      <c r="Y21" s="3546"/>
      <c r="Z21" s="1490" t="str">
        <f>Q21</f>
        <v>基础设施水平</v>
      </c>
      <c r="AA21" s="1487">
        <f t="shared" ref="AA21" si="8">D21/F21</f>
        <v>1</v>
      </c>
      <c r="AB21" s="1487">
        <f t="shared" ref="AB21" si="9">D21/H21</f>
        <v>1</v>
      </c>
      <c r="AC21" s="1487">
        <f t="shared" ref="AC21" si="10">D21/J21</f>
        <v>1</v>
      </c>
    </row>
    <row r="22" spans="1:29" ht="15.5">
      <c r="A22" s="387"/>
      <c r="B22" s="1245"/>
      <c r="C22" s="2036"/>
      <c r="D22" s="407"/>
      <c r="E22" s="406"/>
      <c r="F22" s="408"/>
      <c r="G22" s="406"/>
      <c r="H22" s="407"/>
      <c r="I22" s="406"/>
      <c r="J22" s="407"/>
      <c r="K22" s="1244"/>
      <c r="L22" s="2896"/>
      <c r="M22" s="2890"/>
      <c r="N22" s="2890"/>
      <c r="O22" s="2890"/>
      <c r="P22" s="3544"/>
      <c r="Q22" s="1486"/>
      <c r="R22" s="714"/>
      <c r="S22" s="715"/>
      <c r="T22" s="714"/>
      <c r="U22" s="715"/>
      <c r="V22" s="714"/>
      <c r="W22" s="715"/>
      <c r="X22" s="1489"/>
      <c r="Y22" s="3546"/>
      <c r="Z22" s="1490"/>
      <c r="AA22" s="1487">
        <v>1</v>
      </c>
      <c r="AB22" s="1487">
        <v>1</v>
      </c>
      <c r="AC22" s="1487">
        <v>1</v>
      </c>
    </row>
    <row r="23" spans="1:29" ht="56">
      <c r="A23" s="387"/>
      <c r="B23" s="410" t="s">
        <v>1702</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44"/>
      <c r="Q23" s="1486" t="str">
        <f>B23</f>
        <v>自然及人文环境</v>
      </c>
      <c r="R23" s="714" t="s">
        <v>17</v>
      </c>
      <c r="S23" s="715">
        <f>F23</f>
        <v>100</v>
      </c>
      <c r="T23" s="714" t="s">
        <v>17</v>
      </c>
      <c r="U23" s="715">
        <f>H23</f>
        <v>100</v>
      </c>
      <c r="V23" s="714" t="s">
        <v>17</v>
      </c>
      <c r="W23" s="715">
        <f>J23</f>
        <v>100</v>
      </c>
      <c r="X23" s="1489"/>
      <c r="Y23" s="3546"/>
      <c r="Z23" s="1490" t="str">
        <f>Q23</f>
        <v>自然及人文环境</v>
      </c>
      <c r="AA23" s="1487">
        <f t="shared" si="3"/>
        <v>1</v>
      </c>
      <c r="AB23" s="1487">
        <f t="shared" si="4"/>
        <v>1</v>
      </c>
      <c r="AC23" s="1487">
        <f t="shared" si="5"/>
        <v>1</v>
      </c>
    </row>
    <row r="24" spans="1:29" ht="15.5">
      <c r="A24" s="387"/>
      <c r="B24" s="415"/>
      <c r="C24" s="406"/>
      <c r="D24" s="407"/>
      <c r="E24" s="2033"/>
      <c r="F24" s="408"/>
      <c r="G24" s="2032"/>
      <c r="H24" s="407"/>
      <c r="I24" s="2033"/>
      <c r="J24" s="407"/>
      <c r="K24" s="572"/>
      <c r="L24" s="2896"/>
      <c r="M24" s="2890"/>
      <c r="N24" s="2890"/>
      <c r="O24" s="2890"/>
      <c r="P24" s="3544"/>
      <c r="Q24" s="1486"/>
      <c r="R24" s="714"/>
      <c r="S24" s="715"/>
      <c r="T24" s="714"/>
      <c r="U24" s="715"/>
      <c r="V24" s="714"/>
      <c r="W24" s="715"/>
      <c r="X24" s="1489"/>
      <c r="Y24" s="3546"/>
      <c r="Z24" s="1490"/>
      <c r="AA24" s="1487">
        <v>1</v>
      </c>
      <c r="AB24" s="1487">
        <v>1</v>
      </c>
      <c r="AC24" s="1487">
        <v>1</v>
      </c>
    </row>
    <row r="25" spans="1:29" ht="15.5">
      <c r="A25" s="387"/>
      <c r="B25" s="381" t="s">
        <v>2232</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44"/>
      <c r="Q25" s="1486" t="str">
        <f t="shared" ref="Q25:Q46" si="11">B25</f>
        <v>临街状况</v>
      </c>
      <c r="R25" s="714" t="s">
        <v>17</v>
      </c>
      <c r="S25" s="715">
        <f>F25</f>
        <v>100</v>
      </c>
      <c r="T25" s="714" t="s">
        <v>17</v>
      </c>
      <c r="U25" s="715">
        <f>H25</f>
        <v>100</v>
      </c>
      <c r="V25" s="714" t="s">
        <v>17</v>
      </c>
      <c r="W25" s="715">
        <f>J25</f>
        <v>100</v>
      </c>
      <c r="X25" s="1489"/>
      <c r="Y25" s="3546"/>
      <c r="Z25" s="1490" t="str">
        <f>Q25</f>
        <v>临街状况</v>
      </c>
      <c r="AA25" s="1487">
        <f t="shared" si="3"/>
        <v>1</v>
      </c>
      <c r="AB25" s="1487">
        <f t="shared" si="4"/>
        <v>1</v>
      </c>
      <c r="AC25" s="1487">
        <f t="shared" si="5"/>
        <v>1</v>
      </c>
    </row>
    <row r="26" spans="1:29" ht="15.5">
      <c r="A26" s="387"/>
      <c r="B26" s="1247" t="s">
        <v>2233</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44"/>
      <c r="Q26" s="1486" t="str">
        <f t="shared" si="11"/>
        <v>平面位置/可视性</v>
      </c>
      <c r="R26" s="714" t="s">
        <v>17</v>
      </c>
      <c r="S26" s="715">
        <f>F26</f>
        <v>100</v>
      </c>
      <c r="T26" s="714" t="s">
        <v>17</v>
      </c>
      <c r="U26" s="715">
        <f>H26</f>
        <v>100</v>
      </c>
      <c r="V26" s="714" t="s">
        <v>17</v>
      </c>
      <c r="W26" s="715">
        <f>J26</f>
        <v>100</v>
      </c>
      <c r="X26" s="1489"/>
      <c r="Y26" s="3546"/>
      <c r="Z26" s="1490" t="str">
        <f>Q26</f>
        <v>平面位置/可视性</v>
      </c>
      <c r="AA26" s="1487">
        <f t="shared" si="3"/>
        <v>1</v>
      </c>
      <c r="AB26" s="1487">
        <f t="shared" si="4"/>
        <v>1</v>
      </c>
      <c r="AC26" s="1487">
        <f t="shared" si="5"/>
        <v>1</v>
      </c>
    </row>
    <row r="27" spans="1:29" s="113" customFormat="1" ht="15.5">
      <c r="A27" s="390"/>
      <c r="B27" s="410" t="s">
        <v>2234</v>
      </c>
      <c r="C27" s="2091"/>
      <c r="D27" s="421">
        <v>100</v>
      </c>
      <c r="E27" s="2091"/>
      <c r="F27" s="423">
        <f>SUMIF(90:90,E27,91:91)-SUMIF(90:90,C27,91:91)+100</f>
        <v>100</v>
      </c>
      <c r="G27" s="2091"/>
      <c r="H27" s="421">
        <f>SUMIF(90:90,G27,91:91)-SUMIF(90:90,C27,91:91)+100</f>
        <v>100</v>
      </c>
      <c r="I27" s="2091"/>
      <c r="J27" s="421">
        <f>SUMIF(90:90,I27,91:91)-SUMIF(90:90,C27,91:91)+100</f>
        <v>100</v>
      </c>
      <c r="K27" s="569"/>
      <c r="L27" s="2891"/>
      <c r="M27" s="2892"/>
      <c r="N27" s="2892"/>
      <c r="O27" s="2892"/>
      <c r="P27" s="3544"/>
      <c r="Q27" s="1477" t="str">
        <f t="shared" si="11"/>
        <v>人流量</v>
      </c>
      <c r="R27" s="710" t="s">
        <v>17</v>
      </c>
      <c r="S27" s="711">
        <f>F27</f>
        <v>100</v>
      </c>
      <c r="T27" s="710" t="s">
        <v>17</v>
      </c>
      <c r="U27" s="711">
        <f>H27</f>
        <v>100</v>
      </c>
      <c r="V27" s="710" t="s">
        <v>17</v>
      </c>
      <c r="W27" s="711">
        <f>J27</f>
        <v>100</v>
      </c>
      <c r="X27" s="712"/>
      <c r="Y27" s="3546"/>
      <c r="Z27" s="55" t="str">
        <f>Q27</f>
        <v>人流量</v>
      </c>
      <c r="AA27" s="1487">
        <f>D27/F27</f>
        <v>1</v>
      </c>
      <c r="AB27" s="1487">
        <f>D27/H27</f>
        <v>1</v>
      </c>
      <c r="AC27" s="1487">
        <f>D27/J27</f>
        <v>1</v>
      </c>
    </row>
    <row r="28" spans="1:29" ht="15.5">
      <c r="A28" s="387"/>
      <c r="B28" s="381" t="s">
        <v>2235</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44"/>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46"/>
      <c r="Z28" s="1490" t="str">
        <f t="shared" ref="Z28:Z46" si="15">Q28</f>
        <v>楼层</v>
      </c>
      <c r="AA28" s="1487">
        <f t="shared" si="3"/>
        <v>1</v>
      </c>
      <c r="AB28" s="1487">
        <f t="shared" si="4"/>
        <v>1</v>
      </c>
      <c r="AC28" s="1487">
        <f t="shared" si="5"/>
        <v>1</v>
      </c>
    </row>
    <row r="29" spans="1:29" ht="15.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44"/>
      <c r="Q29" s="1486">
        <f t="shared" si="11"/>
        <v>111</v>
      </c>
      <c r="R29" s="714" t="s">
        <v>17</v>
      </c>
      <c r="S29" s="715">
        <f t="shared" si="12"/>
        <v>100</v>
      </c>
      <c r="T29" s="714" t="s">
        <v>17</v>
      </c>
      <c r="U29" s="715">
        <f t="shared" si="13"/>
        <v>100</v>
      </c>
      <c r="V29" s="714" t="s">
        <v>17</v>
      </c>
      <c r="W29" s="715">
        <f t="shared" si="14"/>
        <v>100</v>
      </c>
      <c r="X29" s="1489"/>
      <c r="Y29" s="3546"/>
      <c r="Z29" s="1490">
        <f t="shared" si="15"/>
        <v>111</v>
      </c>
      <c r="AA29" s="1487">
        <f t="shared" si="3"/>
        <v>1</v>
      </c>
      <c r="AB29" s="1487">
        <f t="shared" si="4"/>
        <v>1</v>
      </c>
      <c r="AC29" s="1487">
        <f t="shared" si="5"/>
        <v>1</v>
      </c>
    </row>
    <row r="30" spans="1:29" ht="15.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44"/>
      <c r="Q30" s="1486">
        <f t="shared" si="11"/>
        <v>111</v>
      </c>
      <c r="R30" s="714" t="s">
        <v>17</v>
      </c>
      <c r="S30" s="715">
        <f t="shared" si="12"/>
        <v>100</v>
      </c>
      <c r="T30" s="714" t="s">
        <v>17</v>
      </c>
      <c r="U30" s="715">
        <f t="shared" si="13"/>
        <v>100</v>
      </c>
      <c r="V30" s="714" t="s">
        <v>17</v>
      </c>
      <c r="W30" s="715">
        <f t="shared" si="14"/>
        <v>100</v>
      </c>
      <c r="X30" s="1489"/>
      <c r="Y30" s="3546"/>
      <c r="Z30" s="1490">
        <f t="shared" si="15"/>
        <v>111</v>
      </c>
      <c r="AA30" s="1487">
        <f t="shared" si="3"/>
        <v>1</v>
      </c>
      <c r="AB30" s="1487">
        <f t="shared" si="4"/>
        <v>1</v>
      </c>
      <c r="AC30" s="1487">
        <f t="shared" si="5"/>
        <v>1</v>
      </c>
    </row>
    <row r="31" spans="1:29" ht="16"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44"/>
      <c r="Q31" s="1486">
        <f t="shared" si="11"/>
        <v>111</v>
      </c>
      <c r="R31" s="714" t="s">
        <v>17</v>
      </c>
      <c r="S31" s="715">
        <f t="shared" si="12"/>
        <v>100</v>
      </c>
      <c r="T31" s="714" t="s">
        <v>17</v>
      </c>
      <c r="U31" s="715">
        <f t="shared" si="13"/>
        <v>100</v>
      </c>
      <c r="V31" s="714" t="s">
        <v>17</v>
      </c>
      <c r="W31" s="715">
        <f t="shared" si="14"/>
        <v>100</v>
      </c>
      <c r="X31" s="1489"/>
      <c r="Y31" s="3546"/>
      <c r="Z31" s="1490">
        <f t="shared" si="15"/>
        <v>111</v>
      </c>
      <c r="AA31" s="1487">
        <f t="shared" si="3"/>
        <v>1</v>
      </c>
      <c r="AB31" s="1487">
        <f t="shared" si="4"/>
        <v>1</v>
      </c>
      <c r="AC31" s="1487">
        <f t="shared" si="5"/>
        <v>1</v>
      </c>
    </row>
    <row r="32" spans="1:29" ht="15.5">
      <c r="A32" s="399" t="s">
        <v>2139</v>
      </c>
      <c r="B32" s="67" t="s">
        <v>2236</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6"/>
      <c r="M32" s="2890"/>
      <c r="N32" s="2890"/>
      <c r="O32" s="2890"/>
      <c r="P32" s="3547" t="s">
        <v>2141</v>
      </c>
      <c r="Q32" s="1486" t="str">
        <f t="shared" si="11"/>
        <v>商业类型</v>
      </c>
      <c r="R32" s="714" t="s">
        <v>17</v>
      </c>
      <c r="S32" s="715">
        <f t="shared" si="12"/>
        <v>100</v>
      </c>
      <c r="T32" s="714" t="s">
        <v>17</v>
      </c>
      <c r="U32" s="715">
        <f t="shared" si="13"/>
        <v>100</v>
      </c>
      <c r="V32" s="714" t="s">
        <v>17</v>
      </c>
      <c r="W32" s="715">
        <f t="shared" si="14"/>
        <v>100</v>
      </c>
      <c r="X32" s="1489"/>
      <c r="Y32" s="3550" t="s">
        <v>2141</v>
      </c>
      <c r="Z32" s="1490" t="str">
        <f t="shared" si="15"/>
        <v>商业类型</v>
      </c>
      <c r="AA32" s="1487">
        <f t="shared" si="3"/>
        <v>1</v>
      </c>
      <c r="AB32" s="1487">
        <f t="shared" si="4"/>
        <v>1</v>
      </c>
      <c r="AC32" s="1487">
        <f t="shared" si="5"/>
        <v>1</v>
      </c>
    </row>
    <row r="33" spans="1:29" s="430" customFormat="1" ht="15.5">
      <c r="A33" s="427"/>
      <c r="B33" s="381" t="s">
        <v>2142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48"/>
      <c r="Q33" s="716" t="str">
        <f t="shared" si="11"/>
        <v>项目建筑规模</v>
      </c>
      <c r="R33" s="717" t="s">
        <v>17</v>
      </c>
      <c r="S33" s="718" t="e">
        <f t="shared" si="12"/>
        <v>#N/A</v>
      </c>
      <c r="T33" s="717" t="s">
        <v>17</v>
      </c>
      <c r="U33" s="718" t="e">
        <f t="shared" si="13"/>
        <v>#N/A</v>
      </c>
      <c r="V33" s="717" t="s">
        <v>17</v>
      </c>
      <c r="W33" s="718" t="e">
        <f t="shared" si="14"/>
        <v>#N/A</v>
      </c>
      <c r="X33" s="719"/>
      <c r="Y33" s="3550"/>
      <c r="Z33" s="720" t="str">
        <f t="shared" si="15"/>
        <v>项目建筑规模</v>
      </c>
      <c r="AA33" s="1487" t="e">
        <f t="shared" si="3"/>
        <v>#N/A</v>
      </c>
      <c r="AB33" s="1487" t="e">
        <f t="shared" si="4"/>
        <v>#N/A</v>
      </c>
      <c r="AC33" s="1487" t="e">
        <f t="shared" si="5"/>
        <v>#N/A</v>
      </c>
    </row>
    <row r="34" spans="1:29" ht="15.5">
      <c r="A34" s="431"/>
      <c r="B34" s="381" t="s">
        <v>2143</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6"/>
      <c r="M34" s="2890"/>
      <c r="N34" s="2890"/>
      <c r="O34" s="2890"/>
      <c r="P34" s="3548"/>
      <c r="Q34" s="1486" t="str">
        <f t="shared" si="11"/>
        <v>建筑结构</v>
      </c>
      <c r="R34" s="714" t="s">
        <v>17</v>
      </c>
      <c r="S34" s="715">
        <f t="shared" si="12"/>
        <v>100</v>
      </c>
      <c r="T34" s="714" t="s">
        <v>17</v>
      </c>
      <c r="U34" s="715">
        <f t="shared" si="13"/>
        <v>100</v>
      </c>
      <c r="V34" s="714" t="s">
        <v>17</v>
      </c>
      <c r="W34" s="715">
        <f t="shared" si="14"/>
        <v>100</v>
      </c>
      <c r="X34" s="1489"/>
      <c r="Y34" s="3550"/>
      <c r="Z34" s="1490" t="str">
        <f t="shared" si="15"/>
        <v>建筑结构</v>
      </c>
      <c r="AA34" s="1487">
        <f t="shared" si="3"/>
        <v>1</v>
      </c>
      <c r="AB34" s="1487">
        <f t="shared" si="4"/>
        <v>1</v>
      </c>
      <c r="AC34" s="1487">
        <f t="shared" si="5"/>
        <v>1</v>
      </c>
    </row>
    <row r="35" spans="1:29" ht="15.5">
      <c r="A35" s="431"/>
      <c r="B35" s="381" t="s">
        <v>2237</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6"/>
      <c r="M35" s="2890"/>
      <c r="N35" s="2890"/>
      <c r="O35" s="2890"/>
      <c r="P35" s="3548"/>
      <c r="Q35" s="1486" t="str">
        <f t="shared" si="11"/>
        <v>公共部分装修</v>
      </c>
      <c r="R35" s="714" t="s">
        <v>17</v>
      </c>
      <c r="S35" s="715">
        <f t="shared" si="12"/>
        <v>100</v>
      </c>
      <c r="T35" s="714" t="s">
        <v>17</v>
      </c>
      <c r="U35" s="715">
        <f t="shared" si="13"/>
        <v>100</v>
      </c>
      <c r="V35" s="714" t="s">
        <v>17</v>
      </c>
      <c r="W35" s="715">
        <f t="shared" si="14"/>
        <v>100</v>
      </c>
      <c r="X35" s="1489"/>
      <c r="Y35" s="3550"/>
      <c r="Z35" s="1490" t="str">
        <f t="shared" si="15"/>
        <v>公共部分装修</v>
      </c>
      <c r="AA35" s="1487">
        <f t="shared" si="3"/>
        <v>1</v>
      </c>
      <c r="AB35" s="1487">
        <f t="shared" si="4"/>
        <v>1</v>
      </c>
      <c r="AC35" s="1487">
        <f t="shared" si="5"/>
        <v>1</v>
      </c>
    </row>
    <row r="36" spans="1:29" ht="15.5">
      <c r="A36" s="431"/>
      <c r="B36" s="381" t="s">
        <v>2238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48"/>
      <c r="Q36" s="1486" t="str">
        <f t="shared" si="11"/>
        <v>成新度</v>
      </c>
      <c r="R36" s="714" t="s">
        <v>17</v>
      </c>
      <c r="S36" s="715" t="e">
        <f t="shared" si="12"/>
        <v>#N/A</v>
      </c>
      <c r="T36" s="714" t="s">
        <v>17</v>
      </c>
      <c r="U36" s="715" t="e">
        <f t="shared" si="13"/>
        <v>#N/A</v>
      </c>
      <c r="V36" s="714" t="s">
        <v>17</v>
      </c>
      <c r="W36" s="715" t="e">
        <f t="shared" si="14"/>
        <v>#N/A</v>
      </c>
      <c r="X36" s="1489"/>
      <c r="Y36" s="3550"/>
      <c r="Z36" s="1490" t="str">
        <f t="shared" si="15"/>
        <v>成新度</v>
      </c>
      <c r="AA36" s="1487" t="e">
        <f t="shared" si="3"/>
        <v>#N/A</v>
      </c>
      <c r="AB36" s="1487" t="e">
        <f t="shared" si="4"/>
        <v>#N/A</v>
      </c>
      <c r="AC36" s="1487" t="e">
        <f t="shared" si="5"/>
        <v>#N/A</v>
      </c>
    </row>
    <row r="37" spans="1:29" s="113" customFormat="1" ht="15.5">
      <c r="A37" s="432"/>
      <c r="B37" s="381" t="s">
        <v>2239</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1"/>
      <c r="M37" s="2892"/>
      <c r="N37" s="2892"/>
      <c r="O37" s="2892"/>
      <c r="P37" s="3548"/>
      <c r="Q37" s="1477" t="str">
        <f t="shared" si="11"/>
        <v>市政基础设施</v>
      </c>
      <c r="R37" s="710" t="s">
        <v>17</v>
      </c>
      <c r="S37" s="711">
        <f t="shared" si="12"/>
        <v>100</v>
      </c>
      <c r="T37" s="710" t="s">
        <v>17</v>
      </c>
      <c r="U37" s="711">
        <f t="shared" si="13"/>
        <v>100</v>
      </c>
      <c r="V37" s="710" t="s">
        <v>17</v>
      </c>
      <c r="W37" s="711">
        <f t="shared" si="14"/>
        <v>100</v>
      </c>
      <c r="X37" s="712"/>
      <c r="Y37" s="3550"/>
      <c r="Z37" s="55" t="str">
        <f t="shared" si="15"/>
        <v>市政基础设施</v>
      </c>
      <c r="AA37" s="713">
        <f t="shared" si="3"/>
        <v>1</v>
      </c>
      <c r="AB37" s="713">
        <f t="shared" si="4"/>
        <v>1</v>
      </c>
      <c r="AC37" s="713">
        <f t="shared" si="5"/>
        <v>1</v>
      </c>
    </row>
    <row r="38" spans="1:29" ht="15.5">
      <c r="A38" s="431"/>
      <c r="B38" s="381" t="s">
        <v>2240</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6"/>
      <c r="M38" s="2890"/>
      <c r="N38" s="2890"/>
      <c r="O38" s="2890"/>
      <c r="P38" s="3548" t="s">
        <v>2141</v>
      </c>
      <c r="Q38" s="1486" t="str">
        <f t="shared" si="11"/>
        <v>业态</v>
      </c>
      <c r="R38" s="714" t="s">
        <v>17</v>
      </c>
      <c r="S38" s="715">
        <f t="shared" si="12"/>
        <v>100</v>
      </c>
      <c r="T38" s="714" t="s">
        <v>17</v>
      </c>
      <c r="U38" s="715">
        <f t="shared" si="13"/>
        <v>100</v>
      </c>
      <c r="V38" s="714" t="s">
        <v>17</v>
      </c>
      <c r="W38" s="715">
        <f t="shared" si="14"/>
        <v>100</v>
      </c>
      <c r="X38" s="1489"/>
      <c r="Y38" s="3550" t="s">
        <v>2141</v>
      </c>
      <c r="Z38" s="1490" t="str">
        <f t="shared" si="15"/>
        <v>业态</v>
      </c>
      <c r="AA38" s="1487">
        <f t="shared" si="3"/>
        <v>1</v>
      </c>
      <c r="AB38" s="1487">
        <f t="shared" si="4"/>
        <v>1</v>
      </c>
      <c r="AC38" s="1487">
        <f t="shared" si="5"/>
        <v>1</v>
      </c>
    </row>
    <row r="39" spans="1:29" ht="15.5">
      <c r="A39" s="431"/>
      <c r="B39" s="381" t="s">
        <v>2241</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6"/>
      <c r="M39" s="2890"/>
      <c r="N39" s="2890"/>
      <c r="O39" s="2890"/>
      <c r="P39" s="3548"/>
      <c r="Q39" s="1486" t="str">
        <f t="shared" si="11"/>
        <v>层高</v>
      </c>
      <c r="R39" s="714" t="s">
        <v>17</v>
      </c>
      <c r="S39" s="715">
        <f t="shared" si="12"/>
        <v>100</v>
      </c>
      <c r="T39" s="714" t="s">
        <v>17</v>
      </c>
      <c r="U39" s="715">
        <f t="shared" si="13"/>
        <v>100</v>
      </c>
      <c r="V39" s="714" t="s">
        <v>17</v>
      </c>
      <c r="W39" s="715">
        <f t="shared" si="14"/>
        <v>100</v>
      </c>
      <c r="X39" s="1489"/>
      <c r="Y39" s="3550"/>
      <c r="Z39" s="1490" t="str">
        <f t="shared" si="15"/>
        <v>层高</v>
      </c>
      <c r="AA39" s="1487">
        <f t="shared" si="3"/>
        <v>1</v>
      </c>
      <c r="AB39" s="1487">
        <f t="shared" si="4"/>
        <v>1</v>
      </c>
      <c r="AC39" s="1487">
        <f t="shared" si="5"/>
        <v>1</v>
      </c>
    </row>
    <row r="40" spans="1:29" ht="15.5">
      <c r="A40" s="431"/>
      <c r="B40" s="381" t="s">
        <v>2242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48"/>
      <c r="Q40" s="1486" t="str">
        <f t="shared" si="11"/>
        <v>单套建筑面积</v>
      </c>
      <c r="R40" s="714" t="s">
        <v>17</v>
      </c>
      <c r="S40" s="715">
        <f t="shared" si="12"/>
        <v>100</v>
      </c>
      <c r="T40" s="714" t="s">
        <v>17</v>
      </c>
      <c r="U40" s="715">
        <f t="shared" si="13"/>
        <v>100</v>
      </c>
      <c r="V40" s="714" t="s">
        <v>17</v>
      </c>
      <c r="W40" s="715">
        <f t="shared" si="14"/>
        <v>100</v>
      </c>
      <c r="X40" s="1489"/>
      <c r="Y40" s="3550"/>
      <c r="Z40" s="1490" t="str">
        <f t="shared" si="15"/>
        <v>单套建筑面积</v>
      </c>
      <c r="AA40" s="1487">
        <f t="shared" si="3"/>
        <v>1</v>
      </c>
      <c r="AB40" s="1487">
        <f t="shared" si="4"/>
        <v>1</v>
      </c>
      <c r="AC40" s="1487">
        <f t="shared" si="5"/>
        <v>1</v>
      </c>
    </row>
    <row r="41" spans="1:29" s="430" customFormat="1" ht="15.5">
      <c r="A41" s="427"/>
      <c r="B41" s="1488" t="s">
        <v>2243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48"/>
      <c r="Q41" s="716" t="str">
        <f t="shared" si="11"/>
        <v>进深比</v>
      </c>
      <c r="R41" s="717" t="s">
        <v>17</v>
      </c>
      <c r="S41" s="718">
        <f t="shared" si="12"/>
        <v>100</v>
      </c>
      <c r="T41" s="717" t="s">
        <v>17</v>
      </c>
      <c r="U41" s="718">
        <f t="shared" si="13"/>
        <v>100</v>
      </c>
      <c r="V41" s="717" t="s">
        <v>17</v>
      </c>
      <c r="W41" s="718">
        <f t="shared" si="14"/>
        <v>100</v>
      </c>
      <c r="X41" s="719"/>
      <c r="Y41" s="3550"/>
      <c r="Z41" s="720" t="str">
        <f t="shared" si="15"/>
        <v>进深比</v>
      </c>
      <c r="AA41" s="1487">
        <f t="shared" si="3"/>
        <v>1</v>
      </c>
      <c r="AB41" s="1487">
        <f t="shared" si="4"/>
        <v>1</v>
      </c>
      <c r="AC41" s="1487">
        <f t="shared" si="5"/>
        <v>1</v>
      </c>
    </row>
    <row r="42" spans="1:29" ht="15.5">
      <c r="A42" s="431"/>
      <c r="B42" s="381" t="s">
        <v>2244</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6"/>
      <c r="M42" s="2890"/>
      <c r="N42" s="2890"/>
      <c r="O42" s="2890"/>
      <c r="P42" s="3548"/>
      <c r="Q42" s="1486" t="str">
        <f t="shared" si="11"/>
        <v>内部装修</v>
      </c>
      <c r="R42" s="714" t="s">
        <v>17</v>
      </c>
      <c r="S42" s="715">
        <f t="shared" si="12"/>
        <v>100</v>
      </c>
      <c r="T42" s="714" t="s">
        <v>17</v>
      </c>
      <c r="U42" s="715">
        <f t="shared" si="13"/>
        <v>100</v>
      </c>
      <c r="V42" s="714" t="s">
        <v>17</v>
      </c>
      <c r="W42" s="715">
        <f t="shared" si="14"/>
        <v>100</v>
      </c>
      <c r="X42" s="1489"/>
      <c r="Y42" s="3550"/>
      <c r="Z42" s="1490" t="str">
        <f t="shared" si="15"/>
        <v>内部装修</v>
      </c>
      <c r="AA42" s="1487">
        <f t="shared" si="3"/>
        <v>1</v>
      </c>
      <c r="AB42" s="1487">
        <f t="shared" si="4"/>
        <v>1</v>
      </c>
      <c r="AC42" s="1487">
        <f t="shared" si="5"/>
        <v>1</v>
      </c>
    </row>
    <row r="43" spans="1:29" ht="28">
      <c r="A43" s="431"/>
      <c r="B43" s="381" t="s">
        <v>2152</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6"/>
      <c r="M43" s="2890"/>
      <c r="N43" s="2890"/>
      <c r="O43" s="2890"/>
      <c r="P43" s="3548"/>
      <c r="Q43" s="1486" t="str">
        <f t="shared" si="11"/>
        <v>内部装修维护情况</v>
      </c>
      <c r="R43" s="714" t="s">
        <v>17</v>
      </c>
      <c r="S43" s="715">
        <f t="shared" si="12"/>
        <v>100</v>
      </c>
      <c r="T43" s="714" t="s">
        <v>17</v>
      </c>
      <c r="U43" s="715">
        <f t="shared" si="13"/>
        <v>100</v>
      </c>
      <c r="V43" s="714" t="s">
        <v>17</v>
      </c>
      <c r="W43" s="715">
        <f t="shared" si="14"/>
        <v>100</v>
      </c>
      <c r="X43" s="1489"/>
      <c r="Y43" s="3550"/>
      <c r="Z43" s="1490" t="str">
        <f t="shared" si="15"/>
        <v>内部装修维护情况</v>
      </c>
      <c r="AA43" s="1487">
        <f t="shared" si="3"/>
        <v>1</v>
      </c>
      <c r="AB43" s="1487">
        <f t="shared" si="4"/>
        <v>1</v>
      </c>
      <c r="AC43" s="1487">
        <f t="shared" si="5"/>
        <v>1</v>
      </c>
    </row>
    <row r="44" spans="1:29" s="113" customFormat="1" ht="15.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48"/>
      <c r="Q44" s="1477">
        <f t="shared" si="11"/>
        <v>111</v>
      </c>
      <c r="R44" s="710" t="s">
        <v>17</v>
      </c>
      <c r="S44" s="711">
        <f t="shared" si="12"/>
        <v>100</v>
      </c>
      <c r="T44" s="710" t="s">
        <v>17</v>
      </c>
      <c r="U44" s="711">
        <f t="shared" si="13"/>
        <v>100</v>
      </c>
      <c r="V44" s="710" t="s">
        <v>17</v>
      </c>
      <c r="W44" s="711">
        <f t="shared" si="14"/>
        <v>100</v>
      </c>
      <c r="X44" s="712"/>
      <c r="Y44" s="3550"/>
      <c r="Z44" s="55">
        <f t="shared" si="15"/>
        <v>111</v>
      </c>
      <c r="AA44" s="713">
        <f t="shared" si="3"/>
        <v>1</v>
      </c>
      <c r="AB44" s="713">
        <f t="shared" si="4"/>
        <v>1</v>
      </c>
      <c r="AC44" s="713">
        <f t="shared" si="5"/>
        <v>1</v>
      </c>
    </row>
    <row r="45" spans="1:29" ht="15.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48"/>
      <c r="Q45" s="1486">
        <f t="shared" si="11"/>
        <v>111</v>
      </c>
      <c r="R45" s="714" t="s">
        <v>17</v>
      </c>
      <c r="S45" s="715">
        <f t="shared" si="12"/>
        <v>100</v>
      </c>
      <c r="T45" s="714" t="s">
        <v>17</v>
      </c>
      <c r="U45" s="715">
        <f t="shared" si="13"/>
        <v>100</v>
      </c>
      <c r="V45" s="714" t="s">
        <v>17</v>
      </c>
      <c r="W45" s="715">
        <f t="shared" si="14"/>
        <v>100</v>
      </c>
      <c r="X45" s="1489"/>
      <c r="Y45" s="3550"/>
      <c r="Z45" s="1490">
        <f t="shared" si="15"/>
        <v>111</v>
      </c>
      <c r="AA45" s="1487">
        <f t="shared" si="3"/>
        <v>1</v>
      </c>
      <c r="AB45" s="1487">
        <f t="shared" si="4"/>
        <v>1</v>
      </c>
      <c r="AC45" s="1487">
        <f t="shared" si="5"/>
        <v>1</v>
      </c>
    </row>
    <row r="46" spans="1:29" ht="16"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49"/>
      <c r="Q46" s="1486">
        <f t="shared" si="11"/>
        <v>111</v>
      </c>
      <c r="R46" s="714" t="s">
        <v>17</v>
      </c>
      <c r="S46" s="715">
        <f t="shared" si="12"/>
        <v>100</v>
      </c>
      <c r="T46" s="714" t="s">
        <v>17</v>
      </c>
      <c r="U46" s="715">
        <f t="shared" si="13"/>
        <v>100</v>
      </c>
      <c r="V46" s="714" t="s">
        <v>17</v>
      </c>
      <c r="W46" s="715">
        <f t="shared" si="14"/>
        <v>100</v>
      </c>
      <c r="X46" s="1489"/>
      <c r="Y46" s="3551"/>
      <c r="Z46" s="1490">
        <f t="shared" si="15"/>
        <v>111</v>
      </c>
      <c r="AA46" s="1487">
        <f t="shared" si="3"/>
        <v>1</v>
      </c>
      <c r="AB46" s="1487">
        <f t="shared" si="4"/>
        <v>1</v>
      </c>
      <c r="AC46" s="1487">
        <f t="shared" si="5"/>
        <v>1</v>
      </c>
    </row>
    <row r="47" spans="1:29">
      <c r="A47" s="438" t="s">
        <v>2153</v>
      </c>
      <c r="B47" s="439"/>
      <c r="C47" s="1268" t="s">
        <v>1</v>
      </c>
      <c r="D47" s="1269"/>
      <c r="E47" s="1270"/>
      <c r="F47" s="1271"/>
      <c r="G47" s="1272"/>
      <c r="H47" s="1273"/>
      <c r="I47" s="1270"/>
      <c r="J47" s="1273"/>
      <c r="K47" s="723"/>
      <c r="L47" s="2898"/>
      <c r="M47" s="2899"/>
      <c r="N47" s="2890"/>
      <c r="O47" s="2899"/>
      <c r="P47" s="3538" t="str">
        <f>A47</f>
        <v>成交单价（元/平方米）</v>
      </c>
      <c r="Q47" s="3538"/>
      <c r="R47" s="3572">
        <f>E47</f>
        <v>0</v>
      </c>
      <c r="S47" s="3572"/>
      <c r="T47" s="3572">
        <f>G47</f>
        <v>0</v>
      </c>
      <c r="U47" s="3572"/>
      <c r="V47" s="3572">
        <f>I47</f>
        <v>0</v>
      </c>
      <c r="W47" s="3572"/>
      <c r="X47" s="699"/>
      <c r="Y47" s="721"/>
      <c r="Z47" s="699"/>
      <c r="AA47" s="699"/>
      <c r="AB47" s="699"/>
      <c r="AC47" s="699"/>
    </row>
    <row r="48" spans="1:29" ht="14.5" thickBot="1">
      <c r="A48" s="445" t="s">
        <v>2245</v>
      </c>
      <c r="B48" s="446"/>
      <c r="C48" s="1274" t="e">
        <f>R49</f>
        <v>#DIV/0!</v>
      </c>
      <c r="D48" s="2487" t="s">
        <v>2635</v>
      </c>
      <c r="E48" s="1275" t="e">
        <f>R48</f>
        <v>#DIV/0!</v>
      </c>
      <c r="F48" s="2488"/>
      <c r="G48" s="1274" t="e">
        <f>T48</f>
        <v>#DIV/0!</v>
      </c>
      <c r="H48" s="2488"/>
      <c r="I48" s="1275" t="e">
        <f>V48</f>
        <v>#DIV/0!</v>
      </c>
      <c r="J48" s="2488"/>
      <c r="K48" s="2490">
        <f>F48+H48+J48</f>
        <v>0</v>
      </c>
      <c r="L48" s="2898"/>
      <c r="M48" s="2899"/>
      <c r="N48" s="2890"/>
      <c r="O48" s="2899"/>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4.5" thickBot="1">
      <c r="A49" s="449" t="s">
        <v>2246</v>
      </c>
      <c r="B49" s="450"/>
      <c r="C49" s="1277" t="e">
        <f>R49</f>
        <v>#DIV/0!</v>
      </c>
      <c r="D49" s="1277"/>
      <c r="E49" s="1277"/>
      <c r="F49" s="1277"/>
      <c r="G49" s="1277"/>
      <c r="H49" s="1277"/>
      <c r="I49" s="1277"/>
      <c r="J49" s="1277"/>
      <c r="K49" s="724"/>
      <c r="L49" s="2898"/>
      <c r="M49" s="2899"/>
      <c r="N49" s="2890"/>
      <c r="O49" s="2899"/>
      <c r="P49" s="3615" t="str">
        <f>A49</f>
        <v>估价对象XX用房的比较价值（楼面单价，元/平方米）</v>
      </c>
      <c r="Q49" s="3616"/>
      <c r="R49" s="3617" t="e">
        <f>IF(F1="售价",ROUND(IF(D48="简单平均",AVERAGE(R48:V48),R48*F48+T48*H48+V48*J48),0),ROUND(IF(D48="简单平均",AVERAGE(R48:V48),R48*F48+T48*H48+V48*J48),1))</f>
        <v>#DIV/0!</v>
      </c>
      <c r="S49" s="3617"/>
      <c r="T49" s="3617"/>
      <c r="U49" s="3617"/>
      <c r="V49" s="3617"/>
      <c r="W49" s="3617"/>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2247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2248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2249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5" thickBot="1">
      <c r="A57" s="703" t="s">
        <v>2250</v>
      </c>
      <c r="B57" s="699"/>
      <c r="C57" s="704"/>
      <c r="D57" s="704"/>
      <c r="E57" s="704"/>
      <c r="F57" s="705"/>
      <c r="G57" s="705"/>
      <c r="H57" s="704"/>
      <c r="I57" s="704"/>
      <c r="J57" s="704"/>
      <c r="K57" s="706"/>
      <c r="L57" s="1053"/>
      <c r="M57" s="1051"/>
      <c r="N57" s="1051"/>
      <c r="O57" s="1051"/>
      <c r="P57" s="2912"/>
      <c r="Q57" s="2913"/>
      <c r="R57" s="2899"/>
      <c r="S57" s="2899"/>
      <c r="T57" s="2899"/>
      <c r="U57" s="2899"/>
      <c r="V57" s="2899"/>
      <c r="W57" s="2899"/>
      <c r="X57" s="2899"/>
      <c r="Y57" s="2899"/>
      <c r="Z57" s="2899"/>
      <c r="AA57" s="2899"/>
      <c r="AB57" s="2899"/>
      <c r="AC57" s="2899"/>
    </row>
    <row r="58" spans="1:29" s="465" customFormat="1">
      <c r="A58" s="462" t="s">
        <v>2124</v>
      </c>
      <c r="B58" s="463"/>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4"/>
      <c r="Q58" s="2915"/>
      <c r="R58" s="2915"/>
      <c r="S58" s="2915"/>
      <c r="T58" s="2915"/>
      <c r="U58" s="2915"/>
      <c r="V58" s="2915"/>
      <c r="W58" s="2915"/>
      <c r="X58" s="2915"/>
      <c r="Y58" s="2915"/>
      <c r="Z58" s="2915"/>
      <c r="AA58" s="2915"/>
      <c r="AB58" s="2915"/>
      <c r="AC58" s="2915"/>
    </row>
    <row r="59" spans="1:29" s="113" customFormat="1">
      <c r="A59" s="466"/>
      <c r="B59" s="467"/>
      <c r="C59" s="1297">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4.5" thickBot="1">
      <c r="A60" s="472" t="s">
        <v>2161</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c r="A61" s="478" t="s">
        <v>2126</v>
      </c>
      <c r="B61" s="467"/>
      <c r="C61" s="479" t="s">
        <v>2228</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4.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2164</v>
      </c>
      <c r="B63" s="485" t="s">
        <v>2130</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4.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8.5" thickTop="1">
      <c r="A65" s="491"/>
      <c r="B65" s="495" t="s">
        <v>2133</v>
      </c>
      <c r="C65" s="496" t="s">
        <v>2165</v>
      </c>
      <c r="D65" s="496" t="s">
        <v>2166</v>
      </c>
      <c r="E65" s="496" t="s">
        <v>2167</v>
      </c>
      <c r="F65" s="496" t="s">
        <v>2168</v>
      </c>
      <c r="G65" s="496" t="s">
        <v>2169</v>
      </c>
      <c r="H65" s="496" t="s">
        <v>2170</v>
      </c>
      <c r="I65" s="496" t="s">
        <v>2171</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4.5" thickTop="1">
      <c r="A67" s="491"/>
      <c r="B67" s="503" t="s">
        <v>2134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4.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4.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4.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4.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4.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4.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2135</v>
      </c>
      <c r="B76" s="485" t="s">
        <v>2172</v>
      </c>
      <c r="C76" s="530" t="s">
        <v>2173</v>
      </c>
      <c r="D76" s="530" t="s">
        <v>2174</v>
      </c>
      <c r="E76" s="530" t="s">
        <v>2175</v>
      </c>
      <c r="F76" s="530" t="s">
        <v>2176</v>
      </c>
      <c r="G76" s="530" t="s">
        <v>2177</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4.5" thickTop="1">
      <c r="A78" s="491"/>
      <c r="B78" s="495" t="s">
        <v>2178</v>
      </c>
      <c r="C78" s="535" t="s">
        <v>2173</v>
      </c>
      <c r="D78" s="535" t="s">
        <v>2174</v>
      </c>
      <c r="E78" s="535" t="s">
        <v>2175</v>
      </c>
      <c r="F78" s="535" t="s">
        <v>2176</v>
      </c>
      <c r="G78" s="535" t="s">
        <v>2177</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4.5" thickTop="1">
      <c r="A80" s="491"/>
      <c r="B80" s="495" t="s">
        <v>2179</v>
      </c>
      <c r="C80" s="535" t="s">
        <v>2173</v>
      </c>
      <c r="D80" s="535" t="s">
        <v>2174</v>
      </c>
      <c r="E80" s="535" t="s">
        <v>2175</v>
      </c>
      <c r="F80" s="535" t="s">
        <v>2176</v>
      </c>
      <c r="G80" s="535" t="s">
        <v>2177</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4.5" thickTop="1">
      <c r="A82" s="491"/>
      <c r="B82" s="503" t="s">
        <v>2231</v>
      </c>
      <c r="C82" s="616" t="s">
        <v>2251</v>
      </c>
      <c r="D82" s="616" t="s">
        <v>2252</v>
      </c>
      <c r="E82" s="616" t="s">
        <v>2253</v>
      </c>
      <c r="F82" s="616" t="s">
        <v>2254</v>
      </c>
      <c r="G82" s="616" t="s">
        <v>2255</v>
      </c>
      <c r="H82" s="496"/>
      <c r="I82" s="496"/>
      <c r="J82" s="496"/>
      <c r="K82" s="496"/>
      <c r="L82" s="496"/>
      <c r="M82" s="1243"/>
      <c r="N82" s="2928"/>
      <c r="O82" s="2928"/>
      <c r="P82" s="2918"/>
      <c r="Q82" s="2913"/>
      <c r="R82" s="2899"/>
      <c r="S82" s="2899"/>
      <c r="T82" s="2899"/>
      <c r="U82" s="2899"/>
      <c r="V82" s="2899"/>
      <c r="W82" s="2899"/>
      <c r="X82" s="2899"/>
      <c r="Y82" s="2899"/>
      <c r="Z82" s="2899"/>
      <c r="AA82" s="2899"/>
      <c r="AB82" s="2899"/>
      <c r="AC82" s="2899"/>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4.5" thickTop="1">
      <c r="A84" s="491"/>
      <c r="B84" s="495" t="s">
        <v>2185</v>
      </c>
      <c r="C84" s="535" t="s">
        <v>2173</v>
      </c>
      <c r="D84" s="535" t="s">
        <v>2174</v>
      </c>
      <c r="E84" s="535" t="s">
        <v>2175</v>
      </c>
      <c r="F84" s="535" t="s">
        <v>2176</v>
      </c>
      <c r="G84" s="535" t="s">
        <v>2177</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4.5" thickTop="1">
      <c r="A86" s="536"/>
      <c r="B86" s="495" t="s">
        <v>2256</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4.5" thickTop="1">
      <c r="A88" s="536"/>
      <c r="B88" s="495" t="str">
        <f>B26</f>
        <v>平面位置/可视性</v>
      </c>
      <c r="C88" s="511"/>
      <c r="D88" s="511"/>
      <c r="E88" s="511"/>
      <c r="F88" s="2062"/>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4.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4.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4.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4.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4.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4.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4.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4.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4.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4.5" thickBot="1">
      <c r="A99" s="2063"/>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2139</v>
      </c>
      <c r="B100" s="485" t="s">
        <v>2257</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4.5" thickTop="1">
      <c r="A102" s="491"/>
      <c r="B102" s="495" t="s">
        <v>2189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4.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4.5" thickTop="1">
      <c r="A105" s="556"/>
      <c r="B105" s="495" t="s">
        <v>2190</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4.5" thickTop="1">
      <c r="A107" s="556"/>
      <c r="B107" s="495" t="s">
        <v>2192</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4.5" thickTop="1">
      <c r="A109" s="556"/>
      <c r="B109" s="495" t="s">
        <v>1631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4.5" thickTop="1">
      <c r="A112" s="550"/>
      <c r="B112" s="495" t="s">
        <v>2194</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4.5" thickTop="1">
      <c r="A114" s="556"/>
      <c r="B114" s="495" t="s">
        <v>2258</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4.5" thickTop="1">
      <c r="A116" s="556"/>
      <c r="B116" s="495" t="s">
        <v>2259</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4.5" thickTop="1">
      <c r="A118" s="556"/>
      <c r="B118" s="495" t="s">
        <v>2260</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4.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4.5" thickTop="1">
      <c r="A120" s="550"/>
      <c r="B120" s="495" t="s">
        <v>2261</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4.5" thickTop="1">
      <c r="A122" s="556"/>
      <c r="B122" s="495" t="s">
        <v>2196</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28.5" thickTop="1">
      <c r="A124" s="556"/>
      <c r="B124" s="495" t="s">
        <v>2197</v>
      </c>
      <c r="C124" s="535" t="s">
        <v>2173</v>
      </c>
      <c r="D124" s="535" t="s">
        <v>2174</v>
      </c>
      <c r="E124" s="535" t="s">
        <v>2175</v>
      </c>
      <c r="F124" s="535" t="s">
        <v>2176</v>
      </c>
      <c r="G124" s="535" t="s">
        <v>2177</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4.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4.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4.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4.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4.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4.5" thickBot="1">
      <c r="A131" s="2063"/>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43 E43 G43 I43" xr:uid="{00000000-0002-0000-2B00-000002000000}">
      <formula1>内部装修维护情况</formula1>
    </dataValidation>
    <dataValidation type="list" allowBlank="1" showInputMessage="1" showErrorMessage="1" sqref="E20 I20 G20 C20" xr:uid="{00000000-0002-0000-2B00-000003000000}">
      <formula1>公共配套设施</formula1>
    </dataValidation>
    <dataValidation type="list" allowBlank="1" showInputMessage="1" showErrorMessage="1" sqref="E18 G18 I18 C18" xr:uid="{00000000-0002-0000-2B00-000004000000}">
      <formula1>交通便捷度</formula1>
    </dataValidation>
    <dataValidation type="list" allowBlank="1" showInputMessage="1" showErrorMessage="1" sqref="E24 G24 I24 C24" xr:uid="{00000000-0002-0000-2B00-000005000000}">
      <formula1>环境</formula1>
    </dataValidation>
    <dataValidation type="list" allowBlank="1" showInputMessage="1" showErrorMessage="1" sqref="C25 E25 G25 I25" xr:uid="{00000000-0002-0000-2B00-000006000000}">
      <formula1>商业临街状况</formula1>
    </dataValidation>
    <dataValidation type="list" allowBlank="1" showInputMessage="1" showErrorMessage="1" sqref="C27 E27 G27 I27" xr:uid="{00000000-0002-0000-2B00-000007000000}">
      <formula1>商业人流量</formula1>
    </dataValidation>
    <dataValidation type="list" allowBlank="1" showInputMessage="1" showErrorMessage="1" sqref="C28 E28 G28 I28" xr:uid="{00000000-0002-0000-2B00-000008000000}">
      <formula1>商业楼层</formula1>
    </dataValidation>
    <dataValidation type="list" allowBlank="1" showInputMessage="1" showErrorMessage="1" sqref="C32 E32 G32 I32" xr:uid="{00000000-0002-0000-2B00-000009000000}">
      <formula1>商业类型</formula1>
    </dataValidation>
    <dataValidation type="list" allowBlank="1" showInputMessage="1" showErrorMessage="1" sqref="C34 E34 G34 I34" xr:uid="{00000000-0002-0000-2B00-00000A000000}">
      <formula1>商业建筑结构</formula1>
    </dataValidation>
    <dataValidation type="list" allowBlank="1" showInputMessage="1" showErrorMessage="1" sqref="C35 E35 G35 I35" xr:uid="{00000000-0002-0000-2B00-00000B000000}">
      <formula1>商业公共部分装修</formula1>
    </dataValidation>
    <dataValidation type="list" allowBlank="1" showInputMessage="1" showErrorMessage="1" sqref="C37 E37 G37 I37" xr:uid="{00000000-0002-0000-2B00-00000C000000}">
      <formula1>商业基础设施水平</formula1>
    </dataValidation>
    <dataValidation type="list" allowBlank="1" showInputMessage="1" showErrorMessage="1" sqref="C41 E41 G41 I41" xr:uid="{00000000-0002-0000-2B00-00000D000000}">
      <formula1>商业进深比</formula1>
    </dataValidation>
    <dataValidation type="list" allowBlank="1" showInputMessage="1" showErrorMessage="1" sqref="C42 E42 G42 I42" xr:uid="{00000000-0002-0000-2B00-00000E000000}">
      <formula1>商业内部装修</formula1>
    </dataValidation>
    <dataValidation type="list" allowBlank="1" showInputMessage="1" showErrorMessage="1" sqref="E9 G9 I9" xr:uid="{00000000-0002-0000-2B00-00000F000000}">
      <formula1>商业用途</formula1>
    </dataValidation>
    <dataValidation type="list" allowBlank="1" showInputMessage="1" showErrorMessage="1" sqref="C38 E38 G38 I38" xr:uid="{00000000-0002-0000-2B00-000010000000}">
      <formula1>商业业态</formula1>
    </dataValidation>
    <dataValidation type="list" allowBlank="1" showInputMessage="1" showErrorMessage="1" sqref="C39 E39 G39 I39" xr:uid="{00000000-0002-0000-2B00-000011000000}">
      <formula1>商业层高</formula1>
    </dataValidation>
    <dataValidation type="list" allowBlank="1" showInputMessage="1" showErrorMessage="1" sqref="C8 E8 G8 I8" xr:uid="{00000000-0002-0000-2B00-000012000000}">
      <formula1>商业交易情况</formula1>
    </dataValidation>
    <dataValidation type="list" allowBlank="1" showInputMessage="1" showErrorMessage="1" sqref="C16 E16 G16 I16" xr:uid="{00000000-0002-0000-2B00-000013000000}">
      <formula1>商业繁华度</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C2" xr:uid="{00000000-0002-0000-2B00-000016000000}">
      <formula1>"需扣减承租人权益,——"</formula1>
    </dataValidation>
    <dataValidation type="list" allowBlank="1" showInputMessage="1" showErrorMessage="1" sqref="F2" xr:uid="{00000000-0002-0000-2B00-000017000000}">
      <formula1>估价方法</formula1>
    </dataValidation>
    <dataValidation type="list" allowBlank="1" showInputMessage="1" showErrorMessage="1" sqref="D48" xr:uid="{00000000-0002-0000-2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2104</v>
      </c>
      <c r="B1" s="2092" t="s">
        <v>2278</v>
      </c>
      <c r="C1" s="1344" t="s">
        <v>2106</v>
      </c>
      <c r="D1" s="1345"/>
      <c r="E1" s="1354"/>
      <c r="F1" s="2014"/>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t="e">
        <f ca="1">IF(C2="——",ROUND(C43*D3/10000,0),ROUND(C43*D3/10000,0)-D2)</f>
        <v>#DIV/0!</v>
      </c>
      <c r="C2" s="2016"/>
      <c r="D2" s="1018" t="e">
        <f ca="1">SUMIF(INDIRECT("'"&amp;F2&amp;"'"&amp;"!A:A"),"承租人权益价值",INDIRECT("'"&amp;F2&amp;"'"&amp;"!c:c"))</f>
        <v>#REF!</v>
      </c>
      <c r="E2" s="2017" t="s">
        <v>1904</v>
      </c>
      <c r="F2" s="2018"/>
      <c r="G2" s="1019"/>
      <c r="H2" s="1019"/>
      <c r="I2" s="1019"/>
      <c r="J2" s="1019"/>
      <c r="K2" s="1019"/>
      <c r="L2" s="1022"/>
      <c r="M2" s="1023"/>
      <c r="N2" s="1023"/>
      <c r="O2" s="1023"/>
      <c r="P2" s="708"/>
      <c r="Q2" s="708"/>
      <c r="R2" s="708"/>
      <c r="S2" s="708"/>
      <c r="T2" s="708"/>
      <c r="U2" s="708"/>
      <c r="V2" s="708"/>
      <c r="W2" s="708"/>
      <c r="X2" s="708"/>
      <c r="Y2" s="708"/>
      <c r="Z2" s="708"/>
      <c r="AA2" s="708"/>
      <c r="AB2" s="708"/>
      <c r="AC2" s="722"/>
    </row>
    <row r="3" spans="1:29" s="358" customFormat="1" ht="28.5" customHeight="1" thickBot="1">
      <c r="A3" s="209" t="s">
        <v>1905</v>
      </c>
      <c r="B3" s="566" t="e">
        <f ca="1">IF(C2="——",C43,ROUND(B2*10000/D3,0))</f>
        <v>#DIV/0!</v>
      </c>
      <c r="C3" s="360" t="s">
        <v>2220</v>
      </c>
      <c r="D3" s="359">
        <f>IF(D1="",'数据-汇总表'!E3,SUMIF('数据-汇总表'!$C19:$C33,D1,'数据-汇总表'!$E19:$E33))</f>
        <v>98604.219999999987</v>
      </c>
      <c r="E3" s="1019"/>
      <c r="F3" s="1020"/>
      <c r="G3" s="1019"/>
      <c r="H3" s="1019"/>
      <c r="I3" s="1019"/>
      <c r="J3" s="1019"/>
      <c r="K3" s="1021"/>
      <c r="L3" s="1022"/>
      <c r="M3" s="1023"/>
      <c r="N3" s="1023"/>
      <c r="O3" s="1023"/>
      <c r="P3" s="708"/>
      <c r="Q3" s="708"/>
      <c r="R3" s="708"/>
      <c r="S3" s="708"/>
      <c r="T3" s="708"/>
      <c r="U3" s="708"/>
      <c r="V3" s="708"/>
      <c r="W3" s="708"/>
      <c r="X3" s="708"/>
      <c r="Y3" s="708"/>
      <c r="Z3" s="708"/>
      <c r="AA3" s="708"/>
      <c r="AB3" s="725"/>
      <c r="AC3" s="722"/>
    </row>
    <row r="4" spans="1:29">
      <c r="A4" s="361" t="s">
        <v>2221</v>
      </c>
      <c r="B4" s="362"/>
      <c r="C4" s="3555" t="s">
        <v>2222</v>
      </c>
      <c r="D4" s="3556"/>
      <c r="E4" s="3557" t="s">
        <v>2223</v>
      </c>
      <c r="F4" s="3558"/>
      <c r="G4" s="3555" t="s">
        <v>2224</v>
      </c>
      <c r="H4" s="3556"/>
      <c r="I4" s="3555" t="s">
        <v>2225</v>
      </c>
      <c r="J4" s="3556"/>
      <c r="K4" s="567" t="s">
        <v>2226</v>
      </c>
      <c r="L4" s="1024"/>
      <c r="M4" s="1025"/>
      <c r="N4" s="1025"/>
      <c r="O4" s="1025"/>
      <c r="P4" s="3619" t="s">
        <v>2227</v>
      </c>
      <c r="Q4" s="3620"/>
      <c r="R4" s="3623" t="s">
        <v>2223</v>
      </c>
      <c r="S4" s="3624"/>
      <c r="T4" s="3623" t="s">
        <v>2224</v>
      </c>
      <c r="U4" s="3624"/>
      <c r="V4" s="3572" t="s">
        <v>2225</v>
      </c>
      <c r="W4" s="3572"/>
      <c r="X4" s="1489"/>
      <c r="Y4" s="3623" t="s">
        <v>2227</v>
      </c>
      <c r="Z4" s="3624"/>
      <c r="AA4" s="3618" t="s">
        <v>2223</v>
      </c>
      <c r="AB4" s="3585" t="s">
        <v>2224</v>
      </c>
      <c r="AC4" s="3618" t="s">
        <v>2225</v>
      </c>
    </row>
    <row r="5" spans="1:29">
      <c r="A5" s="364"/>
      <c r="B5" s="365"/>
      <c r="C5" s="3581" t="s">
        <v>2118</v>
      </c>
      <c r="D5" s="3576"/>
      <c r="E5" s="3625" t="s">
        <v>2119</v>
      </c>
      <c r="F5" s="3588"/>
      <c r="G5" s="3581" t="s">
        <v>2120</v>
      </c>
      <c r="H5" s="3576"/>
      <c r="I5" s="3581" t="s">
        <v>2121</v>
      </c>
      <c r="J5" s="3576"/>
      <c r="K5" s="567"/>
      <c r="L5" s="1024"/>
      <c r="M5" s="1025"/>
      <c r="N5" s="1025"/>
      <c r="O5" s="1025"/>
      <c r="P5" s="3621"/>
      <c r="Q5" s="3562"/>
      <c r="R5" s="3567"/>
      <c r="S5" s="3568"/>
      <c r="T5" s="3567"/>
      <c r="U5" s="3568"/>
      <c r="V5" s="3572"/>
      <c r="W5" s="3572"/>
      <c r="X5" s="1489"/>
      <c r="Y5" s="3567"/>
      <c r="Z5" s="3568"/>
      <c r="AA5" s="3585"/>
      <c r="AB5" s="3585"/>
      <c r="AC5" s="3585"/>
    </row>
    <row r="6" spans="1:29" ht="15" thickBot="1">
      <c r="A6" s="366"/>
      <c r="B6" s="367"/>
      <c r="C6" s="3573" t="s">
        <v>2122</v>
      </c>
      <c r="D6" s="3574"/>
      <c r="E6" s="3582" t="s">
        <v>2122</v>
      </c>
      <c r="F6" s="3583"/>
      <c r="G6" s="3573" t="s">
        <v>2122</v>
      </c>
      <c r="H6" s="3574"/>
      <c r="I6" s="3573" t="s">
        <v>2122</v>
      </c>
      <c r="J6" s="3574"/>
      <c r="K6" s="567" t="s">
        <v>2123</v>
      </c>
      <c r="L6" s="1024"/>
      <c r="M6" s="1025"/>
      <c r="N6" s="1025"/>
      <c r="O6" s="1025"/>
      <c r="P6" s="3622"/>
      <c r="Q6" s="3564"/>
      <c r="R6" s="3567"/>
      <c r="S6" s="3568"/>
      <c r="T6" s="3569"/>
      <c r="U6" s="3570"/>
      <c r="V6" s="3572"/>
      <c r="W6" s="3572"/>
      <c r="X6" s="1489"/>
      <c r="Y6" s="3569"/>
      <c r="Z6" s="3570"/>
      <c r="AA6" s="3586"/>
      <c r="AB6" s="3586"/>
      <c r="AC6" s="3586"/>
    </row>
    <row r="7" spans="1:29" s="113" customFormat="1" ht="14.5" thickBot="1">
      <c r="A7" s="368" t="s">
        <v>2124</v>
      </c>
      <c r="B7" s="369"/>
      <c r="C7" s="370">
        <f>'数据-取费表'!B2</f>
        <v>44691</v>
      </c>
      <c r="D7" s="371">
        <v>100</v>
      </c>
      <c r="E7" s="372"/>
      <c r="F7" s="373">
        <f>SUMIF(52:52,YEAR(E7)&amp;"-"&amp;MONTH(E7),53:53)</f>
        <v>0</v>
      </c>
      <c r="G7" s="372"/>
      <c r="H7" s="371">
        <f>SUMIF(52:52,YEAR(G7)&amp;"-"&amp;MONTH(G7),53:53)</f>
        <v>0</v>
      </c>
      <c r="I7" s="372"/>
      <c r="J7" s="371">
        <f>SUMIF(52:52,YEAR(I7)&amp;"-"&amp;MONTH(I7),53:53)</f>
        <v>0</v>
      </c>
      <c r="K7" s="568"/>
      <c r="L7" s="1026"/>
      <c r="M7" s="1027"/>
      <c r="N7" s="1027"/>
      <c r="O7" s="1027"/>
      <c r="P7" s="3579" t="s">
        <v>2125</v>
      </c>
      <c r="Q7" s="3580"/>
      <c r="R7" s="710" t="s">
        <v>17</v>
      </c>
      <c r="S7" s="711">
        <f t="shared" ref="S7:S15" si="0">F7</f>
        <v>0</v>
      </c>
      <c r="T7" s="710" t="s">
        <v>17</v>
      </c>
      <c r="U7" s="711">
        <f t="shared" ref="U7:U15" si="1">H7</f>
        <v>0</v>
      </c>
      <c r="V7" s="710" t="s">
        <v>17</v>
      </c>
      <c r="W7" s="711">
        <f t="shared" ref="W7:W15" si="2">J7</f>
        <v>0</v>
      </c>
      <c r="X7" s="712"/>
      <c r="Y7" s="3579" t="s">
        <v>2125</v>
      </c>
      <c r="Z7" s="3578"/>
      <c r="AA7" s="713" t="e">
        <f>D7/F7</f>
        <v>#DIV/0!</v>
      </c>
      <c r="AB7" s="713" t="e">
        <f>D7/H7</f>
        <v>#DIV/0!</v>
      </c>
      <c r="AC7" s="713" t="e">
        <f>D7/J7</f>
        <v>#DIV/0!</v>
      </c>
    </row>
    <row r="8" spans="1:29" s="113" customFormat="1" ht="14.5" thickBot="1">
      <c r="A8" s="368" t="s">
        <v>2126</v>
      </c>
      <c r="B8" s="369"/>
      <c r="C8" s="374" t="s">
        <v>2127</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579" t="s">
        <v>2128</v>
      </c>
      <c r="Q8" s="3578"/>
      <c r="R8" s="710" t="s">
        <v>17</v>
      </c>
      <c r="S8" s="711">
        <f t="shared" si="0"/>
        <v>0</v>
      </c>
      <c r="T8" s="710" t="s">
        <v>17</v>
      </c>
      <c r="U8" s="711">
        <f t="shared" si="1"/>
        <v>0</v>
      </c>
      <c r="V8" s="710" t="s">
        <v>17</v>
      </c>
      <c r="W8" s="711">
        <f t="shared" si="2"/>
        <v>0</v>
      </c>
      <c r="X8" s="712"/>
      <c r="Y8" s="3579" t="s">
        <v>2128</v>
      </c>
      <c r="Z8" s="3578"/>
      <c r="AA8" s="713" t="e">
        <f t="shared" ref="AA8:AA40" si="3">D8/F8</f>
        <v>#DIV/0!</v>
      </c>
      <c r="AB8" s="713" t="e">
        <f t="shared" ref="AB8:AB40" si="4">D8/H8</f>
        <v>#DIV/0!</v>
      </c>
      <c r="AC8" s="713" t="e">
        <f t="shared" ref="AC8:AC40" si="5">D8/J8</f>
        <v>#DIV/0!</v>
      </c>
    </row>
    <row r="9" spans="1:29" s="113" customFormat="1">
      <c r="A9" s="375" t="s">
        <v>2129</v>
      </c>
      <c r="B9" s="67" t="s">
        <v>2130</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38" t="s">
        <v>2131</v>
      </c>
      <c r="Q9" s="1477" t="str">
        <f t="shared" ref="Q9:Q15" si="6">B9</f>
        <v>用途</v>
      </c>
      <c r="R9" s="710" t="s">
        <v>17</v>
      </c>
      <c r="S9" s="711">
        <f t="shared" si="0"/>
        <v>100</v>
      </c>
      <c r="T9" s="710" t="s">
        <v>17</v>
      </c>
      <c r="U9" s="711">
        <f t="shared" si="1"/>
        <v>100</v>
      </c>
      <c r="V9" s="710" t="s">
        <v>17</v>
      </c>
      <c r="W9" s="711">
        <f t="shared" si="2"/>
        <v>100</v>
      </c>
      <c r="X9" s="712"/>
      <c r="Y9" s="3446" t="s">
        <v>2132</v>
      </c>
      <c r="Z9" s="55" t="str">
        <f t="shared" ref="Z9:Z15" si="7">Q9</f>
        <v>用途</v>
      </c>
      <c r="AA9" s="713">
        <f t="shared" si="3"/>
        <v>1</v>
      </c>
      <c r="AB9" s="713">
        <f t="shared" si="4"/>
        <v>1</v>
      </c>
      <c r="AC9" s="713">
        <f t="shared" si="5"/>
        <v>1</v>
      </c>
    </row>
    <row r="10" spans="1:29" s="386" customFormat="1" ht="28">
      <c r="A10" s="380"/>
      <c r="B10" s="381" t="s">
        <v>2133</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38"/>
      <c r="Q10" s="1477" t="str">
        <f t="shared" si="6"/>
        <v>土地使用年限（年）</v>
      </c>
      <c r="R10" s="710" t="s">
        <v>17</v>
      </c>
      <c r="S10" s="711">
        <f t="shared" si="0"/>
        <v>100</v>
      </c>
      <c r="T10" s="710" t="s">
        <v>17</v>
      </c>
      <c r="U10" s="711">
        <f t="shared" si="1"/>
        <v>100</v>
      </c>
      <c r="V10" s="710" t="s">
        <v>17</v>
      </c>
      <c r="W10" s="711">
        <f t="shared" si="2"/>
        <v>100</v>
      </c>
      <c r="X10" s="712"/>
      <c r="Y10" s="3446"/>
      <c r="Z10" s="55" t="str">
        <f t="shared" si="7"/>
        <v>土地使用年限（年）</v>
      </c>
      <c r="AA10" s="713">
        <f t="shared" si="3"/>
        <v>1</v>
      </c>
      <c r="AB10" s="713">
        <f t="shared" si="4"/>
        <v>1</v>
      </c>
      <c r="AC10" s="713">
        <f t="shared" si="5"/>
        <v>1</v>
      </c>
    </row>
    <row r="11" spans="1:29" ht="15.5">
      <c r="A11" s="387"/>
      <c r="B11" s="381" t="s">
        <v>2134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38"/>
      <c r="Q11" s="1477" t="str">
        <f t="shared" si="6"/>
        <v>容积率</v>
      </c>
      <c r="R11" s="710" t="s">
        <v>17</v>
      </c>
      <c r="S11" s="711" t="e">
        <f t="shared" si="0"/>
        <v>#N/A</v>
      </c>
      <c r="T11" s="710" t="s">
        <v>17</v>
      </c>
      <c r="U11" s="711" t="e">
        <f t="shared" si="1"/>
        <v>#N/A</v>
      </c>
      <c r="V11" s="710" t="s">
        <v>17</v>
      </c>
      <c r="W11" s="711" t="e">
        <f t="shared" si="2"/>
        <v>#N/A</v>
      </c>
      <c r="X11" s="712"/>
      <c r="Y11" s="3446"/>
      <c r="Z11" s="55" t="str">
        <f t="shared" si="7"/>
        <v>容积率</v>
      </c>
      <c r="AA11" s="713" t="e">
        <f t="shared" si="3"/>
        <v>#N/A</v>
      </c>
      <c r="AB11" s="713" t="e">
        <f t="shared" si="4"/>
        <v>#N/A</v>
      </c>
      <c r="AC11" s="713" t="e">
        <f t="shared" si="5"/>
        <v>#N/A</v>
      </c>
    </row>
    <row r="12" spans="1:29" s="113" customFormat="1" ht="15.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6"/>
      <c r="M12" s="1027"/>
      <c r="N12" s="1027"/>
      <c r="O12" s="1028"/>
      <c r="P12" s="3538"/>
      <c r="Q12" s="1477">
        <f t="shared" si="6"/>
        <v>111</v>
      </c>
      <c r="R12" s="710" t="s">
        <v>17</v>
      </c>
      <c r="S12" s="711">
        <f t="shared" si="0"/>
        <v>100</v>
      </c>
      <c r="T12" s="710" t="s">
        <v>17</v>
      </c>
      <c r="U12" s="711">
        <f t="shared" si="1"/>
        <v>100</v>
      </c>
      <c r="V12" s="710" t="s">
        <v>17</v>
      </c>
      <c r="W12" s="711">
        <f t="shared" si="2"/>
        <v>100</v>
      </c>
      <c r="X12" s="712"/>
      <c r="Y12" s="3446"/>
      <c r="Z12" s="55">
        <f t="shared" si="7"/>
        <v>111</v>
      </c>
      <c r="AA12" s="713">
        <f>D12/F12</f>
        <v>1</v>
      </c>
      <c r="AB12" s="713">
        <f>D12/H12</f>
        <v>1</v>
      </c>
      <c r="AC12" s="713">
        <f>D12/J12</f>
        <v>1</v>
      </c>
    </row>
    <row r="13" spans="1:29" ht="15.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4"/>
      <c r="M13" s="1025"/>
      <c r="N13" s="1025"/>
      <c r="O13" s="1033"/>
      <c r="P13" s="3538"/>
      <c r="Q13" s="1477">
        <f t="shared" si="6"/>
        <v>111</v>
      </c>
      <c r="R13" s="710" t="s">
        <v>17</v>
      </c>
      <c r="S13" s="711">
        <f t="shared" si="0"/>
        <v>100</v>
      </c>
      <c r="T13" s="710" t="s">
        <v>17</v>
      </c>
      <c r="U13" s="711">
        <f t="shared" si="1"/>
        <v>100</v>
      </c>
      <c r="V13" s="710" t="s">
        <v>17</v>
      </c>
      <c r="W13" s="711">
        <f t="shared" si="2"/>
        <v>100</v>
      </c>
      <c r="X13" s="712"/>
      <c r="Y13" s="3446"/>
      <c r="Z13" s="55">
        <f t="shared" si="7"/>
        <v>111</v>
      </c>
      <c r="AA13" s="713">
        <f t="shared" si="3"/>
        <v>1</v>
      </c>
      <c r="AB13" s="713">
        <f t="shared" si="4"/>
        <v>1</v>
      </c>
      <c r="AC13" s="713">
        <f t="shared" si="5"/>
        <v>1</v>
      </c>
    </row>
    <row r="14" spans="1:29" ht="16"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4"/>
      <c r="M14" s="1025"/>
      <c r="N14" s="1025"/>
      <c r="O14" s="1033"/>
      <c r="P14" s="3538"/>
      <c r="Q14" s="1477">
        <f t="shared" si="6"/>
        <v>111</v>
      </c>
      <c r="R14" s="710" t="s">
        <v>17</v>
      </c>
      <c r="S14" s="711">
        <f t="shared" si="0"/>
        <v>100</v>
      </c>
      <c r="T14" s="710" t="s">
        <v>17</v>
      </c>
      <c r="U14" s="711">
        <f t="shared" si="1"/>
        <v>100</v>
      </c>
      <c r="V14" s="710" t="s">
        <v>17</v>
      </c>
      <c r="W14" s="711">
        <f t="shared" si="2"/>
        <v>100</v>
      </c>
      <c r="X14" s="712"/>
      <c r="Y14" s="3446"/>
      <c r="Z14" s="55">
        <f t="shared" si="7"/>
        <v>111</v>
      </c>
      <c r="AA14" s="713">
        <f t="shared" si="3"/>
        <v>1</v>
      </c>
      <c r="AB14" s="713">
        <f t="shared" si="4"/>
        <v>1</v>
      </c>
      <c r="AC14" s="713">
        <f t="shared" si="5"/>
        <v>1</v>
      </c>
    </row>
    <row r="15" spans="1:29" ht="70">
      <c r="A15" s="399" t="s">
        <v>2135</v>
      </c>
      <c r="B15" s="65" t="s">
        <v>2279</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45" t="s">
        <v>2136</v>
      </c>
      <c r="Q15" s="1486" t="str">
        <f t="shared" si="6"/>
        <v>产业集聚程度</v>
      </c>
      <c r="R15" s="714" t="s">
        <v>17</v>
      </c>
      <c r="S15" s="715">
        <f t="shared" si="0"/>
        <v>100</v>
      </c>
      <c r="T15" s="714" t="s">
        <v>17</v>
      </c>
      <c r="U15" s="715">
        <f t="shared" si="1"/>
        <v>100</v>
      </c>
      <c r="V15" s="714" t="s">
        <v>17</v>
      </c>
      <c r="W15" s="715">
        <f t="shared" si="2"/>
        <v>100</v>
      </c>
      <c r="X15" s="1489"/>
      <c r="Y15" s="3545" t="s">
        <v>2136</v>
      </c>
      <c r="Z15" s="1490" t="str">
        <f t="shared" si="7"/>
        <v>产业集聚程度</v>
      </c>
      <c r="AA15" s="1487">
        <f t="shared" si="3"/>
        <v>1</v>
      </c>
      <c r="AB15" s="1487">
        <f t="shared" si="4"/>
        <v>1</v>
      </c>
      <c r="AC15" s="1487">
        <f t="shared" si="5"/>
        <v>1</v>
      </c>
    </row>
    <row r="16" spans="1:29" ht="15.5">
      <c r="A16" s="387"/>
      <c r="B16" s="405"/>
      <c r="C16" s="406"/>
      <c r="D16" s="407"/>
      <c r="E16" s="406"/>
      <c r="F16" s="408"/>
      <c r="G16" s="406"/>
      <c r="H16" s="409"/>
      <c r="I16" s="406"/>
      <c r="J16" s="407"/>
      <c r="K16" s="572"/>
      <c r="L16" s="1034"/>
      <c r="M16" s="1025"/>
      <c r="N16" s="1025"/>
      <c r="O16" s="1033"/>
      <c r="P16" s="3546"/>
      <c r="Q16" s="1486"/>
      <c r="R16" s="714"/>
      <c r="S16" s="715"/>
      <c r="T16" s="714"/>
      <c r="U16" s="715"/>
      <c r="V16" s="714"/>
      <c r="W16" s="715"/>
      <c r="X16" s="1489"/>
      <c r="Y16" s="3546"/>
      <c r="Z16" s="1490"/>
      <c r="AA16" s="1487">
        <v>1</v>
      </c>
      <c r="AB16" s="1487">
        <v>1</v>
      </c>
      <c r="AC16" s="1487">
        <v>1</v>
      </c>
    </row>
    <row r="17" spans="1:29" ht="98">
      <c r="A17" s="387"/>
      <c r="B17" s="410" t="s">
        <v>1700</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46"/>
      <c r="Q17" s="1486" t="str">
        <f>B17</f>
        <v>交通便捷度</v>
      </c>
      <c r="R17" s="714" t="s">
        <v>17</v>
      </c>
      <c r="S17" s="715">
        <f>F17</f>
        <v>100</v>
      </c>
      <c r="T17" s="714" t="s">
        <v>17</v>
      </c>
      <c r="U17" s="715">
        <f>H17</f>
        <v>100</v>
      </c>
      <c r="V17" s="714" t="s">
        <v>17</v>
      </c>
      <c r="W17" s="715">
        <f>J17</f>
        <v>100</v>
      </c>
      <c r="X17" s="1489"/>
      <c r="Y17" s="3546"/>
      <c r="Z17" s="1490" t="str">
        <f>Q17</f>
        <v>交通便捷度</v>
      </c>
      <c r="AA17" s="1487">
        <f t="shared" si="3"/>
        <v>1</v>
      </c>
      <c r="AB17" s="1487">
        <f t="shared" si="4"/>
        <v>1</v>
      </c>
      <c r="AC17" s="1487">
        <f t="shared" si="5"/>
        <v>1</v>
      </c>
    </row>
    <row r="18" spans="1:29" ht="15.5">
      <c r="A18" s="387"/>
      <c r="B18" s="415"/>
      <c r="C18" s="2036"/>
      <c r="D18" s="409"/>
      <c r="E18" s="2038"/>
      <c r="F18" s="412"/>
      <c r="G18" s="2037"/>
      <c r="H18" s="407"/>
      <c r="I18" s="2038"/>
      <c r="J18" s="407"/>
      <c r="K18" s="572"/>
      <c r="L18" s="1034"/>
      <c r="M18" s="1025"/>
      <c r="N18" s="1025"/>
      <c r="O18" s="1033"/>
      <c r="P18" s="3546"/>
      <c r="Q18" s="1486"/>
      <c r="R18" s="714"/>
      <c r="S18" s="715"/>
      <c r="T18" s="714"/>
      <c r="U18" s="715"/>
      <c r="V18" s="714"/>
      <c r="W18" s="715"/>
      <c r="X18" s="1489"/>
      <c r="Y18" s="3546"/>
      <c r="Z18" s="1490"/>
      <c r="AA18" s="1487">
        <v>1</v>
      </c>
      <c r="AB18" s="1487">
        <v>1</v>
      </c>
      <c r="AC18" s="1487">
        <v>1</v>
      </c>
    </row>
    <row r="19" spans="1:29" ht="42">
      <c r="A19" s="387"/>
      <c r="B19" s="410" t="s">
        <v>2264</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46"/>
      <c r="Q19" s="1486" t="str">
        <f>B19</f>
        <v>公共配套设施</v>
      </c>
      <c r="R19" s="714" t="s">
        <v>17</v>
      </c>
      <c r="S19" s="715">
        <f>F19</f>
        <v>100</v>
      </c>
      <c r="T19" s="714" t="s">
        <v>17</v>
      </c>
      <c r="U19" s="715">
        <f>H19</f>
        <v>100</v>
      </c>
      <c r="V19" s="714" t="s">
        <v>17</v>
      </c>
      <c r="W19" s="715">
        <f>J19</f>
        <v>100</v>
      </c>
      <c r="X19" s="1489"/>
      <c r="Y19" s="3546"/>
      <c r="Z19" s="1490" t="str">
        <f>Q19</f>
        <v>公共配套设施</v>
      </c>
      <c r="AA19" s="1487">
        <f t="shared" si="3"/>
        <v>1</v>
      </c>
      <c r="AB19" s="1487">
        <f t="shared" si="4"/>
        <v>1</v>
      </c>
      <c r="AC19" s="1487">
        <f t="shared" si="5"/>
        <v>1</v>
      </c>
    </row>
    <row r="20" spans="1:29" ht="15.5">
      <c r="A20" s="387"/>
      <c r="B20" s="415"/>
      <c r="C20" s="406"/>
      <c r="D20" s="407"/>
      <c r="E20" s="2033"/>
      <c r="F20" s="408"/>
      <c r="G20" s="2032"/>
      <c r="H20" s="407"/>
      <c r="I20" s="2033"/>
      <c r="J20" s="407"/>
      <c r="K20" s="572"/>
      <c r="L20" s="1034"/>
      <c r="M20" s="1025"/>
      <c r="N20" s="1025"/>
      <c r="O20" s="1033"/>
      <c r="P20" s="3546"/>
      <c r="Q20" s="1486"/>
      <c r="R20" s="714"/>
      <c r="S20" s="715"/>
      <c r="T20" s="714"/>
      <c r="U20" s="715"/>
      <c r="V20" s="714"/>
      <c r="W20" s="715"/>
      <c r="X20" s="1489"/>
      <c r="Y20" s="3546"/>
      <c r="Z20" s="1490"/>
      <c r="AA20" s="1487">
        <v>1</v>
      </c>
      <c r="AB20" s="1487">
        <v>1</v>
      </c>
      <c r="AC20" s="1487">
        <v>1</v>
      </c>
    </row>
    <row r="21" spans="1:29" ht="42">
      <c r="A21" s="387"/>
      <c r="B21" s="1245" t="s">
        <v>2265</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46"/>
      <c r="Q21" s="1486" t="str">
        <f>B21</f>
        <v>基础设施水平</v>
      </c>
      <c r="R21" s="714" t="s">
        <v>17</v>
      </c>
      <c r="S21" s="715">
        <f>F21</f>
        <v>100</v>
      </c>
      <c r="T21" s="714" t="s">
        <v>17</v>
      </c>
      <c r="U21" s="715">
        <f>H21</f>
        <v>100</v>
      </c>
      <c r="V21" s="714" t="s">
        <v>17</v>
      </c>
      <c r="W21" s="715">
        <f>J21</f>
        <v>100</v>
      </c>
      <c r="X21" s="1489"/>
      <c r="Y21" s="3546"/>
      <c r="Z21" s="1490" t="str">
        <f>Q21</f>
        <v>基础设施水平</v>
      </c>
      <c r="AA21" s="1487">
        <f t="shared" ref="AA21" si="8">D21/F21</f>
        <v>1</v>
      </c>
      <c r="AB21" s="1487">
        <f t="shared" ref="AB21" si="9">D21/H21</f>
        <v>1</v>
      </c>
      <c r="AC21" s="1487">
        <f t="shared" ref="AC21" si="10">D21/J21</f>
        <v>1</v>
      </c>
    </row>
    <row r="22" spans="1:29" ht="15.5">
      <c r="A22" s="387"/>
      <c r="B22" s="1245"/>
      <c r="C22" s="2036"/>
      <c r="D22" s="407"/>
      <c r="E22" s="406"/>
      <c r="F22" s="408"/>
      <c r="G22" s="406"/>
      <c r="H22" s="407"/>
      <c r="I22" s="406"/>
      <c r="J22" s="407"/>
      <c r="K22" s="1244"/>
      <c r="L22" s="1034"/>
      <c r="M22" s="1025"/>
      <c r="N22" s="1025"/>
      <c r="O22" s="1033"/>
      <c r="P22" s="3546"/>
      <c r="Q22" s="1486"/>
      <c r="R22" s="714"/>
      <c r="S22" s="715"/>
      <c r="T22" s="714"/>
      <c r="U22" s="715"/>
      <c r="V22" s="714"/>
      <c r="W22" s="715"/>
      <c r="X22" s="1489"/>
      <c r="Y22" s="3546"/>
      <c r="Z22" s="1490"/>
      <c r="AA22" s="1487">
        <v>1</v>
      </c>
      <c r="AB22" s="1487">
        <v>1</v>
      </c>
      <c r="AC22" s="1487">
        <v>1</v>
      </c>
    </row>
    <row r="23" spans="1:29" ht="84">
      <c r="A23" s="387"/>
      <c r="B23" s="410" t="s">
        <v>2266</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46"/>
      <c r="Q23" s="1486" t="str">
        <f>B23</f>
        <v>环境质量</v>
      </c>
      <c r="R23" s="714" t="s">
        <v>17</v>
      </c>
      <c r="S23" s="715">
        <f>F23</f>
        <v>100</v>
      </c>
      <c r="T23" s="714" t="s">
        <v>17</v>
      </c>
      <c r="U23" s="715">
        <f>H23</f>
        <v>100</v>
      </c>
      <c r="V23" s="714" t="s">
        <v>17</v>
      </c>
      <c r="W23" s="715">
        <f>J23</f>
        <v>100</v>
      </c>
      <c r="X23" s="1489"/>
      <c r="Y23" s="3546"/>
      <c r="Z23" s="1490" t="str">
        <f>Q23</f>
        <v>环境质量</v>
      </c>
      <c r="AA23" s="1487">
        <f t="shared" si="3"/>
        <v>1</v>
      </c>
      <c r="AB23" s="1487">
        <f t="shared" si="4"/>
        <v>1</v>
      </c>
      <c r="AC23" s="1487">
        <f t="shared" si="5"/>
        <v>1</v>
      </c>
    </row>
    <row r="24" spans="1:29" ht="15.5">
      <c r="A24" s="387"/>
      <c r="B24" s="1245"/>
      <c r="C24" s="406"/>
      <c r="D24" s="407"/>
      <c r="E24" s="2033"/>
      <c r="F24" s="408"/>
      <c r="G24" s="2032"/>
      <c r="H24" s="407"/>
      <c r="I24" s="2033"/>
      <c r="J24" s="407"/>
      <c r="K24" s="572"/>
      <c r="L24" s="1034"/>
      <c r="M24" s="1025"/>
      <c r="N24" s="1025"/>
      <c r="O24" s="1033"/>
      <c r="P24" s="3546"/>
      <c r="Q24" s="1486"/>
      <c r="R24" s="714"/>
      <c r="S24" s="715"/>
      <c r="T24" s="714"/>
      <c r="U24" s="715"/>
      <c r="V24" s="714"/>
      <c r="W24" s="715"/>
      <c r="X24" s="1489"/>
      <c r="Y24" s="3546"/>
      <c r="Z24" s="1490"/>
      <c r="AA24" s="1487">
        <v>1</v>
      </c>
      <c r="AB24" s="1487">
        <v>1</v>
      </c>
      <c r="AC24" s="1487">
        <v>1</v>
      </c>
    </row>
    <row r="25" spans="1:29" ht="15.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46"/>
      <c r="Q25" s="1486">
        <f>B25</f>
        <v>111</v>
      </c>
      <c r="R25" s="714" t="s">
        <v>17</v>
      </c>
      <c r="S25" s="715">
        <f>F25</f>
        <v>100</v>
      </c>
      <c r="T25" s="714" t="s">
        <v>17</v>
      </c>
      <c r="U25" s="715">
        <f>H25</f>
        <v>100</v>
      </c>
      <c r="V25" s="714" t="s">
        <v>17</v>
      </c>
      <c r="W25" s="715">
        <f>J25</f>
        <v>100</v>
      </c>
      <c r="X25" s="1489"/>
      <c r="Y25" s="3546"/>
      <c r="Z25" s="1490">
        <f>Q25</f>
        <v>111</v>
      </c>
      <c r="AA25" s="1487">
        <f t="shared" si="3"/>
        <v>1</v>
      </c>
      <c r="AB25" s="1487">
        <f t="shared" si="4"/>
        <v>1</v>
      </c>
      <c r="AC25" s="1487">
        <f t="shared" si="5"/>
        <v>1</v>
      </c>
    </row>
    <row r="26" spans="1:29" ht="15.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46"/>
      <c r="Q26" s="1486">
        <f t="shared" ref="Q26:Q40" si="11">B26</f>
        <v>111</v>
      </c>
      <c r="R26" s="714" t="s">
        <v>17</v>
      </c>
      <c r="S26" s="715">
        <f>F26</f>
        <v>100</v>
      </c>
      <c r="T26" s="714" t="s">
        <v>17</v>
      </c>
      <c r="U26" s="715">
        <f>H26</f>
        <v>100</v>
      </c>
      <c r="V26" s="714" t="s">
        <v>17</v>
      </c>
      <c r="W26" s="715">
        <f>J26</f>
        <v>100</v>
      </c>
      <c r="X26" s="1489"/>
      <c r="Y26" s="3546"/>
      <c r="Z26" s="1490">
        <f>Q26</f>
        <v>111</v>
      </c>
      <c r="AA26" s="1487">
        <f t="shared" si="3"/>
        <v>1</v>
      </c>
      <c r="AB26" s="1487">
        <f t="shared" si="4"/>
        <v>1</v>
      </c>
      <c r="AC26" s="1487">
        <f t="shared" si="5"/>
        <v>1</v>
      </c>
    </row>
    <row r="27" spans="1:29" s="113" customFormat="1" ht="15.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46"/>
      <c r="Q27" s="1477">
        <f t="shared" si="11"/>
        <v>111</v>
      </c>
      <c r="R27" s="710" t="s">
        <v>17</v>
      </c>
      <c r="S27" s="711">
        <f>F27</f>
        <v>100</v>
      </c>
      <c r="T27" s="710" t="s">
        <v>17</v>
      </c>
      <c r="U27" s="711">
        <f>H27</f>
        <v>100</v>
      </c>
      <c r="V27" s="710" t="s">
        <v>17</v>
      </c>
      <c r="W27" s="711">
        <f>J27</f>
        <v>100</v>
      </c>
      <c r="X27" s="712"/>
      <c r="Y27" s="3546"/>
      <c r="Z27" s="55">
        <f>Q27</f>
        <v>111</v>
      </c>
      <c r="AA27" s="1487">
        <f>D27/F27</f>
        <v>1</v>
      </c>
      <c r="AB27" s="1487">
        <f>D27/H27</f>
        <v>1</v>
      </c>
      <c r="AC27" s="1487">
        <f>D27/J27</f>
        <v>1</v>
      </c>
    </row>
    <row r="28" spans="1:29" ht="16"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46"/>
      <c r="Q28" s="1486">
        <f t="shared" si="11"/>
        <v>111</v>
      </c>
      <c r="R28" s="714" t="s">
        <v>17</v>
      </c>
      <c r="S28" s="715">
        <f t="shared" ref="S28:S40" si="12">F28</f>
        <v>100</v>
      </c>
      <c r="T28" s="714" t="s">
        <v>17</v>
      </c>
      <c r="U28" s="715">
        <f t="shared" ref="U28:U40" si="13">H28</f>
        <v>100</v>
      </c>
      <c r="V28" s="714" t="s">
        <v>17</v>
      </c>
      <c r="W28" s="715">
        <f t="shared" ref="W28:W40" si="14">J28</f>
        <v>100</v>
      </c>
      <c r="X28" s="1489"/>
      <c r="Y28" s="3546"/>
      <c r="Z28" s="1490">
        <f t="shared" ref="Z28:Z40" si="15">Q28</f>
        <v>111</v>
      </c>
      <c r="AA28" s="1487">
        <f t="shared" si="3"/>
        <v>1</v>
      </c>
      <c r="AB28" s="1487">
        <f t="shared" si="4"/>
        <v>1</v>
      </c>
      <c r="AC28" s="1487">
        <f t="shared" si="5"/>
        <v>1</v>
      </c>
    </row>
    <row r="29" spans="1:29" ht="29">
      <c r="A29" s="425" t="s">
        <v>2139</v>
      </c>
      <c r="B29" s="67" t="s">
        <v>2269</v>
      </c>
      <c r="C29" s="2102"/>
      <c r="D29" s="426">
        <v>100</v>
      </c>
      <c r="E29" s="2102"/>
      <c r="F29" s="420">
        <f>SUMIF(88:88,E29,89:89)-SUMIF(88:88,C29,89:89)+100</f>
        <v>100</v>
      </c>
      <c r="G29" s="2102"/>
      <c r="H29" s="394">
        <f>SUMIF(88:88,G29,89:89)-SUMIF(88:88,C29,89:89)+100</f>
        <v>100</v>
      </c>
      <c r="I29" s="2102"/>
      <c r="J29" s="426">
        <f>SUMIF(88:88,I29,89:89)-SUMIF(88:88,C29,89:89)+100</f>
        <v>100</v>
      </c>
      <c r="K29" s="569"/>
      <c r="L29" s="1034"/>
      <c r="M29" s="1025"/>
      <c r="N29" s="1025"/>
      <c r="O29" s="1033"/>
      <c r="P29" s="3626" t="s">
        <v>2141</v>
      </c>
      <c r="Q29" s="1486" t="str">
        <f t="shared" si="11"/>
        <v>建筑类型</v>
      </c>
      <c r="R29" s="714" t="s">
        <v>17</v>
      </c>
      <c r="S29" s="715">
        <f t="shared" si="12"/>
        <v>100</v>
      </c>
      <c r="T29" s="714" t="s">
        <v>17</v>
      </c>
      <c r="U29" s="715">
        <f t="shared" si="13"/>
        <v>100</v>
      </c>
      <c r="V29" s="714" t="s">
        <v>17</v>
      </c>
      <c r="W29" s="715">
        <f t="shared" si="14"/>
        <v>100</v>
      </c>
      <c r="X29" s="1489"/>
      <c r="Y29" s="3550" t="s">
        <v>2141</v>
      </c>
      <c r="Z29" s="1490" t="str">
        <f t="shared" si="15"/>
        <v>建筑类型</v>
      </c>
      <c r="AA29" s="1487">
        <f t="shared" si="3"/>
        <v>1</v>
      </c>
      <c r="AB29" s="1487">
        <f t="shared" si="4"/>
        <v>1</v>
      </c>
      <c r="AC29" s="1487">
        <f t="shared" si="5"/>
        <v>1</v>
      </c>
    </row>
    <row r="30" spans="1:29" s="430" customFormat="1" ht="15.5">
      <c r="A30" s="427"/>
      <c r="B30" s="381" t="s">
        <v>2142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50"/>
      <c r="Q30" s="716" t="str">
        <f t="shared" si="11"/>
        <v>项目建筑规模</v>
      </c>
      <c r="R30" s="717" t="s">
        <v>17</v>
      </c>
      <c r="S30" s="718" t="e">
        <f t="shared" si="12"/>
        <v>#N/A</v>
      </c>
      <c r="T30" s="717" t="s">
        <v>17</v>
      </c>
      <c r="U30" s="718" t="e">
        <f t="shared" si="13"/>
        <v>#N/A</v>
      </c>
      <c r="V30" s="717" t="s">
        <v>17</v>
      </c>
      <c r="W30" s="718" t="e">
        <f t="shared" si="14"/>
        <v>#N/A</v>
      </c>
      <c r="X30" s="719"/>
      <c r="Y30" s="3550"/>
      <c r="Z30" s="720" t="str">
        <f t="shared" si="15"/>
        <v>项目建筑规模</v>
      </c>
      <c r="AA30" s="1487" t="e">
        <f t="shared" si="3"/>
        <v>#N/A</v>
      </c>
      <c r="AB30" s="1487" t="e">
        <f t="shared" si="4"/>
        <v>#N/A</v>
      </c>
      <c r="AC30" s="1487" t="e">
        <f t="shared" si="5"/>
        <v>#N/A</v>
      </c>
    </row>
    <row r="31" spans="1:29" ht="15.5">
      <c r="A31" s="431"/>
      <c r="B31" s="381" t="s">
        <v>2143</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50"/>
      <c r="Q31" s="1486" t="str">
        <f t="shared" si="11"/>
        <v>建筑结构</v>
      </c>
      <c r="R31" s="714" t="s">
        <v>17</v>
      </c>
      <c r="S31" s="715">
        <f t="shared" si="12"/>
        <v>100</v>
      </c>
      <c r="T31" s="714" t="s">
        <v>17</v>
      </c>
      <c r="U31" s="715">
        <f t="shared" si="13"/>
        <v>100</v>
      </c>
      <c r="V31" s="714" t="s">
        <v>17</v>
      </c>
      <c r="W31" s="715">
        <f t="shared" si="14"/>
        <v>100</v>
      </c>
      <c r="X31" s="1489"/>
      <c r="Y31" s="3550"/>
      <c r="Z31" s="1490" t="str">
        <f t="shared" si="15"/>
        <v>建筑结构</v>
      </c>
      <c r="AA31" s="1487">
        <f t="shared" si="3"/>
        <v>1</v>
      </c>
      <c r="AB31" s="1487">
        <f t="shared" si="4"/>
        <v>1</v>
      </c>
      <c r="AC31" s="1487">
        <f t="shared" si="5"/>
        <v>1</v>
      </c>
    </row>
    <row r="32" spans="1:29" ht="15.5">
      <c r="A32" s="431"/>
      <c r="B32" s="381" t="s">
        <v>2237</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50"/>
      <c r="Q32" s="1486" t="str">
        <f t="shared" si="11"/>
        <v>公共部分装修</v>
      </c>
      <c r="R32" s="714" t="s">
        <v>17</v>
      </c>
      <c r="S32" s="715">
        <f t="shared" si="12"/>
        <v>100</v>
      </c>
      <c r="T32" s="714" t="s">
        <v>17</v>
      </c>
      <c r="U32" s="715">
        <f t="shared" si="13"/>
        <v>100</v>
      </c>
      <c r="V32" s="714" t="s">
        <v>17</v>
      </c>
      <c r="W32" s="715">
        <f t="shared" si="14"/>
        <v>100</v>
      </c>
      <c r="X32" s="1489"/>
      <c r="Y32" s="3550"/>
      <c r="Z32" s="1490" t="str">
        <f t="shared" si="15"/>
        <v>公共部分装修</v>
      </c>
      <c r="AA32" s="1487">
        <f t="shared" si="3"/>
        <v>1</v>
      </c>
      <c r="AB32" s="1487">
        <f t="shared" si="4"/>
        <v>1</v>
      </c>
      <c r="AC32" s="1487">
        <f t="shared" si="5"/>
        <v>1</v>
      </c>
    </row>
    <row r="33" spans="1:29" ht="15.5">
      <c r="A33" s="431"/>
      <c r="B33" s="381" t="s">
        <v>2238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50"/>
      <c r="Q33" s="1486" t="str">
        <f t="shared" si="11"/>
        <v>成新度</v>
      </c>
      <c r="R33" s="714" t="s">
        <v>17</v>
      </c>
      <c r="S33" s="715" t="e">
        <f t="shared" si="12"/>
        <v>#N/A</v>
      </c>
      <c r="T33" s="714" t="s">
        <v>17</v>
      </c>
      <c r="U33" s="715" t="e">
        <f t="shared" si="13"/>
        <v>#N/A</v>
      </c>
      <c r="V33" s="714" t="s">
        <v>17</v>
      </c>
      <c r="W33" s="715" t="e">
        <f t="shared" si="14"/>
        <v>#N/A</v>
      </c>
      <c r="X33" s="1489"/>
      <c r="Y33" s="3550"/>
      <c r="Z33" s="1490" t="str">
        <f t="shared" si="15"/>
        <v>成新度</v>
      </c>
      <c r="AA33" s="1487" t="e">
        <f t="shared" si="3"/>
        <v>#N/A</v>
      </c>
      <c r="AB33" s="1487" t="e">
        <f t="shared" si="4"/>
        <v>#N/A</v>
      </c>
      <c r="AC33" s="1487" t="e">
        <f t="shared" si="5"/>
        <v>#N/A</v>
      </c>
    </row>
    <row r="34" spans="1:29" s="113" customFormat="1" ht="15.5">
      <c r="A34" s="432"/>
      <c r="B34" s="381" t="s">
        <v>2271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50"/>
      <c r="Q34" s="1477" t="str">
        <f t="shared" si="11"/>
        <v>物业管理</v>
      </c>
      <c r="R34" s="710" t="s">
        <v>17</v>
      </c>
      <c r="S34" s="711">
        <f t="shared" si="12"/>
        <v>100</v>
      </c>
      <c r="T34" s="710" t="s">
        <v>17</v>
      </c>
      <c r="U34" s="711">
        <f t="shared" si="13"/>
        <v>100</v>
      </c>
      <c r="V34" s="710" t="s">
        <v>17</v>
      </c>
      <c r="W34" s="711">
        <f t="shared" si="14"/>
        <v>100</v>
      </c>
      <c r="X34" s="712"/>
      <c r="Y34" s="3550"/>
      <c r="Z34" s="55" t="str">
        <f t="shared" si="15"/>
        <v>物业管理</v>
      </c>
      <c r="AA34" s="713">
        <f t="shared" si="3"/>
        <v>1</v>
      </c>
      <c r="AB34" s="713">
        <f t="shared" si="4"/>
        <v>1</v>
      </c>
      <c r="AC34" s="713">
        <f t="shared" si="5"/>
        <v>1</v>
      </c>
    </row>
    <row r="35" spans="1:29" ht="15.5">
      <c r="A35" s="431"/>
      <c r="B35" s="381" t="s">
        <v>2239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50" t="s">
        <v>2141</v>
      </c>
      <c r="Q35" s="1486" t="str">
        <f t="shared" si="11"/>
        <v>市政基础设施</v>
      </c>
      <c r="R35" s="714" t="s">
        <v>17</v>
      </c>
      <c r="S35" s="715">
        <f t="shared" si="12"/>
        <v>100</v>
      </c>
      <c r="T35" s="714" t="s">
        <v>17</v>
      </c>
      <c r="U35" s="715">
        <f t="shared" si="13"/>
        <v>100</v>
      </c>
      <c r="V35" s="714" t="s">
        <v>17</v>
      </c>
      <c r="W35" s="715">
        <f t="shared" si="14"/>
        <v>100</v>
      </c>
      <c r="X35" s="1489"/>
      <c r="Y35" s="3550" t="s">
        <v>2141</v>
      </c>
      <c r="Z35" s="1490" t="str">
        <f t="shared" si="15"/>
        <v>市政基础设施</v>
      </c>
      <c r="AA35" s="1487">
        <f t="shared" si="3"/>
        <v>1</v>
      </c>
      <c r="AB35" s="1487">
        <f t="shared" si="4"/>
        <v>1</v>
      </c>
      <c r="AC35" s="1487">
        <f t="shared" si="5"/>
        <v>1</v>
      </c>
    </row>
    <row r="36" spans="1:29" ht="15.5">
      <c r="A36" s="431"/>
      <c r="B36" s="381" t="s">
        <v>2244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50"/>
      <c r="Q36" s="1486" t="str">
        <f t="shared" si="11"/>
        <v>内部装修</v>
      </c>
      <c r="R36" s="714" t="s">
        <v>17</v>
      </c>
      <c r="S36" s="715">
        <f t="shared" si="12"/>
        <v>100</v>
      </c>
      <c r="T36" s="714" t="s">
        <v>17</v>
      </c>
      <c r="U36" s="715">
        <f t="shared" si="13"/>
        <v>100</v>
      </c>
      <c r="V36" s="714" t="s">
        <v>17</v>
      </c>
      <c r="W36" s="715">
        <f t="shared" si="14"/>
        <v>100</v>
      </c>
      <c r="X36" s="1489"/>
      <c r="Y36" s="3550"/>
      <c r="Z36" s="1490" t="str">
        <f t="shared" si="15"/>
        <v>内部装修</v>
      </c>
      <c r="AA36" s="1487">
        <f t="shared" si="3"/>
        <v>1</v>
      </c>
      <c r="AB36" s="1487">
        <f t="shared" si="4"/>
        <v>1</v>
      </c>
      <c r="AC36" s="1487">
        <f t="shared" si="5"/>
        <v>1</v>
      </c>
    </row>
    <row r="37" spans="1:29" ht="15.5">
      <c r="A37" s="431"/>
      <c r="B37" s="381" t="s">
        <v>2280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50"/>
      <c r="Q37" s="1486" t="str">
        <f t="shared" si="11"/>
        <v>内部装修状况</v>
      </c>
      <c r="R37" s="714" t="s">
        <v>17</v>
      </c>
      <c r="S37" s="715">
        <f t="shared" si="12"/>
        <v>100</v>
      </c>
      <c r="T37" s="714" t="s">
        <v>17</v>
      </c>
      <c r="U37" s="715">
        <f t="shared" si="13"/>
        <v>100</v>
      </c>
      <c r="V37" s="714" t="s">
        <v>17</v>
      </c>
      <c r="W37" s="715">
        <f t="shared" si="14"/>
        <v>100</v>
      </c>
      <c r="X37" s="1489"/>
      <c r="Y37" s="3550"/>
      <c r="Z37" s="1490" t="str">
        <f t="shared" si="15"/>
        <v>内部装修状况</v>
      </c>
      <c r="AA37" s="1487">
        <f t="shared" si="3"/>
        <v>1</v>
      </c>
      <c r="AB37" s="1487">
        <f t="shared" si="4"/>
        <v>1</v>
      </c>
      <c r="AC37" s="1487">
        <f t="shared" si="5"/>
        <v>1</v>
      </c>
    </row>
    <row r="38" spans="1:29" s="430" customFormat="1" ht="15.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50"/>
      <c r="Q38" s="716">
        <f t="shared" si="11"/>
        <v>111</v>
      </c>
      <c r="R38" s="717" t="s">
        <v>17</v>
      </c>
      <c r="S38" s="718">
        <f t="shared" si="12"/>
        <v>100</v>
      </c>
      <c r="T38" s="717" t="s">
        <v>17</v>
      </c>
      <c r="U38" s="718">
        <f t="shared" si="13"/>
        <v>100</v>
      </c>
      <c r="V38" s="717" t="s">
        <v>17</v>
      </c>
      <c r="W38" s="718">
        <f t="shared" si="14"/>
        <v>100</v>
      </c>
      <c r="X38" s="719"/>
      <c r="Y38" s="3550"/>
      <c r="Z38" s="720">
        <f t="shared" si="15"/>
        <v>111</v>
      </c>
      <c r="AA38" s="1487">
        <f t="shared" si="3"/>
        <v>1</v>
      </c>
      <c r="AB38" s="1487">
        <f t="shared" si="4"/>
        <v>1</v>
      </c>
      <c r="AC38" s="1487">
        <f t="shared" si="5"/>
        <v>1</v>
      </c>
    </row>
    <row r="39" spans="1:29" ht="15.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50"/>
      <c r="Q39" s="1486">
        <f t="shared" si="11"/>
        <v>111</v>
      </c>
      <c r="R39" s="714" t="s">
        <v>17</v>
      </c>
      <c r="S39" s="715">
        <f t="shared" si="12"/>
        <v>100</v>
      </c>
      <c r="T39" s="714" t="s">
        <v>17</v>
      </c>
      <c r="U39" s="715">
        <f t="shared" si="13"/>
        <v>100</v>
      </c>
      <c r="V39" s="714" t="s">
        <v>17</v>
      </c>
      <c r="W39" s="715">
        <f t="shared" si="14"/>
        <v>100</v>
      </c>
      <c r="X39" s="1489"/>
      <c r="Y39" s="3550"/>
      <c r="Z39" s="1490">
        <f t="shared" si="15"/>
        <v>111</v>
      </c>
      <c r="AA39" s="1487">
        <f t="shared" si="3"/>
        <v>1</v>
      </c>
      <c r="AB39" s="1487">
        <f t="shared" si="4"/>
        <v>1</v>
      </c>
      <c r="AC39" s="1487">
        <f t="shared" si="5"/>
        <v>1</v>
      </c>
    </row>
    <row r="40" spans="1:29" ht="16"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51"/>
      <c r="Q40" s="1486">
        <f t="shared" si="11"/>
        <v>111</v>
      </c>
      <c r="R40" s="714" t="s">
        <v>17</v>
      </c>
      <c r="S40" s="715">
        <f t="shared" si="12"/>
        <v>100</v>
      </c>
      <c r="T40" s="714" t="s">
        <v>17</v>
      </c>
      <c r="U40" s="715">
        <f t="shared" si="13"/>
        <v>100</v>
      </c>
      <c r="V40" s="714" t="s">
        <v>17</v>
      </c>
      <c r="W40" s="715">
        <f t="shared" si="14"/>
        <v>100</v>
      </c>
      <c r="X40" s="1489"/>
      <c r="Y40" s="3551"/>
      <c r="Z40" s="1490">
        <f t="shared" si="15"/>
        <v>111</v>
      </c>
      <c r="AA40" s="1487">
        <f t="shared" si="3"/>
        <v>1</v>
      </c>
      <c r="AB40" s="1487">
        <f t="shared" si="4"/>
        <v>1</v>
      </c>
      <c r="AC40" s="1487">
        <f t="shared" si="5"/>
        <v>1</v>
      </c>
    </row>
    <row r="41" spans="1:29">
      <c r="A41" s="438" t="s">
        <v>2153</v>
      </c>
      <c r="B41" s="439"/>
      <c r="C41" s="1268" t="s">
        <v>1</v>
      </c>
      <c r="D41" s="1269"/>
      <c r="E41" s="1270"/>
      <c r="F41" s="1271"/>
      <c r="G41" s="1272"/>
      <c r="H41" s="1273"/>
      <c r="I41" s="1270"/>
      <c r="J41" s="1273"/>
      <c r="K41" s="723"/>
      <c r="L41" s="1037"/>
      <c r="M41" s="1038"/>
      <c r="N41" s="1025"/>
      <c r="O41" s="1038"/>
      <c r="P41" s="3538" t="str">
        <f>A41</f>
        <v>成交单价（元/平方米）</v>
      </c>
      <c r="Q41" s="3538"/>
      <c r="R41" s="3539">
        <f>E41</f>
        <v>0</v>
      </c>
      <c r="S41" s="3539"/>
      <c r="T41" s="3539">
        <f>G41</f>
        <v>0</v>
      </c>
      <c r="U41" s="3539"/>
      <c r="V41" s="3539">
        <f>I41</f>
        <v>0</v>
      </c>
      <c r="W41" s="3539"/>
      <c r="X41" s="699"/>
      <c r="Y41" s="721"/>
      <c r="Z41" s="699"/>
      <c r="AA41" s="699"/>
      <c r="AB41" s="699"/>
      <c r="AC41" s="699"/>
    </row>
    <row r="42" spans="1:29" ht="14.5" thickBot="1">
      <c r="A42" s="445" t="s">
        <v>2245</v>
      </c>
      <c r="B42" s="446"/>
      <c r="C42" s="1274" t="e">
        <f>R43</f>
        <v>#DIV/0!</v>
      </c>
      <c r="D42" s="2487" t="s">
        <v>2635</v>
      </c>
      <c r="E42" s="1275" t="e">
        <f>R42</f>
        <v>#DIV/0!</v>
      </c>
      <c r="F42" s="2488"/>
      <c r="G42" s="1274" t="e">
        <f>T42</f>
        <v>#DIV/0!</v>
      </c>
      <c r="H42" s="2488"/>
      <c r="I42" s="1275" t="e">
        <f>V42</f>
        <v>#DIV/0!</v>
      </c>
      <c r="J42" s="2488"/>
      <c r="K42" s="2490">
        <f>F42+H42+J42</f>
        <v>0</v>
      </c>
      <c r="L42" s="1037"/>
      <c r="M42" s="1038"/>
      <c r="N42" s="1025"/>
      <c r="O42" s="1038"/>
      <c r="P42" s="3538" t="str">
        <f>A42</f>
        <v>比较价值（元/平方米）</v>
      </c>
      <c r="Q42" s="3538"/>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699"/>
      <c r="Y42" s="699"/>
      <c r="Z42" s="699"/>
      <c r="AA42" s="699"/>
      <c r="AB42" s="699"/>
      <c r="AC42" s="699"/>
    </row>
    <row r="43" spans="1:29" ht="14.5" thickBot="1">
      <c r="A43" s="449" t="s">
        <v>2246</v>
      </c>
      <c r="B43" s="450"/>
      <c r="C43" s="1277" t="e">
        <f>R43</f>
        <v>#DIV/0!</v>
      </c>
      <c r="D43" s="1277"/>
      <c r="E43" s="1277"/>
      <c r="F43" s="1277"/>
      <c r="G43" s="1277"/>
      <c r="H43" s="1277"/>
      <c r="I43" s="1277"/>
      <c r="J43" s="1277"/>
      <c r="K43" s="724"/>
      <c r="L43" s="1037"/>
      <c r="M43" s="1038"/>
      <c r="N43" s="1038"/>
      <c r="O43" s="1038"/>
      <c r="P43" s="3615" t="str">
        <f>A43</f>
        <v>估价对象XX用房的比较价值（楼面单价，元/平方米）</v>
      </c>
      <c r="Q43" s="3616"/>
      <c r="R43" s="3617" t="e">
        <f>IF(F1="售价",ROUND(IF(D42="简单平均",AVERAGE(R42:V42),R42*F42+T42*H42+V42*J42),0),ROUND(IF(D42="简单平均",AVERAGE(R42:V42),R42*F42+T42*H42+V42*J42),1))</f>
        <v>#DIV/0!</v>
      </c>
      <c r="S43" s="3617"/>
      <c r="T43" s="3617"/>
      <c r="U43" s="3617"/>
      <c r="V43" s="3617"/>
      <c r="W43" s="3617"/>
      <c r="X43" s="699"/>
      <c r="Y43" s="699"/>
      <c r="Z43" s="699"/>
      <c r="AA43" s="699"/>
      <c r="AB43" s="699"/>
      <c r="AC43" s="699"/>
    </row>
    <row r="44" spans="1:29">
      <c r="A44" s="2899"/>
      <c r="B44" s="2899"/>
      <c r="C44" s="2899"/>
      <c r="D44" s="2899"/>
      <c r="E44" s="2899"/>
      <c r="F44" s="2899"/>
      <c r="G44" s="2903"/>
      <c r="H44" s="2899"/>
      <c r="I44" s="2899"/>
      <c r="J44" s="2899"/>
      <c r="K44" s="2904"/>
      <c r="L44" s="1000"/>
      <c r="M44" s="1038"/>
      <c r="N44" s="1038"/>
      <c r="O44" s="1038"/>
    </row>
    <row r="45" spans="1:29">
      <c r="A45" s="2899"/>
      <c r="B45" s="2899"/>
      <c r="C45" s="2899"/>
      <c r="D45" s="2899"/>
      <c r="E45" s="2899"/>
      <c r="F45" s="2899"/>
      <c r="G45" s="2899"/>
      <c r="H45" s="2899"/>
      <c r="I45" s="2899"/>
      <c r="J45" s="2899"/>
      <c r="K45" s="2904"/>
      <c r="L45" s="1000"/>
      <c r="M45" s="1038"/>
      <c r="N45" s="1038"/>
      <c r="O45" s="1038"/>
    </row>
    <row r="46" spans="1:29" ht="13.5" customHeight="1">
      <c r="A46" s="2899"/>
      <c r="B46" s="2899"/>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0"/>
      <c r="M46" s="1038"/>
      <c r="N46" s="1038"/>
      <c r="O46" s="1038"/>
    </row>
    <row r="47" spans="1:29" ht="13.5" customHeight="1">
      <c r="A47" s="2899"/>
      <c r="B47" s="2899"/>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0"/>
      <c r="M47" s="1038"/>
      <c r="N47" s="1038"/>
      <c r="O47" s="1038"/>
    </row>
    <row r="48" spans="1:29" s="459" customFormat="1" ht="13.5" customHeight="1">
      <c r="A48" s="2902"/>
      <c r="B48" s="2902"/>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1"/>
      <c r="M48" s="1039"/>
      <c r="N48" s="1039"/>
      <c r="O48" s="1039"/>
    </row>
    <row r="49" spans="1:17" s="459" customFormat="1">
      <c r="A49" s="2902"/>
      <c r="B49" s="2905"/>
      <c r="C49" s="2906"/>
      <c r="D49" s="2902"/>
      <c r="E49" s="2902"/>
      <c r="F49" s="2902"/>
      <c r="G49" s="2902"/>
      <c r="H49" s="2902"/>
      <c r="I49" s="2902"/>
      <c r="J49" s="2902"/>
      <c r="K49" s="2907"/>
      <c r="L49" s="1041"/>
      <c r="M49" s="1039"/>
      <c r="N49" s="1039"/>
      <c r="O49" s="1039"/>
    </row>
    <row r="50" spans="1:17">
      <c r="A50" s="2899"/>
      <c r="B50" s="2905"/>
      <c r="C50" s="2906"/>
      <c r="D50" s="2899"/>
      <c r="E50" s="2899"/>
      <c r="F50" s="2899"/>
      <c r="G50" s="2899"/>
      <c r="H50" s="2899"/>
      <c r="I50" s="2899"/>
      <c r="J50" s="2899"/>
      <c r="K50" s="2904"/>
      <c r="L50" s="1000"/>
      <c r="M50" s="1038"/>
      <c r="N50" s="1038"/>
      <c r="O50" s="1038"/>
    </row>
    <row r="51" spans="1:17" ht="21.5" thickBot="1">
      <c r="A51" s="703" t="s">
        <v>2250</v>
      </c>
      <c r="B51" s="699"/>
      <c r="C51" s="704"/>
      <c r="D51" s="704"/>
      <c r="E51" s="704"/>
      <c r="F51" s="705"/>
      <c r="G51" s="705"/>
      <c r="H51" s="704"/>
      <c r="I51" s="704"/>
      <c r="J51" s="704"/>
      <c r="K51" s="1052"/>
      <c r="L51" s="1053"/>
      <c r="M51" s="1051"/>
      <c r="N51" s="1051"/>
      <c r="O51" s="1051"/>
      <c r="P51" s="460"/>
      <c r="Q51" s="461"/>
    </row>
    <row r="52" spans="1:17" s="465" customFormat="1">
      <c r="A52" s="462" t="s">
        <v>2124</v>
      </c>
      <c r="B52" s="463"/>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4"/>
    </row>
    <row r="53" spans="1:17" s="113" customFormat="1">
      <c r="A53" s="466"/>
      <c r="B53" s="467"/>
      <c r="C53" s="1297">
        <v>100</v>
      </c>
      <c r="D53" s="469"/>
      <c r="E53" s="469"/>
      <c r="F53" s="469"/>
      <c r="G53" s="469"/>
      <c r="H53" s="469"/>
      <c r="I53" s="469"/>
      <c r="J53" s="469"/>
      <c r="K53" s="469"/>
      <c r="L53" s="469"/>
      <c r="M53" s="470"/>
      <c r="N53" s="469"/>
      <c r="O53" s="471"/>
      <c r="P53" s="461"/>
    </row>
    <row r="54" spans="1:17" s="113" customFormat="1" ht="14.5" thickBot="1">
      <c r="A54" s="472" t="s">
        <v>2161</v>
      </c>
      <c r="B54" s="473"/>
      <c r="C54" s="474"/>
      <c r="D54" s="475"/>
      <c r="E54" s="475"/>
      <c r="F54" s="475"/>
      <c r="G54" s="475"/>
      <c r="H54" s="475"/>
      <c r="I54" s="475"/>
      <c r="J54" s="475"/>
      <c r="K54" s="475"/>
      <c r="L54" s="475"/>
      <c r="M54" s="476"/>
      <c r="N54" s="2944"/>
      <c r="O54" s="2945"/>
      <c r="P54" s="461"/>
      <c r="Q54" s="461"/>
    </row>
    <row r="55" spans="1:17" s="113" customFormat="1">
      <c r="A55" s="478" t="s">
        <v>2126</v>
      </c>
      <c r="B55" s="467"/>
      <c r="C55" s="479" t="s">
        <v>2228</v>
      </c>
      <c r="D55" s="480"/>
      <c r="E55" s="480"/>
      <c r="F55" s="480"/>
      <c r="G55" s="480"/>
      <c r="H55" s="480"/>
      <c r="I55" s="480"/>
      <c r="J55" s="480"/>
      <c r="K55" s="480"/>
      <c r="L55" s="481"/>
      <c r="M55" s="482"/>
      <c r="N55" s="1043"/>
      <c r="O55" s="1043"/>
      <c r="P55" s="483"/>
      <c r="Q55" s="461"/>
    </row>
    <row r="56" spans="1:17" s="113" customFormat="1" ht="14.5" thickBot="1">
      <c r="A56" s="478"/>
      <c r="B56" s="467"/>
      <c r="C56" s="595">
        <v>100</v>
      </c>
      <c r="D56" s="469"/>
      <c r="E56" s="469"/>
      <c r="F56" s="469"/>
      <c r="G56" s="469"/>
      <c r="H56" s="469"/>
      <c r="I56" s="469"/>
      <c r="J56" s="469"/>
      <c r="K56" s="469"/>
      <c r="L56" s="469"/>
      <c r="M56" s="471"/>
      <c r="N56" s="1043"/>
      <c r="O56" s="1043"/>
      <c r="P56" s="461"/>
      <c r="Q56" s="461"/>
    </row>
    <row r="57" spans="1:17">
      <c r="A57" s="484" t="s">
        <v>2164</v>
      </c>
      <c r="B57" s="485" t="s">
        <v>2130</v>
      </c>
      <c r="C57" s="486">
        <f>C9</f>
        <v>0</v>
      </c>
      <c r="D57" s="487"/>
      <c r="E57" s="487"/>
      <c r="F57" s="487"/>
      <c r="G57" s="487"/>
      <c r="H57" s="487"/>
      <c r="I57" s="487"/>
      <c r="J57" s="487"/>
      <c r="K57" s="488"/>
      <c r="L57" s="489"/>
      <c r="M57" s="490"/>
      <c r="N57" s="1044"/>
      <c r="O57" s="1044"/>
      <c r="P57" s="45"/>
      <c r="Q57" s="461"/>
    </row>
    <row r="58" spans="1:17" ht="14.5" thickBot="1">
      <c r="A58" s="491"/>
      <c r="B58" s="492"/>
      <c r="C58" s="493">
        <v>100</v>
      </c>
      <c r="D58" s="493"/>
      <c r="E58" s="493"/>
      <c r="F58" s="493"/>
      <c r="G58" s="493"/>
      <c r="H58" s="493"/>
      <c r="I58" s="493"/>
      <c r="J58" s="493"/>
      <c r="K58" s="493"/>
      <c r="L58" s="493"/>
      <c r="M58" s="494"/>
      <c r="N58" s="1045"/>
      <c r="O58" s="1045"/>
      <c r="P58" s="45"/>
      <c r="Q58" s="461"/>
    </row>
    <row r="59" spans="1:17" ht="28.5" thickTop="1">
      <c r="A59" s="491"/>
      <c r="B59" s="495" t="s">
        <v>2133</v>
      </c>
      <c r="C59" s="496" t="s">
        <v>2165</v>
      </c>
      <c r="D59" s="496" t="s">
        <v>2166</v>
      </c>
      <c r="E59" s="496" t="s">
        <v>2167</v>
      </c>
      <c r="F59" s="496" t="s">
        <v>2168</v>
      </c>
      <c r="G59" s="496" t="s">
        <v>2169</v>
      </c>
      <c r="H59" s="496" t="s">
        <v>2170</v>
      </c>
      <c r="I59" s="496" t="s">
        <v>2171</v>
      </c>
      <c r="J59" s="496"/>
      <c r="K59" s="497"/>
      <c r="L59" s="498"/>
      <c r="M59" s="499"/>
      <c r="N59" s="1044"/>
      <c r="O59" s="1044"/>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4.5" thickTop="1">
      <c r="A61" s="491"/>
      <c r="B61" s="503" t="s">
        <v>2134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c r="A62" s="491"/>
      <c r="B62" s="505"/>
      <c r="C62" s="506"/>
      <c r="D62" s="506"/>
      <c r="E62" s="506"/>
      <c r="F62" s="506"/>
      <c r="G62" s="506"/>
      <c r="H62" s="506"/>
      <c r="I62" s="506"/>
      <c r="J62" s="506"/>
      <c r="K62" s="507"/>
      <c r="L62" s="508"/>
      <c r="M62" s="509"/>
      <c r="N62" s="1044"/>
      <c r="O62" s="1044"/>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4.5" thickTop="1">
      <c r="A64" s="510"/>
      <c r="B64" s="495">
        <f>B12</f>
        <v>111</v>
      </c>
      <c r="C64" s="511"/>
      <c r="D64" s="511"/>
      <c r="E64" s="511"/>
      <c r="F64" s="511"/>
      <c r="G64" s="511"/>
      <c r="H64" s="512"/>
      <c r="I64" s="512"/>
      <c r="J64" s="512"/>
      <c r="K64" s="512"/>
      <c r="L64" s="513"/>
      <c r="M64" s="514"/>
      <c r="N64" s="1046"/>
      <c r="O64" s="1046"/>
      <c r="P64" s="515"/>
      <c r="Q64" s="516"/>
    </row>
    <row r="65" spans="1:17" s="430" customFormat="1" ht="14.5" thickBot="1">
      <c r="A65" s="510"/>
      <c r="B65" s="500"/>
      <c r="C65" s="517"/>
      <c r="D65" s="493"/>
      <c r="E65" s="493"/>
      <c r="F65" s="493"/>
      <c r="G65" s="493"/>
      <c r="H65" s="493"/>
      <c r="I65" s="493"/>
      <c r="J65" s="493"/>
      <c r="K65" s="493"/>
      <c r="L65" s="493"/>
      <c r="M65" s="494"/>
      <c r="N65" s="1045"/>
      <c r="O65" s="1045"/>
      <c r="P65" s="515"/>
      <c r="Q65" s="516"/>
    </row>
    <row r="66" spans="1:17" s="430" customFormat="1" ht="14.5" thickTop="1">
      <c r="A66" s="510"/>
      <c r="B66" s="495">
        <f>B13</f>
        <v>111</v>
      </c>
      <c r="C66" s="511"/>
      <c r="D66" s="511"/>
      <c r="E66" s="511"/>
      <c r="F66" s="511"/>
      <c r="G66" s="511"/>
      <c r="H66" s="512"/>
      <c r="I66" s="512"/>
      <c r="J66" s="512"/>
      <c r="K66" s="512"/>
      <c r="L66" s="513"/>
      <c r="M66" s="514"/>
      <c r="N66" s="1046"/>
      <c r="O66" s="1046"/>
      <c r="P66" s="429"/>
      <c r="Q66" s="518"/>
    </row>
    <row r="67" spans="1:17" s="430" customFormat="1" ht="14.5" thickBot="1">
      <c r="A67" s="510"/>
      <c r="B67" s="500"/>
      <c r="C67" s="517"/>
      <c r="D67" s="493"/>
      <c r="E67" s="493"/>
      <c r="F67" s="493"/>
      <c r="G67" s="517"/>
      <c r="H67" s="519"/>
      <c r="I67" s="519"/>
      <c r="J67" s="519"/>
      <c r="K67" s="519"/>
      <c r="L67" s="519"/>
      <c r="M67" s="520"/>
      <c r="N67" s="1046"/>
      <c r="O67" s="1046"/>
      <c r="P67" s="515"/>
      <c r="Q67" s="516"/>
    </row>
    <row r="68" spans="1:17" s="430" customFormat="1" ht="14.5" thickTop="1">
      <c r="A68" s="510"/>
      <c r="B68" s="503">
        <f>B14</f>
        <v>111</v>
      </c>
      <c r="C68" s="480"/>
      <c r="D68" s="480"/>
      <c r="E68" s="480"/>
      <c r="F68" s="480"/>
      <c r="G68" s="480"/>
      <c r="H68" s="521"/>
      <c r="I68" s="521"/>
      <c r="J68" s="521"/>
      <c r="K68" s="521"/>
      <c r="L68" s="522"/>
      <c r="M68" s="523"/>
      <c r="N68" s="1046"/>
      <c r="O68" s="1046"/>
      <c r="P68" s="524"/>
      <c r="Q68" s="516"/>
    </row>
    <row r="69" spans="1:17" s="430" customFormat="1" ht="14.5" thickBot="1">
      <c r="A69" s="525"/>
      <c r="B69" s="526"/>
      <c r="C69" s="527"/>
      <c r="D69" s="527"/>
      <c r="E69" s="527"/>
      <c r="F69" s="527"/>
      <c r="G69" s="527"/>
      <c r="H69" s="528"/>
      <c r="I69" s="528"/>
      <c r="J69" s="528"/>
      <c r="K69" s="528"/>
      <c r="L69" s="528"/>
      <c r="M69" s="529"/>
      <c r="N69" s="1046"/>
      <c r="O69" s="1046"/>
      <c r="P69" s="515"/>
      <c r="Q69" s="516"/>
    </row>
    <row r="70" spans="1:17">
      <c r="A70" s="484" t="s">
        <v>2135</v>
      </c>
      <c r="B70" s="485" t="s">
        <v>2281</v>
      </c>
      <c r="C70" s="530" t="s">
        <v>2173</v>
      </c>
      <c r="D70" s="530" t="s">
        <v>2174</v>
      </c>
      <c r="E70" s="530" t="s">
        <v>2175</v>
      </c>
      <c r="F70" s="530" t="s">
        <v>2176</v>
      </c>
      <c r="G70" s="530" t="s">
        <v>2177</v>
      </c>
      <c r="H70" s="486"/>
      <c r="I70" s="486"/>
      <c r="J70" s="486"/>
      <c r="K70" s="531"/>
      <c r="L70" s="532"/>
      <c r="M70" s="533"/>
      <c r="N70" s="1044"/>
      <c r="O70" s="1044"/>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4.5" thickTop="1">
      <c r="A72" s="491"/>
      <c r="B72" s="495" t="s">
        <v>2178</v>
      </c>
      <c r="C72" s="535" t="s">
        <v>2173</v>
      </c>
      <c r="D72" s="535" t="s">
        <v>2174</v>
      </c>
      <c r="E72" s="535" t="s">
        <v>2175</v>
      </c>
      <c r="F72" s="535" t="s">
        <v>2176</v>
      </c>
      <c r="G72" s="535" t="s">
        <v>2177</v>
      </c>
      <c r="H72" s="496"/>
      <c r="I72" s="496"/>
      <c r="J72" s="496"/>
      <c r="K72" s="497"/>
      <c r="L72" s="498"/>
      <c r="M72" s="499"/>
      <c r="N72" s="1044"/>
      <c r="O72" s="1044"/>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4.5" thickTop="1">
      <c r="A74" s="491"/>
      <c r="B74" s="495" t="s">
        <v>2179</v>
      </c>
      <c r="C74" s="535" t="s">
        <v>2173</v>
      </c>
      <c r="D74" s="535" t="s">
        <v>2174</v>
      </c>
      <c r="E74" s="535" t="s">
        <v>2175</v>
      </c>
      <c r="F74" s="535" t="s">
        <v>2176</v>
      </c>
      <c r="G74" s="535" t="s">
        <v>2177</v>
      </c>
      <c r="H74" s="496"/>
      <c r="I74" s="496"/>
      <c r="J74" s="496"/>
      <c r="K74" s="497"/>
      <c r="L74" s="498"/>
      <c r="M74" s="499"/>
      <c r="N74" s="1044"/>
      <c r="O74" s="1044"/>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4.5" thickTop="1">
      <c r="A76" s="491"/>
      <c r="B76" s="503" t="s">
        <v>2265</v>
      </c>
      <c r="C76" s="616" t="s">
        <v>2251</v>
      </c>
      <c r="D76" s="616" t="s">
        <v>2252</v>
      </c>
      <c r="E76" s="616" t="s">
        <v>2253</v>
      </c>
      <c r="F76" s="616" t="s">
        <v>2254</v>
      </c>
      <c r="G76" s="616" t="s">
        <v>2255</v>
      </c>
      <c r="H76" s="496"/>
      <c r="I76" s="496"/>
      <c r="J76" s="496"/>
      <c r="K76" s="496"/>
      <c r="L76" s="496"/>
      <c r="M76" s="1243"/>
      <c r="N76" s="1045"/>
      <c r="O76" s="1045"/>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4.5" thickTop="1">
      <c r="A78" s="491"/>
      <c r="B78" s="495" t="s">
        <v>2274</v>
      </c>
      <c r="C78" s="535" t="s">
        <v>2173</v>
      </c>
      <c r="D78" s="535" t="s">
        <v>2174</v>
      </c>
      <c r="E78" s="535" t="s">
        <v>2175</v>
      </c>
      <c r="F78" s="535" t="s">
        <v>2176</v>
      </c>
      <c r="G78" s="535" t="s">
        <v>2177</v>
      </c>
      <c r="H78" s="496"/>
      <c r="I78" s="496"/>
      <c r="J78" s="496"/>
      <c r="K78" s="497"/>
      <c r="L78" s="498"/>
      <c r="M78" s="499"/>
      <c r="N78" s="1044"/>
      <c r="O78" s="1044"/>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4.5" thickTop="1">
      <c r="A80" s="536"/>
      <c r="B80" s="495">
        <f>B25</f>
        <v>111</v>
      </c>
      <c r="C80" s="511"/>
      <c r="D80" s="511"/>
      <c r="E80" s="511"/>
      <c r="F80" s="511"/>
      <c r="G80" s="511"/>
      <c r="H80" s="511"/>
      <c r="I80" s="511"/>
      <c r="J80" s="511"/>
      <c r="K80" s="511"/>
      <c r="L80" s="537"/>
      <c r="M80" s="538"/>
      <c r="N80" s="1043"/>
      <c r="O80" s="1043"/>
      <c r="P80" s="45"/>
      <c r="Q80" s="461"/>
    </row>
    <row r="81" spans="1:17" s="113" customFormat="1" ht="14.5" thickBot="1">
      <c r="A81" s="536"/>
      <c r="B81" s="500"/>
      <c r="C81" s="517"/>
      <c r="D81" s="493"/>
      <c r="E81" s="493"/>
      <c r="F81" s="493"/>
      <c r="G81" s="493"/>
      <c r="H81" s="493"/>
      <c r="I81" s="493"/>
      <c r="J81" s="493"/>
      <c r="K81" s="493"/>
      <c r="L81" s="493"/>
      <c r="M81" s="494"/>
      <c r="N81" s="1045"/>
      <c r="O81" s="1045"/>
      <c r="P81" s="45"/>
      <c r="Q81" s="461"/>
    </row>
    <row r="82" spans="1:17" s="113" customFormat="1" ht="14.5" thickTop="1">
      <c r="A82" s="536"/>
      <c r="B82" s="495">
        <f>B26</f>
        <v>111</v>
      </c>
      <c r="C82" s="511"/>
      <c r="D82" s="511"/>
      <c r="E82" s="511"/>
      <c r="F82" s="511"/>
      <c r="G82" s="511"/>
      <c r="H82" s="511"/>
      <c r="I82" s="511"/>
      <c r="J82" s="511"/>
      <c r="K82" s="511"/>
      <c r="L82" s="537"/>
      <c r="M82" s="538"/>
      <c r="N82" s="1043"/>
      <c r="O82" s="1043"/>
      <c r="P82" s="45"/>
      <c r="Q82" s="461"/>
    </row>
    <row r="83" spans="1:17" s="113" customFormat="1" ht="14.5" thickBot="1">
      <c r="A83" s="536"/>
      <c r="B83" s="500"/>
      <c r="C83" s="517"/>
      <c r="D83" s="493"/>
      <c r="E83" s="493"/>
      <c r="F83" s="493"/>
      <c r="G83" s="493"/>
      <c r="H83" s="493"/>
      <c r="I83" s="493"/>
      <c r="J83" s="493"/>
      <c r="K83" s="493"/>
      <c r="L83" s="493"/>
      <c r="M83" s="494"/>
      <c r="N83" s="1045"/>
      <c r="O83" s="1045"/>
      <c r="P83" s="45"/>
      <c r="Q83" s="461"/>
    </row>
    <row r="84" spans="1:17" s="430" customFormat="1" ht="14.5" thickTop="1">
      <c r="A84" s="510"/>
      <c r="B84" s="495">
        <f>B27</f>
        <v>111</v>
      </c>
      <c r="C84" s="511"/>
      <c r="D84" s="511"/>
      <c r="E84" s="511"/>
      <c r="F84" s="511"/>
      <c r="G84" s="511"/>
      <c r="H84" s="511"/>
      <c r="I84" s="511"/>
      <c r="J84" s="511"/>
      <c r="K84" s="511"/>
      <c r="L84" s="537"/>
      <c r="M84" s="538"/>
      <c r="N84" s="1046"/>
      <c r="O84" s="1046"/>
      <c r="P84" s="515"/>
      <c r="Q84" s="516"/>
    </row>
    <row r="85" spans="1:17" s="430" customFormat="1" ht="14.5" thickBot="1">
      <c r="A85" s="510"/>
      <c r="B85" s="500"/>
      <c r="C85" s="517"/>
      <c r="D85" s="493"/>
      <c r="E85" s="493"/>
      <c r="F85" s="493"/>
      <c r="G85" s="493"/>
      <c r="H85" s="493"/>
      <c r="I85" s="493"/>
      <c r="J85" s="493"/>
      <c r="K85" s="493"/>
      <c r="L85" s="493"/>
      <c r="M85" s="494"/>
      <c r="N85" s="1046"/>
      <c r="O85" s="1046"/>
      <c r="P85" s="515"/>
      <c r="Q85" s="516"/>
    </row>
    <row r="86" spans="1:17" ht="14.5" thickTop="1">
      <c r="A86" s="491"/>
      <c r="B86" s="503">
        <f>B28</f>
        <v>111</v>
      </c>
      <c r="C86" s="480"/>
      <c r="D86" s="480"/>
      <c r="E86" s="480"/>
      <c r="F86" s="480"/>
      <c r="G86" s="544"/>
      <c r="H86" s="544"/>
      <c r="I86" s="544"/>
      <c r="J86" s="544"/>
      <c r="K86" s="545"/>
      <c r="L86" s="546"/>
      <c r="M86" s="547"/>
      <c r="N86" s="1044"/>
      <c r="O86" s="1044"/>
      <c r="P86" s="45"/>
      <c r="Q86" s="461"/>
    </row>
    <row r="87" spans="1:17" ht="14.5" thickBot="1">
      <c r="A87" s="2063"/>
      <c r="B87" s="526"/>
      <c r="C87" s="527"/>
      <c r="D87" s="527"/>
      <c r="E87" s="527"/>
      <c r="F87" s="527"/>
      <c r="G87" s="548"/>
      <c r="H87" s="548"/>
      <c r="I87" s="548"/>
      <c r="J87" s="548"/>
      <c r="K87" s="548"/>
      <c r="L87" s="548"/>
      <c r="M87" s="549"/>
      <c r="N87" s="1045"/>
      <c r="O87" s="1045"/>
      <c r="P87" s="45"/>
      <c r="Q87" s="461"/>
    </row>
    <row r="88" spans="1:17">
      <c r="A88" s="484" t="s">
        <v>2139</v>
      </c>
      <c r="B88" s="485" t="s">
        <v>2188</v>
      </c>
      <c r="C88" s="487"/>
      <c r="D88" s="487"/>
      <c r="E88" s="487"/>
      <c r="F88" s="487"/>
      <c r="G88" s="487"/>
      <c r="H88" s="487"/>
      <c r="I88" s="487"/>
      <c r="J88" s="487"/>
      <c r="K88" s="488"/>
      <c r="L88" s="489"/>
      <c r="M88" s="490"/>
      <c r="N88" s="1044"/>
      <c r="O88" s="1044"/>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4.5" thickTop="1">
      <c r="A90" s="491"/>
      <c r="B90" s="495" t="s">
        <v>2189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4.5" thickBot="1">
      <c r="A92" s="510"/>
      <c r="B92" s="500"/>
      <c r="C92" s="517"/>
      <c r="D92" s="493"/>
      <c r="E92" s="493"/>
      <c r="F92" s="493"/>
      <c r="G92" s="493"/>
      <c r="H92" s="493"/>
      <c r="I92" s="493"/>
      <c r="J92" s="493"/>
      <c r="K92" s="493"/>
      <c r="L92" s="493"/>
      <c r="M92" s="494"/>
      <c r="N92" s="1045"/>
      <c r="O92" s="1045"/>
      <c r="P92" s="515"/>
      <c r="Q92" s="516"/>
    </row>
    <row r="93" spans="1:17" ht="14.5" thickTop="1">
      <c r="A93" s="556"/>
      <c r="B93" s="495" t="s">
        <v>2190</v>
      </c>
      <c r="C93" s="511"/>
      <c r="D93" s="511"/>
      <c r="E93" s="540"/>
      <c r="F93" s="540"/>
      <c r="G93" s="540"/>
      <c r="H93" s="540"/>
      <c r="I93" s="540"/>
      <c r="J93" s="540"/>
      <c r="K93" s="541"/>
      <c r="L93" s="542"/>
      <c r="M93" s="543"/>
      <c r="N93" s="1044"/>
      <c r="O93" s="1044"/>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4.5" thickTop="1">
      <c r="A95" s="556"/>
      <c r="B95" s="495" t="s">
        <v>2192</v>
      </c>
      <c r="C95" s="511"/>
      <c r="D95" s="511"/>
      <c r="E95" s="511"/>
      <c r="F95" s="540"/>
      <c r="G95" s="540"/>
      <c r="H95" s="540"/>
      <c r="I95" s="540"/>
      <c r="J95" s="540"/>
      <c r="K95" s="541"/>
      <c r="L95" s="542"/>
      <c r="M95" s="543"/>
      <c r="N95" s="1044"/>
      <c r="O95" s="1044"/>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4.5" thickTop="1">
      <c r="A97" s="556"/>
      <c r="B97" s="495" t="s">
        <v>1631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4.5" thickTop="1">
      <c r="A100" s="550"/>
      <c r="B100" s="495" t="s">
        <v>2193</v>
      </c>
      <c r="C100" s="511"/>
      <c r="D100" s="511"/>
      <c r="E100" s="511"/>
      <c r="F100" s="511"/>
      <c r="G100" s="511"/>
      <c r="H100" s="540"/>
      <c r="I100" s="540"/>
      <c r="J100" s="540"/>
      <c r="K100" s="541"/>
      <c r="L100" s="542"/>
      <c r="M100" s="543"/>
      <c r="N100" s="1046"/>
      <c r="O100" s="1046"/>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4.5" thickTop="1">
      <c r="A102" s="556"/>
      <c r="B102" s="495" t="s">
        <v>2194</v>
      </c>
      <c r="C102" s="511"/>
      <c r="D102" s="511"/>
      <c r="E102" s="511"/>
      <c r="F102" s="511"/>
      <c r="G102" s="511"/>
      <c r="H102" s="540"/>
      <c r="I102" s="540"/>
      <c r="J102" s="540"/>
      <c r="K102" s="541"/>
      <c r="L102" s="542"/>
      <c r="M102" s="543"/>
      <c r="N102" s="1044"/>
      <c r="O102" s="1044"/>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4.5" thickTop="1">
      <c r="A104" s="556"/>
      <c r="B104" s="495" t="s">
        <v>2196</v>
      </c>
      <c r="C104" s="511"/>
      <c r="D104" s="511"/>
      <c r="E104" s="511"/>
      <c r="F104" s="511"/>
      <c r="G104" s="511"/>
      <c r="H104" s="540"/>
      <c r="I104" s="540"/>
      <c r="J104" s="540"/>
      <c r="K104" s="541"/>
      <c r="L104" s="542"/>
      <c r="M104" s="543"/>
      <c r="N104" s="1044"/>
      <c r="O104" s="1044"/>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28.5" thickTop="1">
      <c r="A106" s="556"/>
      <c r="B106" s="592" t="s">
        <v>2282</v>
      </c>
      <c r="C106" s="535" t="s">
        <v>2173</v>
      </c>
      <c r="D106" s="535" t="s">
        <v>2174</v>
      </c>
      <c r="E106" s="535" t="s">
        <v>2175</v>
      </c>
      <c r="F106" s="535" t="s">
        <v>2176</v>
      </c>
      <c r="G106" s="535" t="s">
        <v>2177</v>
      </c>
      <c r="H106" s="496"/>
      <c r="I106" s="496"/>
      <c r="J106" s="496"/>
      <c r="K106" s="497"/>
      <c r="L106" s="498"/>
      <c r="M106" s="499"/>
      <c r="N106" s="1045"/>
      <c r="O106" s="1045"/>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4.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4.5" thickBot="1">
      <c r="A109" s="510"/>
      <c r="B109" s="492"/>
      <c r="C109" s="517"/>
      <c r="D109" s="493"/>
      <c r="E109" s="493"/>
      <c r="F109" s="493"/>
      <c r="G109" s="517"/>
      <c r="H109" s="519"/>
      <c r="I109" s="519"/>
      <c r="J109" s="519"/>
      <c r="K109" s="519"/>
      <c r="L109" s="519"/>
      <c r="M109" s="520"/>
      <c r="N109" s="1046"/>
      <c r="O109" s="1046"/>
      <c r="P109" s="515"/>
      <c r="Q109" s="516"/>
    </row>
    <row r="110" spans="1:17" ht="14.5" thickTop="1">
      <c r="A110" s="556"/>
      <c r="B110" s="495">
        <f>B39</f>
        <v>111</v>
      </c>
      <c r="C110" s="511"/>
      <c r="D110" s="511"/>
      <c r="E110" s="511"/>
      <c r="F110" s="511"/>
      <c r="G110" s="511"/>
      <c r="H110" s="512"/>
      <c r="I110" s="512"/>
      <c r="J110" s="512"/>
      <c r="K110" s="512"/>
      <c r="L110" s="513"/>
      <c r="M110" s="514"/>
      <c r="N110" s="1044"/>
      <c r="O110" s="1044"/>
      <c r="P110" s="45"/>
      <c r="Q110" s="461"/>
    </row>
    <row r="111" spans="1:17" ht="14.5" thickBot="1">
      <c r="A111" s="491"/>
      <c r="B111" s="500"/>
      <c r="C111" s="517"/>
      <c r="D111" s="493"/>
      <c r="E111" s="493"/>
      <c r="F111" s="493"/>
      <c r="G111" s="517"/>
      <c r="H111" s="519"/>
      <c r="I111" s="519"/>
      <c r="J111" s="519"/>
      <c r="K111" s="519"/>
      <c r="L111" s="519"/>
      <c r="M111" s="520"/>
      <c r="N111" s="1045"/>
      <c r="O111" s="1045"/>
      <c r="P111" s="45"/>
      <c r="Q111" s="461"/>
    </row>
    <row r="112" spans="1:17" ht="14.5" thickTop="1">
      <c r="A112" s="556"/>
      <c r="B112" s="503">
        <f>B40</f>
        <v>111</v>
      </c>
      <c r="C112" s="480"/>
      <c r="D112" s="480"/>
      <c r="E112" s="480"/>
      <c r="F112" s="480"/>
      <c r="G112" s="544"/>
      <c r="H112" s="544"/>
      <c r="I112" s="544"/>
      <c r="J112" s="544"/>
      <c r="K112" s="480"/>
      <c r="L112" s="481"/>
      <c r="M112" s="547"/>
      <c r="N112" s="1044"/>
      <c r="O112" s="1044"/>
      <c r="P112" s="45"/>
      <c r="Q112" s="461"/>
    </row>
    <row r="113" spans="1:17" ht="14.5" thickBot="1">
      <c r="A113" s="2063"/>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E20 I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C2" xr:uid="{00000000-0002-0000-2C00-000011000000}">
      <formula1>"需扣减承租人权益,——"</formula1>
    </dataValidation>
    <dataValidation type="list" allowBlank="1" showInputMessage="1" showErrorMessage="1" sqref="F2" xr:uid="{00000000-0002-0000-2C00-000012000000}">
      <formula1>估价方法</formula1>
    </dataValidation>
    <dataValidation type="list" allowBlank="1" showInputMessage="1" showErrorMessage="1" sqref="D42" xr:uid="{00000000-0002-0000-2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5.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17"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2283</v>
      </c>
      <c r="B1" s="1343"/>
      <c r="C1" s="1344" t="s">
        <v>2106</v>
      </c>
      <c r="D1" s="1345"/>
      <c r="E1" s="1346"/>
      <c r="F1" s="2014"/>
      <c r="G1" s="1347" t="s">
        <v>2219</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1903</v>
      </c>
      <c r="B2" s="1278" t="e">
        <f ca="1">IF(C2="——",IF(B37="元/平方米",ROUND(C39*D3/10000,0),ROUND(F3*C39/10000,0)),IF(B37="元/平方米",ROUND(C39*D3/10000,0),ROUND(F3*C39/10000,0))-D2)</f>
        <v>#DIV/0!</v>
      </c>
      <c r="C2" s="2016"/>
      <c r="D2" s="1018" t="e">
        <f ca="1">SUMIF(INDIRECT("'"&amp;F2&amp;"'"&amp;"!A:A"),"承租人权益价值",INDIRECT("'"&amp;F2&amp;"'"&amp;"!c:c"))</f>
        <v>#REF!</v>
      </c>
      <c r="E2" s="2017" t="s">
        <v>1904</v>
      </c>
      <c r="F2" s="2018"/>
      <c r="G2" s="1019"/>
      <c r="H2" s="1019"/>
      <c r="I2" s="1019"/>
      <c r="J2" s="1019"/>
      <c r="K2" s="1021"/>
      <c r="L2" s="2908"/>
      <c r="M2" s="2909"/>
      <c r="N2" s="2909"/>
      <c r="O2" s="2909"/>
      <c r="P2" s="1279"/>
      <c r="Q2" s="708"/>
      <c r="R2" s="708"/>
      <c r="S2" s="708"/>
      <c r="T2" s="708"/>
      <c r="U2" s="708"/>
      <c r="V2" s="708"/>
      <c r="W2" s="708"/>
      <c r="X2" s="708"/>
      <c r="Y2" s="708"/>
      <c r="Z2" s="708"/>
      <c r="AA2" s="708"/>
      <c r="AB2" s="708"/>
      <c r="AC2" s="709"/>
    </row>
    <row r="3" spans="1:29" s="358" customFormat="1" ht="28.5" customHeight="1" thickBot="1">
      <c r="A3" s="209" t="s">
        <v>1905</v>
      </c>
      <c r="B3" s="566" t="e">
        <f ca="1">IF(AND(C2="——",B37="元/平方米"),C39,ROUND(B2*10000/D3,0))</f>
        <v>#DIV/0!</v>
      </c>
      <c r="C3" s="360" t="s">
        <v>2220</v>
      </c>
      <c r="D3" s="359">
        <f>SUMIF('数据-汇总表'!$C19:$C33,D1,'数据-汇总表'!$E19:$E33)</f>
        <v>0</v>
      </c>
      <c r="E3" s="360" t="s">
        <v>2284</v>
      </c>
      <c r="F3" s="359">
        <f>SUMIF('数据-取费表'!A5:A15,D1,'数据-取费表'!AH5:AH15)</f>
        <v>0</v>
      </c>
      <c r="G3" s="1019"/>
      <c r="H3" s="1019"/>
      <c r="I3" s="1019"/>
      <c r="J3" s="1019"/>
      <c r="K3" s="1021"/>
      <c r="L3" s="2908"/>
      <c r="M3" s="2909"/>
      <c r="N3" s="2909"/>
      <c r="O3" s="2909"/>
      <c r="P3" s="1279"/>
      <c r="Q3" s="708"/>
      <c r="R3" s="708"/>
      <c r="S3" s="708"/>
      <c r="T3" s="708"/>
      <c r="U3" s="708"/>
      <c r="V3" s="708"/>
      <c r="W3" s="708"/>
      <c r="X3" s="708"/>
      <c r="Y3" s="708"/>
      <c r="Z3" s="708"/>
      <c r="AA3" s="708"/>
      <c r="AB3" s="725"/>
      <c r="AC3" s="722"/>
    </row>
    <row r="4" spans="1:29">
      <c r="A4" s="361" t="s">
        <v>2221</v>
      </c>
      <c r="B4" s="362"/>
      <c r="C4" s="3555" t="s">
        <v>2222</v>
      </c>
      <c r="D4" s="3556"/>
      <c r="E4" s="3557" t="s">
        <v>2223</v>
      </c>
      <c r="F4" s="3558"/>
      <c r="G4" s="3555" t="s">
        <v>2224</v>
      </c>
      <c r="H4" s="3556"/>
      <c r="I4" s="3555" t="s">
        <v>2225</v>
      </c>
      <c r="J4" s="3556"/>
      <c r="K4" s="567" t="s">
        <v>2226</v>
      </c>
      <c r="L4" s="2889"/>
      <c r="M4" s="2890"/>
      <c r="N4" s="2890"/>
      <c r="O4" s="2890"/>
      <c r="P4" s="3619" t="s">
        <v>2227</v>
      </c>
      <c r="Q4" s="3620"/>
      <c r="R4" s="3623" t="s">
        <v>2223</v>
      </c>
      <c r="S4" s="3624"/>
      <c r="T4" s="3623" t="s">
        <v>2224</v>
      </c>
      <c r="U4" s="3624"/>
      <c r="V4" s="3572" t="s">
        <v>2225</v>
      </c>
      <c r="W4" s="3572"/>
      <c r="X4" s="1489"/>
      <c r="Y4" s="3623" t="s">
        <v>2227</v>
      </c>
      <c r="Z4" s="3624"/>
      <c r="AA4" s="3618" t="s">
        <v>2223</v>
      </c>
      <c r="AB4" s="3585" t="s">
        <v>2224</v>
      </c>
      <c r="AC4" s="3618" t="s">
        <v>2225</v>
      </c>
    </row>
    <row r="5" spans="1:29">
      <c r="A5" s="364"/>
      <c r="B5" s="365"/>
      <c r="C5" s="3581" t="s">
        <v>2118</v>
      </c>
      <c r="D5" s="3576"/>
      <c r="E5" s="3625" t="s">
        <v>2119</v>
      </c>
      <c r="F5" s="3588"/>
      <c r="G5" s="3581" t="s">
        <v>2120</v>
      </c>
      <c r="H5" s="3576"/>
      <c r="I5" s="3581" t="s">
        <v>2121</v>
      </c>
      <c r="J5" s="3576"/>
      <c r="K5" s="567"/>
      <c r="L5" s="2889"/>
      <c r="M5" s="2890"/>
      <c r="N5" s="2890"/>
      <c r="O5" s="2890"/>
      <c r="P5" s="3621"/>
      <c r="Q5" s="3562"/>
      <c r="R5" s="3567"/>
      <c r="S5" s="3568"/>
      <c r="T5" s="3567"/>
      <c r="U5" s="3568"/>
      <c r="V5" s="3572"/>
      <c r="W5" s="3572"/>
      <c r="X5" s="1489"/>
      <c r="Y5" s="3567"/>
      <c r="Z5" s="3568"/>
      <c r="AA5" s="3585"/>
      <c r="AB5" s="3585"/>
      <c r="AC5" s="3585"/>
    </row>
    <row r="6" spans="1:29" ht="15" thickBot="1">
      <c r="A6" s="366"/>
      <c r="B6" s="367"/>
      <c r="C6" s="3573" t="s">
        <v>2122</v>
      </c>
      <c r="D6" s="3574"/>
      <c r="E6" s="3582" t="s">
        <v>2122</v>
      </c>
      <c r="F6" s="3583"/>
      <c r="G6" s="3573" t="s">
        <v>2122</v>
      </c>
      <c r="H6" s="3574"/>
      <c r="I6" s="3573" t="s">
        <v>2122</v>
      </c>
      <c r="J6" s="3574"/>
      <c r="K6" s="567" t="s">
        <v>2123</v>
      </c>
      <c r="L6" s="2889"/>
      <c r="M6" s="2890"/>
      <c r="N6" s="2890"/>
      <c r="O6" s="2890"/>
      <c r="P6" s="3622"/>
      <c r="Q6" s="3564"/>
      <c r="R6" s="3567"/>
      <c r="S6" s="3568"/>
      <c r="T6" s="3569"/>
      <c r="U6" s="3570"/>
      <c r="V6" s="3572"/>
      <c r="W6" s="3572"/>
      <c r="X6" s="1489"/>
      <c r="Y6" s="3569"/>
      <c r="Z6" s="3570"/>
      <c r="AA6" s="3586"/>
      <c r="AB6" s="3586"/>
      <c r="AC6" s="3586"/>
    </row>
    <row r="7" spans="1:29" s="113" customFormat="1" ht="14.5" thickBot="1">
      <c r="A7" s="368" t="s">
        <v>2124</v>
      </c>
      <c r="B7" s="369"/>
      <c r="C7" s="370">
        <f>'数据-取费表'!B2</f>
        <v>44691</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79" t="s">
        <v>2125</v>
      </c>
      <c r="Q7" s="3580"/>
      <c r="R7" s="710" t="s">
        <v>17</v>
      </c>
      <c r="S7" s="711">
        <f t="shared" ref="S7:S14" si="0">F7</f>
        <v>0</v>
      </c>
      <c r="T7" s="710" t="s">
        <v>17</v>
      </c>
      <c r="U7" s="711">
        <f t="shared" ref="U7:U14" si="1">H7</f>
        <v>0</v>
      </c>
      <c r="V7" s="710" t="s">
        <v>17</v>
      </c>
      <c r="W7" s="711">
        <f t="shared" ref="W7:W14" si="2">J7</f>
        <v>0</v>
      </c>
      <c r="X7" s="712"/>
      <c r="Y7" s="3579" t="s">
        <v>2125</v>
      </c>
      <c r="Z7" s="3578"/>
      <c r="AA7" s="713" t="e">
        <f>D7/F7</f>
        <v>#DIV/0!</v>
      </c>
      <c r="AB7" s="713" t="e">
        <f>D7/H7</f>
        <v>#DIV/0!</v>
      </c>
      <c r="AC7" s="713" t="e">
        <f>D7/J7</f>
        <v>#DIV/0!</v>
      </c>
    </row>
    <row r="8" spans="1:29" s="113" customFormat="1" ht="14.5" thickBot="1">
      <c r="A8" s="368" t="s">
        <v>2126</v>
      </c>
      <c r="B8" s="369"/>
      <c r="C8" s="374" t="s">
        <v>2228</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79" t="s">
        <v>2128</v>
      </c>
      <c r="Q8" s="3578"/>
      <c r="R8" s="710" t="s">
        <v>17</v>
      </c>
      <c r="S8" s="711">
        <f t="shared" si="0"/>
        <v>0</v>
      </c>
      <c r="T8" s="710" t="s">
        <v>17</v>
      </c>
      <c r="U8" s="711">
        <f t="shared" si="1"/>
        <v>0</v>
      </c>
      <c r="V8" s="710" t="s">
        <v>17</v>
      </c>
      <c r="W8" s="711">
        <f t="shared" si="2"/>
        <v>0</v>
      </c>
      <c r="X8" s="712"/>
      <c r="Y8" s="3579" t="s">
        <v>2128</v>
      </c>
      <c r="Z8" s="3578"/>
      <c r="AA8" s="713" t="e">
        <f t="shared" ref="AA8:AA36" si="3">D8/F8</f>
        <v>#DIV/0!</v>
      </c>
      <c r="AB8" s="713" t="e">
        <f t="shared" ref="AB8:AB36" si="4">D8/H8</f>
        <v>#DIV/0!</v>
      </c>
      <c r="AC8" s="713" t="e">
        <f t="shared" ref="AC8:AC36" si="5">D8/J8</f>
        <v>#DIV/0!</v>
      </c>
    </row>
    <row r="9" spans="1:29" s="113" customFormat="1">
      <c r="A9" s="64" t="s">
        <v>2129</v>
      </c>
      <c r="B9" s="596" t="s">
        <v>2130</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538" t="s">
        <v>2131</v>
      </c>
      <c r="Q9" s="1477" t="str">
        <f t="shared" ref="Q9:Q14" si="6">B9</f>
        <v>用途</v>
      </c>
      <c r="R9" s="710" t="s">
        <v>17</v>
      </c>
      <c r="S9" s="711">
        <f t="shared" si="0"/>
        <v>100</v>
      </c>
      <c r="T9" s="710" t="s">
        <v>17</v>
      </c>
      <c r="U9" s="711">
        <f t="shared" si="1"/>
        <v>100</v>
      </c>
      <c r="V9" s="710" t="s">
        <v>17</v>
      </c>
      <c r="W9" s="711">
        <f t="shared" si="2"/>
        <v>100</v>
      </c>
      <c r="X9" s="712"/>
      <c r="Y9" s="3446" t="s">
        <v>2132</v>
      </c>
      <c r="Z9" s="55" t="str">
        <f t="shared" ref="Z9:Z14" si="7">Q9</f>
        <v>用途</v>
      </c>
      <c r="AA9" s="713">
        <f t="shared" si="3"/>
        <v>1</v>
      </c>
      <c r="AB9" s="713">
        <f t="shared" si="4"/>
        <v>1</v>
      </c>
      <c r="AC9" s="713">
        <f t="shared" si="5"/>
        <v>1</v>
      </c>
    </row>
    <row r="10" spans="1:29" s="386" customFormat="1" ht="28">
      <c r="A10" s="597"/>
      <c r="B10" s="598" t="s">
        <v>2133</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538"/>
      <c r="Q10" s="1477" t="str">
        <f t="shared" si="6"/>
        <v>土地使用年限（年）</v>
      </c>
      <c r="R10" s="710" t="s">
        <v>17</v>
      </c>
      <c r="S10" s="711">
        <f t="shared" si="0"/>
        <v>100</v>
      </c>
      <c r="T10" s="710" t="s">
        <v>17</v>
      </c>
      <c r="U10" s="711">
        <f t="shared" si="1"/>
        <v>100</v>
      </c>
      <c r="V10" s="710" t="s">
        <v>17</v>
      </c>
      <c r="W10" s="711">
        <f t="shared" si="2"/>
        <v>100</v>
      </c>
      <c r="X10" s="712"/>
      <c r="Y10" s="3446"/>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538"/>
      <c r="Q11" s="1477">
        <f t="shared" si="6"/>
        <v>111</v>
      </c>
      <c r="R11" s="710" t="s">
        <v>17</v>
      </c>
      <c r="S11" s="711">
        <f t="shared" si="0"/>
        <v>100</v>
      </c>
      <c r="T11" s="710" t="s">
        <v>17</v>
      </c>
      <c r="U11" s="711">
        <f t="shared" si="1"/>
        <v>100</v>
      </c>
      <c r="V11" s="710" t="s">
        <v>17</v>
      </c>
      <c r="W11" s="711">
        <f t="shared" si="2"/>
        <v>100</v>
      </c>
      <c r="X11" s="712"/>
      <c r="Y11" s="3446"/>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538"/>
      <c r="Q12" s="1477">
        <f t="shared" si="6"/>
        <v>111</v>
      </c>
      <c r="R12" s="710" t="s">
        <v>17</v>
      </c>
      <c r="S12" s="711">
        <f t="shared" si="0"/>
        <v>100</v>
      </c>
      <c r="T12" s="710" t="s">
        <v>17</v>
      </c>
      <c r="U12" s="711">
        <f t="shared" si="1"/>
        <v>100</v>
      </c>
      <c r="V12" s="710" t="s">
        <v>17</v>
      </c>
      <c r="W12" s="711">
        <f t="shared" si="2"/>
        <v>100</v>
      </c>
      <c r="X12" s="712"/>
      <c r="Y12" s="3446"/>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538"/>
      <c r="Q13" s="1477">
        <f t="shared" si="6"/>
        <v>111</v>
      </c>
      <c r="R13" s="710" t="s">
        <v>17</v>
      </c>
      <c r="S13" s="711">
        <f t="shared" si="0"/>
        <v>100</v>
      </c>
      <c r="T13" s="710" t="s">
        <v>17</v>
      </c>
      <c r="U13" s="711">
        <f t="shared" si="1"/>
        <v>100</v>
      </c>
      <c r="V13" s="710" t="s">
        <v>17</v>
      </c>
      <c r="W13" s="711">
        <f t="shared" si="2"/>
        <v>100</v>
      </c>
      <c r="X13" s="712"/>
      <c r="Y13" s="3446"/>
      <c r="Z13" s="55">
        <f t="shared" si="7"/>
        <v>111</v>
      </c>
      <c r="AA13" s="713">
        <f t="shared" si="3"/>
        <v>1</v>
      </c>
      <c r="AB13" s="713">
        <f t="shared" si="4"/>
        <v>1</v>
      </c>
      <c r="AC13" s="713">
        <f t="shared" si="5"/>
        <v>1</v>
      </c>
    </row>
    <row r="14" spans="1:29" ht="98">
      <c r="A14" s="361" t="s">
        <v>2135</v>
      </c>
      <c r="B14" s="585" t="s">
        <v>2285</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545" t="s">
        <v>2136</v>
      </c>
      <c r="Q14" s="1486" t="str">
        <f t="shared" si="6"/>
        <v>交通便捷度</v>
      </c>
      <c r="R14" s="714" t="s">
        <v>17</v>
      </c>
      <c r="S14" s="715">
        <f t="shared" si="0"/>
        <v>100</v>
      </c>
      <c r="T14" s="714" t="s">
        <v>17</v>
      </c>
      <c r="U14" s="715">
        <f t="shared" si="1"/>
        <v>100</v>
      </c>
      <c r="V14" s="714" t="s">
        <v>17</v>
      </c>
      <c r="W14" s="715">
        <f t="shared" si="2"/>
        <v>100</v>
      </c>
      <c r="X14" s="1489"/>
      <c r="Y14" s="3545" t="s">
        <v>2136</v>
      </c>
      <c r="Z14" s="1490" t="str">
        <f t="shared" si="7"/>
        <v>交通便捷度</v>
      </c>
      <c r="AA14" s="1487">
        <f t="shared" si="3"/>
        <v>1</v>
      </c>
      <c r="AB14" s="1487">
        <f t="shared" si="4"/>
        <v>1</v>
      </c>
      <c r="AC14" s="1487">
        <f t="shared" si="5"/>
        <v>1</v>
      </c>
    </row>
    <row r="15" spans="1:29" ht="15.5">
      <c r="A15" s="364"/>
      <c r="B15" s="603"/>
      <c r="C15" s="406"/>
      <c r="D15" s="407"/>
      <c r="E15" s="406"/>
      <c r="F15" s="408"/>
      <c r="G15" s="406"/>
      <c r="H15" s="409"/>
      <c r="I15" s="406"/>
      <c r="J15" s="407"/>
      <c r="K15" s="572"/>
      <c r="L15" s="2896"/>
      <c r="M15" s="2890"/>
      <c r="N15" s="2890"/>
      <c r="O15" s="2890"/>
      <c r="P15" s="3546"/>
      <c r="Q15" s="1486"/>
      <c r="R15" s="714"/>
      <c r="S15" s="715"/>
      <c r="T15" s="714"/>
      <c r="U15" s="715"/>
      <c r="V15" s="714"/>
      <c r="W15" s="715"/>
      <c r="X15" s="1489"/>
      <c r="Y15" s="3546"/>
      <c r="Z15" s="1490"/>
      <c r="AA15" s="1487">
        <v>1</v>
      </c>
      <c r="AB15" s="1487">
        <v>1</v>
      </c>
      <c r="AC15" s="1487">
        <v>1</v>
      </c>
    </row>
    <row r="16" spans="1:29" ht="42">
      <c r="A16" s="364"/>
      <c r="B16" s="587" t="s">
        <v>2264</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546"/>
      <c r="Q16" s="1486" t="str">
        <f>B16</f>
        <v>公共配套设施</v>
      </c>
      <c r="R16" s="714" t="s">
        <v>17</v>
      </c>
      <c r="S16" s="715">
        <f>F16</f>
        <v>100</v>
      </c>
      <c r="T16" s="714" t="s">
        <v>17</v>
      </c>
      <c r="U16" s="715">
        <f>H16</f>
        <v>100</v>
      </c>
      <c r="V16" s="714" t="s">
        <v>17</v>
      </c>
      <c r="W16" s="715">
        <f>J16</f>
        <v>100</v>
      </c>
      <c r="X16" s="1489"/>
      <c r="Y16" s="3546"/>
      <c r="Z16" s="1490" t="str">
        <f>Q16</f>
        <v>公共配套设施</v>
      </c>
      <c r="AA16" s="1487">
        <f t="shared" si="3"/>
        <v>1</v>
      </c>
      <c r="AB16" s="1487">
        <f t="shared" si="4"/>
        <v>1</v>
      </c>
      <c r="AC16" s="1487">
        <f t="shared" si="5"/>
        <v>1</v>
      </c>
    </row>
    <row r="17" spans="1:29" ht="15.5">
      <c r="A17" s="364"/>
      <c r="B17" s="588"/>
      <c r="C17" s="2036"/>
      <c r="D17" s="407"/>
      <c r="E17" s="406"/>
      <c r="F17" s="408"/>
      <c r="G17" s="406"/>
      <c r="H17" s="407"/>
      <c r="I17" s="406"/>
      <c r="J17" s="407"/>
      <c r="K17" s="572"/>
      <c r="L17" s="2896"/>
      <c r="M17" s="2890"/>
      <c r="N17" s="2890"/>
      <c r="O17" s="2890"/>
      <c r="P17" s="3546"/>
      <c r="Q17" s="1486"/>
      <c r="R17" s="714"/>
      <c r="S17" s="715"/>
      <c r="T17" s="714"/>
      <c r="U17" s="715"/>
      <c r="V17" s="714"/>
      <c r="W17" s="715"/>
      <c r="X17" s="1489"/>
      <c r="Y17" s="3546"/>
      <c r="Z17" s="1490"/>
      <c r="AA17" s="1487">
        <v>1</v>
      </c>
      <c r="AB17" s="1487">
        <v>1</v>
      </c>
      <c r="AC17" s="1487">
        <v>1</v>
      </c>
    </row>
    <row r="18" spans="1:29" ht="42">
      <c r="A18" s="364"/>
      <c r="B18" s="589" t="s">
        <v>2265</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546"/>
      <c r="Q18" s="1486" t="str">
        <f>B18</f>
        <v>基础设施水平</v>
      </c>
      <c r="R18" s="714" t="s">
        <v>17</v>
      </c>
      <c r="S18" s="715">
        <f>F18</f>
        <v>100</v>
      </c>
      <c r="T18" s="714" t="s">
        <v>17</v>
      </c>
      <c r="U18" s="715">
        <f>H18</f>
        <v>100</v>
      </c>
      <c r="V18" s="714" t="s">
        <v>17</v>
      </c>
      <c r="W18" s="715">
        <f>J18</f>
        <v>100</v>
      </c>
      <c r="X18" s="1489"/>
      <c r="Y18" s="3546"/>
      <c r="Z18" s="1490" t="str">
        <f>Q18</f>
        <v>基础设施水平</v>
      </c>
      <c r="AA18" s="1487">
        <f t="shared" ref="AA18" si="8">D18/F18</f>
        <v>1</v>
      </c>
      <c r="AB18" s="1487">
        <f t="shared" ref="AB18" si="9">D18/H18</f>
        <v>1</v>
      </c>
      <c r="AC18" s="1487">
        <f t="shared" ref="AC18" si="10">D18/J18</f>
        <v>1</v>
      </c>
    </row>
    <row r="19" spans="1:29" ht="15.5">
      <c r="A19" s="364"/>
      <c r="B19" s="589"/>
      <c r="C19" s="2036"/>
      <c r="D19" s="409"/>
      <c r="E19" s="2036"/>
      <c r="F19" s="412"/>
      <c r="G19" s="2036"/>
      <c r="H19" s="407"/>
      <c r="I19" s="406"/>
      <c r="J19" s="407"/>
      <c r="K19" s="1244"/>
      <c r="L19" s="2896"/>
      <c r="M19" s="2890"/>
      <c r="N19" s="2890"/>
      <c r="O19" s="2890"/>
      <c r="P19" s="3546"/>
      <c r="Q19" s="1486"/>
      <c r="R19" s="714"/>
      <c r="S19" s="715"/>
      <c r="T19" s="714"/>
      <c r="U19" s="715"/>
      <c r="V19" s="714"/>
      <c r="W19" s="715"/>
      <c r="X19" s="1489"/>
      <c r="Y19" s="3546"/>
      <c r="Z19" s="1490"/>
      <c r="AA19" s="1487">
        <v>1</v>
      </c>
      <c r="AB19" s="1487">
        <v>1</v>
      </c>
      <c r="AC19" s="1487">
        <v>1</v>
      </c>
    </row>
    <row r="20" spans="1:29" ht="56">
      <c r="A20" s="364"/>
      <c r="B20" s="587" t="s">
        <v>2286</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546"/>
      <c r="Q20" s="1486" t="str">
        <f>B20</f>
        <v>自然及人文环境</v>
      </c>
      <c r="R20" s="714" t="s">
        <v>17</v>
      </c>
      <c r="S20" s="715">
        <f>F20</f>
        <v>100</v>
      </c>
      <c r="T20" s="714" t="s">
        <v>17</v>
      </c>
      <c r="U20" s="715">
        <f>H20</f>
        <v>100</v>
      </c>
      <c r="V20" s="714" t="s">
        <v>17</v>
      </c>
      <c r="W20" s="715">
        <f>J20</f>
        <v>100</v>
      </c>
      <c r="X20" s="1489"/>
      <c r="Y20" s="3546"/>
      <c r="Z20" s="1490" t="str">
        <f>Q20</f>
        <v>自然及人文环境</v>
      </c>
      <c r="AA20" s="1487">
        <f t="shared" si="3"/>
        <v>1</v>
      </c>
      <c r="AB20" s="1487">
        <f t="shared" si="4"/>
        <v>1</v>
      </c>
      <c r="AC20" s="1487">
        <f t="shared" si="5"/>
        <v>1</v>
      </c>
    </row>
    <row r="21" spans="1:29" ht="15.5">
      <c r="A21" s="364"/>
      <c r="B21" s="588"/>
      <c r="C21" s="406"/>
      <c r="D21" s="407"/>
      <c r="E21" s="406"/>
      <c r="F21" s="408"/>
      <c r="G21" s="406"/>
      <c r="H21" s="407"/>
      <c r="I21" s="406"/>
      <c r="J21" s="407"/>
      <c r="K21" s="572"/>
      <c r="L21" s="2896"/>
      <c r="M21" s="2890"/>
      <c r="N21" s="2890"/>
      <c r="O21" s="2890"/>
      <c r="P21" s="3546"/>
      <c r="Q21" s="1486"/>
      <c r="R21" s="714"/>
      <c r="S21" s="715"/>
      <c r="T21" s="714"/>
      <c r="U21" s="715"/>
      <c r="V21" s="714"/>
      <c r="W21" s="715"/>
      <c r="X21" s="1489"/>
      <c r="Y21" s="3546"/>
      <c r="Z21" s="1490"/>
      <c r="AA21" s="1487">
        <v>1</v>
      </c>
      <c r="AB21" s="1487">
        <v>1</v>
      </c>
      <c r="AC21" s="1487">
        <v>1</v>
      </c>
    </row>
    <row r="22" spans="1:29" ht="15.5">
      <c r="A22" s="364"/>
      <c r="B22" s="587" t="s">
        <v>2287</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546"/>
      <c r="Q22" s="1486" t="str">
        <f>B22</f>
        <v>楼层</v>
      </c>
      <c r="R22" s="714" t="s">
        <v>17</v>
      </c>
      <c r="S22" s="715">
        <f>F22</f>
        <v>100</v>
      </c>
      <c r="T22" s="714" t="s">
        <v>17</v>
      </c>
      <c r="U22" s="715">
        <f>H22</f>
        <v>100</v>
      </c>
      <c r="V22" s="714" t="s">
        <v>17</v>
      </c>
      <c r="W22" s="715">
        <f>J22</f>
        <v>100</v>
      </c>
      <c r="X22" s="1489"/>
      <c r="Y22" s="3546"/>
      <c r="Z22" s="1490" t="str">
        <f>Q22</f>
        <v>楼层</v>
      </c>
      <c r="AA22" s="1487">
        <f t="shared" si="3"/>
        <v>1</v>
      </c>
      <c r="AB22" s="1487">
        <f t="shared" si="4"/>
        <v>1</v>
      </c>
      <c r="AC22" s="1487">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546"/>
      <c r="Q23" s="1486">
        <f>B23</f>
        <v>111</v>
      </c>
      <c r="R23" s="714" t="s">
        <v>17</v>
      </c>
      <c r="S23" s="715">
        <f>F23</f>
        <v>100</v>
      </c>
      <c r="T23" s="714" t="s">
        <v>17</v>
      </c>
      <c r="U23" s="715">
        <f>H23</f>
        <v>100</v>
      </c>
      <c r="V23" s="714" t="s">
        <v>17</v>
      </c>
      <c r="W23" s="715">
        <f>J23</f>
        <v>100</v>
      </c>
      <c r="X23" s="1489"/>
      <c r="Y23" s="3546"/>
      <c r="Z23" s="1490">
        <f>Q23</f>
        <v>111</v>
      </c>
      <c r="AA23" s="1487">
        <f t="shared" si="3"/>
        <v>1</v>
      </c>
      <c r="AB23" s="1487">
        <f t="shared" si="4"/>
        <v>1</v>
      </c>
      <c r="AC23" s="1487">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546"/>
      <c r="Q24" s="1486">
        <f t="shared" ref="Q24:Q36" si="11">B24</f>
        <v>111</v>
      </c>
      <c r="R24" s="714" t="s">
        <v>17</v>
      </c>
      <c r="S24" s="715">
        <f>F24</f>
        <v>100</v>
      </c>
      <c r="T24" s="714" t="s">
        <v>17</v>
      </c>
      <c r="U24" s="715">
        <f>H24</f>
        <v>100</v>
      </c>
      <c r="V24" s="714" t="s">
        <v>17</v>
      </c>
      <c r="W24" s="715">
        <f>J24</f>
        <v>100</v>
      </c>
      <c r="X24" s="1489"/>
      <c r="Y24" s="3546"/>
      <c r="Z24" s="1490">
        <f>Q24</f>
        <v>111</v>
      </c>
      <c r="AA24" s="1487">
        <f t="shared" si="3"/>
        <v>1</v>
      </c>
      <c r="AB24" s="1487">
        <f t="shared" si="4"/>
        <v>1</v>
      </c>
      <c r="AC24" s="1487">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546"/>
      <c r="Q25" s="1477">
        <f t="shared" si="11"/>
        <v>111</v>
      </c>
      <c r="R25" s="710" t="s">
        <v>17</v>
      </c>
      <c r="S25" s="711">
        <f>F25</f>
        <v>100</v>
      </c>
      <c r="T25" s="710" t="s">
        <v>17</v>
      </c>
      <c r="U25" s="711">
        <f>H25</f>
        <v>100</v>
      </c>
      <c r="V25" s="710" t="s">
        <v>17</v>
      </c>
      <c r="W25" s="711">
        <f>J25</f>
        <v>100</v>
      </c>
      <c r="X25" s="712"/>
      <c r="Y25" s="3546"/>
      <c r="Z25" s="55">
        <f>Q25</f>
        <v>111</v>
      </c>
      <c r="AA25" s="1487">
        <f>D25/F25</f>
        <v>1</v>
      </c>
      <c r="AB25" s="1487">
        <f>D25/H25</f>
        <v>1</v>
      </c>
      <c r="AC25" s="1487">
        <f>D25/J25</f>
        <v>1</v>
      </c>
    </row>
    <row r="26" spans="1:29" ht="29">
      <c r="A26" s="608" t="s">
        <v>2139</v>
      </c>
      <c r="B26" s="66" t="s">
        <v>2288</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626" t="s">
        <v>2141</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50" t="s">
        <v>2141</v>
      </c>
      <c r="Z26" s="1490" t="str">
        <f t="shared" ref="Z26:Z36" si="15">Q26</f>
        <v>配套类型</v>
      </c>
      <c r="AA26" s="1487">
        <f t="shared" si="3"/>
        <v>1</v>
      </c>
      <c r="AB26" s="1487">
        <f t="shared" si="4"/>
        <v>1</v>
      </c>
      <c r="AC26" s="1487">
        <f t="shared" si="5"/>
        <v>1</v>
      </c>
    </row>
    <row r="27" spans="1:29" s="430" customFormat="1" ht="15.5">
      <c r="A27" s="609"/>
      <c r="B27" s="610" t="s">
        <v>2289</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550"/>
      <c r="Q27" s="716" t="str">
        <f t="shared" si="11"/>
        <v>项目停车位配比</v>
      </c>
      <c r="R27" s="717" t="s">
        <v>17</v>
      </c>
      <c r="S27" s="718">
        <f t="shared" si="12"/>
        <v>100</v>
      </c>
      <c r="T27" s="717" t="s">
        <v>17</v>
      </c>
      <c r="U27" s="718">
        <f t="shared" si="13"/>
        <v>100</v>
      </c>
      <c r="V27" s="717" t="s">
        <v>17</v>
      </c>
      <c r="W27" s="718">
        <f t="shared" si="14"/>
        <v>100</v>
      </c>
      <c r="X27" s="719"/>
      <c r="Y27" s="3550"/>
      <c r="Z27" s="720" t="str">
        <f t="shared" si="15"/>
        <v>项目停车位配比</v>
      </c>
      <c r="AA27" s="1487">
        <f t="shared" si="3"/>
        <v>1</v>
      </c>
      <c r="AB27" s="1487">
        <f t="shared" si="4"/>
        <v>1</v>
      </c>
      <c r="AC27" s="1487">
        <f t="shared" si="5"/>
        <v>1</v>
      </c>
    </row>
    <row r="28" spans="1:29" ht="15.5">
      <c r="A28" s="612"/>
      <c r="B28" s="610" t="s">
        <v>2290</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550"/>
      <c r="Q28" s="1486" t="str">
        <f t="shared" si="11"/>
        <v>公共部分装修</v>
      </c>
      <c r="R28" s="714" t="s">
        <v>17</v>
      </c>
      <c r="S28" s="715">
        <f t="shared" si="12"/>
        <v>100</v>
      </c>
      <c r="T28" s="714" t="s">
        <v>17</v>
      </c>
      <c r="U28" s="715">
        <f t="shared" si="13"/>
        <v>100</v>
      </c>
      <c r="V28" s="714" t="s">
        <v>17</v>
      </c>
      <c r="W28" s="715">
        <f t="shared" si="14"/>
        <v>100</v>
      </c>
      <c r="X28" s="1489"/>
      <c r="Y28" s="3550"/>
      <c r="Z28" s="1490" t="str">
        <f t="shared" si="15"/>
        <v>公共部分装修</v>
      </c>
      <c r="AA28" s="1487">
        <f t="shared" si="3"/>
        <v>1</v>
      </c>
      <c r="AB28" s="1487">
        <f t="shared" si="4"/>
        <v>1</v>
      </c>
      <c r="AC28" s="1487">
        <f t="shared" si="5"/>
        <v>1</v>
      </c>
    </row>
    <row r="29" spans="1:29" ht="15.5">
      <c r="A29" s="612"/>
      <c r="B29" s="610" t="s">
        <v>2291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550"/>
      <c r="Q29" s="1486" t="str">
        <f t="shared" si="11"/>
        <v>成新率</v>
      </c>
      <c r="R29" s="714" t="s">
        <v>17</v>
      </c>
      <c r="S29" s="715" t="e">
        <f t="shared" si="12"/>
        <v>#N/A</v>
      </c>
      <c r="T29" s="714" t="s">
        <v>17</v>
      </c>
      <c r="U29" s="715" t="e">
        <f t="shared" si="13"/>
        <v>#N/A</v>
      </c>
      <c r="V29" s="714" t="s">
        <v>17</v>
      </c>
      <c r="W29" s="715" t="e">
        <f t="shared" si="14"/>
        <v>#N/A</v>
      </c>
      <c r="X29" s="1489"/>
      <c r="Y29" s="3550"/>
      <c r="Z29" s="1490" t="str">
        <f t="shared" si="15"/>
        <v>成新率</v>
      </c>
      <c r="AA29" s="1487" t="e">
        <f t="shared" si="3"/>
        <v>#N/A</v>
      </c>
      <c r="AB29" s="1487" t="e">
        <f t="shared" si="4"/>
        <v>#N/A</v>
      </c>
      <c r="AC29" s="1487" t="e">
        <f t="shared" si="5"/>
        <v>#N/A</v>
      </c>
    </row>
    <row r="30" spans="1:29" ht="15.5">
      <c r="A30" s="612"/>
      <c r="B30" s="610" t="s">
        <v>2292</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550"/>
      <c r="Q30" s="1486" t="str">
        <f t="shared" si="11"/>
        <v>物业等级</v>
      </c>
      <c r="R30" s="714" t="s">
        <v>17</v>
      </c>
      <c r="S30" s="715">
        <f t="shared" si="12"/>
        <v>100</v>
      </c>
      <c r="T30" s="714" t="s">
        <v>17</v>
      </c>
      <c r="U30" s="715">
        <f t="shared" si="13"/>
        <v>100</v>
      </c>
      <c r="V30" s="714" t="s">
        <v>17</v>
      </c>
      <c r="W30" s="715">
        <f t="shared" si="14"/>
        <v>100</v>
      </c>
      <c r="X30" s="1489"/>
      <c r="Y30" s="3550"/>
      <c r="Z30" s="1490" t="str">
        <f t="shared" si="15"/>
        <v>物业等级</v>
      </c>
      <c r="AA30" s="1487">
        <f t="shared" si="3"/>
        <v>1</v>
      </c>
      <c r="AB30" s="1487">
        <f t="shared" si="4"/>
        <v>1</v>
      </c>
      <c r="AC30" s="1487">
        <f t="shared" si="5"/>
        <v>1</v>
      </c>
    </row>
    <row r="31" spans="1:29" s="113" customFormat="1" ht="15.5">
      <c r="A31" s="614"/>
      <c r="B31" s="610" t="s">
        <v>2293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550"/>
      <c r="Q31" s="1477" t="str">
        <f t="shared" si="11"/>
        <v>停车位面积</v>
      </c>
      <c r="R31" s="710" t="s">
        <v>17</v>
      </c>
      <c r="S31" s="711" t="e">
        <f t="shared" si="12"/>
        <v>#N/A</v>
      </c>
      <c r="T31" s="710" t="s">
        <v>17</v>
      </c>
      <c r="U31" s="711" t="e">
        <f t="shared" si="13"/>
        <v>#N/A</v>
      </c>
      <c r="V31" s="710" t="s">
        <v>17</v>
      </c>
      <c r="W31" s="711" t="e">
        <f t="shared" si="14"/>
        <v>#N/A</v>
      </c>
      <c r="X31" s="712"/>
      <c r="Y31" s="3550"/>
      <c r="Z31" s="55" t="str">
        <f t="shared" si="15"/>
        <v>停车位面积</v>
      </c>
      <c r="AA31" s="713" t="e">
        <f t="shared" si="3"/>
        <v>#N/A</v>
      </c>
      <c r="AB31" s="713" t="e">
        <f t="shared" si="4"/>
        <v>#N/A</v>
      </c>
      <c r="AC31" s="713" t="e">
        <f t="shared" si="5"/>
        <v>#N/A</v>
      </c>
    </row>
    <row r="32" spans="1:29" ht="15.5">
      <c r="A32" s="612"/>
      <c r="B32" s="610" t="s">
        <v>2294</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550" t="s">
        <v>2141</v>
      </c>
      <c r="Q32" s="1486" t="str">
        <f t="shared" si="11"/>
        <v>车位类型</v>
      </c>
      <c r="R32" s="714" t="s">
        <v>17</v>
      </c>
      <c r="S32" s="715">
        <f t="shared" si="12"/>
        <v>100</v>
      </c>
      <c r="T32" s="714" t="s">
        <v>17</v>
      </c>
      <c r="U32" s="715">
        <f t="shared" si="13"/>
        <v>100</v>
      </c>
      <c r="V32" s="714" t="s">
        <v>17</v>
      </c>
      <c r="W32" s="715">
        <f t="shared" si="14"/>
        <v>100</v>
      </c>
      <c r="X32" s="1489"/>
      <c r="Y32" s="3550" t="s">
        <v>2141</v>
      </c>
      <c r="Z32" s="1490" t="str">
        <f t="shared" si="15"/>
        <v>车位类型</v>
      </c>
      <c r="AA32" s="1487">
        <f t="shared" si="3"/>
        <v>1</v>
      </c>
      <c r="AB32" s="1487">
        <f t="shared" si="4"/>
        <v>1</v>
      </c>
      <c r="AC32" s="1487">
        <f t="shared" si="5"/>
        <v>1</v>
      </c>
    </row>
    <row r="33" spans="1:29" ht="15.5">
      <c r="A33" s="612"/>
      <c r="B33" s="610" t="s">
        <v>2295</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550"/>
      <c r="Q33" s="1486" t="str">
        <f t="shared" si="11"/>
        <v>是否直接入户</v>
      </c>
      <c r="R33" s="714" t="s">
        <v>17</v>
      </c>
      <c r="S33" s="715">
        <f t="shared" si="12"/>
        <v>100</v>
      </c>
      <c r="T33" s="714" t="s">
        <v>17</v>
      </c>
      <c r="U33" s="715">
        <f t="shared" si="13"/>
        <v>100</v>
      </c>
      <c r="V33" s="714" t="s">
        <v>17</v>
      </c>
      <c r="W33" s="715">
        <f t="shared" si="14"/>
        <v>100</v>
      </c>
      <c r="X33" s="1489"/>
      <c r="Y33" s="3550"/>
      <c r="Z33" s="1490" t="str">
        <f t="shared" si="15"/>
        <v>是否直接入户</v>
      </c>
      <c r="AA33" s="1487">
        <f t="shared" si="3"/>
        <v>1</v>
      </c>
      <c r="AB33" s="1487">
        <f t="shared" si="4"/>
        <v>1</v>
      </c>
      <c r="AC33" s="1487">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550"/>
      <c r="Q34" s="1486">
        <f t="shared" si="11"/>
        <v>111</v>
      </c>
      <c r="R34" s="714" t="s">
        <v>17</v>
      </c>
      <c r="S34" s="715">
        <f t="shared" si="12"/>
        <v>100</v>
      </c>
      <c r="T34" s="714" t="s">
        <v>17</v>
      </c>
      <c r="U34" s="715">
        <f t="shared" si="13"/>
        <v>100</v>
      </c>
      <c r="V34" s="714" t="s">
        <v>17</v>
      </c>
      <c r="W34" s="715">
        <f t="shared" si="14"/>
        <v>100</v>
      </c>
      <c r="X34" s="1489"/>
      <c r="Y34" s="3550"/>
      <c r="Z34" s="1490">
        <f t="shared" si="15"/>
        <v>111</v>
      </c>
      <c r="AA34" s="1487">
        <f t="shared" si="3"/>
        <v>1</v>
      </c>
      <c r="AB34" s="1487">
        <f t="shared" si="4"/>
        <v>1</v>
      </c>
      <c r="AC34" s="1487">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550"/>
      <c r="Q35" s="716">
        <f t="shared" si="11"/>
        <v>111</v>
      </c>
      <c r="R35" s="717" t="s">
        <v>17</v>
      </c>
      <c r="S35" s="718">
        <f t="shared" si="12"/>
        <v>100</v>
      </c>
      <c r="T35" s="717" t="s">
        <v>17</v>
      </c>
      <c r="U35" s="718">
        <f t="shared" si="13"/>
        <v>100</v>
      </c>
      <c r="V35" s="717" t="s">
        <v>17</v>
      </c>
      <c r="W35" s="718">
        <f t="shared" si="14"/>
        <v>100</v>
      </c>
      <c r="X35" s="719"/>
      <c r="Y35" s="3550"/>
      <c r="Z35" s="720">
        <f t="shared" si="15"/>
        <v>111</v>
      </c>
      <c r="AA35" s="1487">
        <f t="shared" si="3"/>
        <v>1</v>
      </c>
      <c r="AB35" s="1487">
        <f t="shared" si="4"/>
        <v>1</v>
      </c>
      <c r="AC35" s="1487">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550"/>
      <c r="Q36" s="1486">
        <f t="shared" si="11"/>
        <v>111</v>
      </c>
      <c r="R36" s="714" t="s">
        <v>17</v>
      </c>
      <c r="S36" s="715">
        <f t="shared" si="12"/>
        <v>100</v>
      </c>
      <c r="T36" s="714" t="s">
        <v>17</v>
      </c>
      <c r="U36" s="715">
        <f t="shared" si="13"/>
        <v>100</v>
      </c>
      <c r="V36" s="714" t="s">
        <v>17</v>
      </c>
      <c r="W36" s="715">
        <f t="shared" si="14"/>
        <v>100</v>
      </c>
      <c r="X36" s="1489"/>
      <c r="Y36" s="3550"/>
      <c r="Z36" s="1490">
        <f t="shared" si="15"/>
        <v>111</v>
      </c>
      <c r="AA36" s="1487">
        <f t="shared" si="3"/>
        <v>1</v>
      </c>
      <c r="AB36" s="1487">
        <f t="shared" si="4"/>
        <v>1</v>
      </c>
      <c r="AC36" s="1487">
        <f t="shared" si="5"/>
        <v>1</v>
      </c>
    </row>
    <row r="37" spans="1:29">
      <c r="A37" s="438" t="s">
        <v>2296</v>
      </c>
      <c r="B37" s="2108" t="s">
        <v>2297</v>
      </c>
      <c r="C37" s="1268" t="s">
        <v>1</v>
      </c>
      <c r="D37" s="1269"/>
      <c r="E37" s="1270"/>
      <c r="F37" s="1271"/>
      <c r="G37" s="1272"/>
      <c r="H37" s="1273"/>
      <c r="I37" s="1270"/>
      <c r="J37" s="1273"/>
      <c r="K37" s="576"/>
      <c r="L37" s="2898"/>
      <c r="M37" s="2899"/>
      <c r="N37" s="2890"/>
      <c r="O37" s="2899"/>
      <c r="P37" s="3538" t="str">
        <f>A37</f>
        <v>成交单价</v>
      </c>
      <c r="Q37" s="3538"/>
      <c r="R37" s="3539">
        <f>E37</f>
        <v>0</v>
      </c>
      <c r="S37" s="3539"/>
      <c r="T37" s="3539">
        <f>G37</f>
        <v>0</v>
      </c>
      <c r="U37" s="3539"/>
      <c r="V37" s="3539">
        <f>I37</f>
        <v>0</v>
      </c>
      <c r="W37" s="3539"/>
      <c r="X37" s="699"/>
      <c r="Y37" s="721"/>
      <c r="Z37" s="699"/>
      <c r="AA37" s="699"/>
      <c r="AB37" s="699"/>
      <c r="AC37" s="699"/>
    </row>
    <row r="38" spans="1:29" ht="14.5" thickBot="1">
      <c r="A38" s="445" t="s">
        <v>2298</v>
      </c>
      <c r="B38" s="446" t="str">
        <f>B37</f>
        <v>元/车位</v>
      </c>
      <c r="C38" s="1274" t="e">
        <f>R39</f>
        <v>#DIV/0!</v>
      </c>
      <c r="D38" s="2487" t="s">
        <v>2635</v>
      </c>
      <c r="E38" s="1275" t="e">
        <f>R38</f>
        <v>#DIV/0!</v>
      </c>
      <c r="F38" s="2488"/>
      <c r="G38" s="1274" t="e">
        <f>T38</f>
        <v>#DIV/0!</v>
      </c>
      <c r="H38" s="2488"/>
      <c r="I38" s="1275" t="e">
        <f>V38</f>
        <v>#DIV/0!</v>
      </c>
      <c r="J38" s="2488"/>
      <c r="K38" s="2490">
        <f>F38+H38+J38</f>
        <v>0</v>
      </c>
      <c r="L38" s="2898"/>
      <c r="M38" s="2899"/>
      <c r="N38" s="2899"/>
      <c r="O38" s="2899"/>
      <c r="P38" s="3538" t="str">
        <f>A38</f>
        <v>比较价值（元/平方米）</v>
      </c>
      <c r="Q38" s="3538"/>
      <c r="R38" s="3539" t="e">
        <f>IF(F1="售价",ROUND(PRODUCT(R37,AA7:AA36),0),ROUND(PRODUCT(R37,AA7:AA36),1))</f>
        <v>#DIV/0!</v>
      </c>
      <c r="S38" s="3539"/>
      <c r="T38" s="3539" t="e">
        <f>IF(F1="售价",ROUND(PRODUCT(T37,AB7:AB36),0),ROUND(PRODUCT(T37,AB7:AB36),1))</f>
        <v>#DIV/0!</v>
      </c>
      <c r="U38" s="3539"/>
      <c r="V38" s="3539" t="e">
        <f>IF(F1="售价",ROUND(PRODUCT(V37,AC7:AC36),0),ROUND(PRODUCT(V37,AC7:AC36),1))</f>
        <v>#DIV/0!</v>
      </c>
      <c r="W38" s="3539"/>
      <c r="X38" s="699"/>
      <c r="Y38" s="699"/>
      <c r="Z38" s="699"/>
      <c r="AA38" s="699"/>
      <c r="AB38" s="699"/>
      <c r="AC38" s="699"/>
    </row>
    <row r="39" spans="1:29" ht="14.5" thickBot="1">
      <c r="A39" s="449" t="s">
        <v>2299</v>
      </c>
      <c r="B39" s="450"/>
      <c r="C39" s="1277" t="e">
        <f>R39</f>
        <v>#DIV/0!</v>
      </c>
      <c r="D39" s="1277"/>
      <c r="E39" s="1277"/>
      <c r="F39" s="1277"/>
      <c r="G39" s="1277"/>
      <c r="H39" s="1277"/>
      <c r="I39" s="1277"/>
      <c r="J39" s="1277"/>
      <c r="K39" s="577"/>
      <c r="L39" s="2898"/>
      <c r="M39" s="2899"/>
      <c r="N39" s="2899"/>
      <c r="O39" s="2899"/>
      <c r="P39" s="3615" t="str">
        <f>A39</f>
        <v>估价对象XX用房的比较价值（楼面单价，元/平方米）</v>
      </c>
      <c r="Q39" s="3616"/>
      <c r="R39" s="3627" t="e">
        <f>IF(F1="售价",ROUND(IF(D38="简单平均",AVERAGE(R38:W38),R38*F38+T38*H38+V38*J38),0),ROUND(IF(D38="简单平均",AVERAGE(R38:V38),R38*F38+T38*H38+V38*J38),1))</f>
        <v>#DIV/0!</v>
      </c>
      <c r="S39" s="3627"/>
      <c r="T39" s="3627"/>
      <c r="U39" s="3627"/>
      <c r="V39" s="3627"/>
      <c r="W39" s="3627"/>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5" thickBot="1">
      <c r="A47" s="1280" t="s">
        <v>2303</v>
      </c>
      <c r="B47" s="1038"/>
      <c r="C47" s="1051"/>
      <c r="D47" s="1051"/>
      <c r="E47" s="1051"/>
      <c r="F47" s="1281"/>
      <c r="G47" s="1281"/>
      <c r="H47" s="1051"/>
      <c r="I47" s="1051"/>
      <c r="J47" s="1051"/>
      <c r="K47" s="1052"/>
      <c r="L47" s="1053"/>
      <c r="M47" s="1051"/>
      <c r="N47" s="2943"/>
      <c r="O47" s="2943"/>
      <c r="P47" s="2932"/>
      <c r="Q47" s="2913"/>
      <c r="R47" s="2899"/>
      <c r="S47" s="2899"/>
      <c r="T47" s="2899"/>
      <c r="U47" s="2899"/>
      <c r="V47" s="2899"/>
      <c r="W47" s="2899"/>
      <c r="X47" s="2899"/>
      <c r="Y47" s="2899"/>
      <c r="Z47" s="2899"/>
      <c r="AA47" s="2899"/>
      <c r="AB47" s="2899"/>
      <c r="AC47" s="2899"/>
    </row>
    <row r="48" spans="1:29" s="465" customFormat="1">
      <c r="A48" s="462" t="s">
        <v>2304</v>
      </c>
      <c r="B48" s="463"/>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3"/>
      <c r="Q48" s="2915"/>
      <c r="R48" s="2915"/>
      <c r="S48" s="2915"/>
      <c r="T48" s="2915"/>
      <c r="U48" s="2915"/>
      <c r="V48" s="2915"/>
      <c r="W48" s="2915"/>
      <c r="X48" s="2915"/>
      <c r="Y48" s="2915"/>
      <c r="Z48" s="2915"/>
      <c r="AA48" s="2915"/>
      <c r="AB48" s="2915"/>
      <c r="AC48" s="2915"/>
    </row>
    <row r="49" spans="1:29" s="113" customFormat="1">
      <c r="A49" s="466"/>
      <c r="B49" s="467"/>
      <c r="C49" s="1291">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4.5" thickBot="1">
      <c r="A50" s="472" t="s">
        <v>2161</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c r="A51" s="478" t="s">
        <v>2126</v>
      </c>
      <c r="B51" s="467"/>
      <c r="C51" s="479" t="s">
        <v>2228</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4.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2164</v>
      </c>
      <c r="B53" s="485" t="s">
        <v>2130</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4.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8.5" thickTop="1">
      <c r="A55" s="491"/>
      <c r="B55" s="495" t="s">
        <v>2133</v>
      </c>
      <c r="C55" s="496" t="s">
        <v>2165</v>
      </c>
      <c r="D55" s="496" t="s">
        <v>2166</v>
      </c>
      <c r="E55" s="496" t="s">
        <v>2167</v>
      </c>
      <c r="F55" s="496" t="s">
        <v>2168</v>
      </c>
      <c r="G55" s="496" t="s">
        <v>2169</v>
      </c>
      <c r="H55" s="496" t="s">
        <v>2170</v>
      </c>
      <c r="I55" s="496" t="s">
        <v>2171</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4.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4.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4.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4.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4.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4.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4.5" thickTop="1">
      <c r="A63" s="484" t="s">
        <v>2135</v>
      </c>
      <c r="B63" s="485" t="s">
        <v>2178</v>
      </c>
      <c r="C63" s="530" t="s">
        <v>2173</v>
      </c>
      <c r="D63" s="530" t="s">
        <v>2174</v>
      </c>
      <c r="E63" s="530" t="s">
        <v>2175</v>
      </c>
      <c r="F63" s="530" t="s">
        <v>2176</v>
      </c>
      <c r="G63" s="530" t="s">
        <v>2177</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4.5" thickTop="1">
      <c r="A65" s="491"/>
      <c r="B65" s="495" t="s">
        <v>2179</v>
      </c>
      <c r="C65" s="535" t="s">
        <v>2173</v>
      </c>
      <c r="D65" s="535" t="s">
        <v>2174</v>
      </c>
      <c r="E65" s="535" t="s">
        <v>2175</v>
      </c>
      <c r="F65" s="535" t="s">
        <v>2176</v>
      </c>
      <c r="G65" s="535" t="s">
        <v>2177</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4.5" thickTop="1">
      <c r="A67" s="491"/>
      <c r="B67" s="503" t="s">
        <v>2265</v>
      </c>
      <c r="C67" s="616" t="s">
        <v>2251</v>
      </c>
      <c r="D67" s="616" t="s">
        <v>2252</v>
      </c>
      <c r="E67" s="616" t="s">
        <v>2253</v>
      </c>
      <c r="F67" s="616" t="s">
        <v>2254</v>
      </c>
      <c r="G67" s="616" t="s">
        <v>2255</v>
      </c>
      <c r="H67" s="496"/>
      <c r="I67" s="496"/>
      <c r="J67" s="496"/>
      <c r="K67" s="496"/>
      <c r="L67" s="496"/>
      <c r="M67" s="1243"/>
      <c r="N67" s="2928"/>
      <c r="O67" s="2928"/>
      <c r="P67" s="2936"/>
      <c r="Q67" s="2913"/>
      <c r="R67" s="2899"/>
      <c r="S67" s="2899"/>
      <c r="T67" s="2899"/>
      <c r="U67" s="2899"/>
      <c r="V67" s="2899"/>
      <c r="W67" s="2899"/>
      <c r="X67" s="2899"/>
      <c r="Y67" s="2899"/>
      <c r="Z67" s="2899"/>
      <c r="AA67" s="2899"/>
      <c r="AB67" s="2899"/>
      <c r="AC67" s="2899"/>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4.5" thickTop="1">
      <c r="A69" s="491"/>
      <c r="B69" s="495" t="s">
        <v>2185</v>
      </c>
      <c r="C69" s="535" t="s">
        <v>2173</v>
      </c>
      <c r="D69" s="535" t="s">
        <v>2174</v>
      </c>
      <c r="E69" s="535" t="s">
        <v>2175</v>
      </c>
      <c r="F69" s="535" t="s">
        <v>2176</v>
      </c>
      <c r="G69" s="535" t="s">
        <v>2177</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4.5" thickTop="1">
      <c r="A71" s="491"/>
      <c r="B71" s="495" t="s">
        <v>2305</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4.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4.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4.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4.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4.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4.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8.5" thickTop="1">
      <c r="A79" s="484" t="s">
        <v>2139</v>
      </c>
      <c r="B79" s="485" t="s">
        <v>2306</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4.5" thickTop="1">
      <c r="A81" s="491"/>
      <c r="B81" s="495" t="s">
        <v>2307</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4.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4.5" thickTop="1">
      <c r="A83" s="556"/>
      <c r="B83" s="495" t="s">
        <v>2192</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4.5" thickTop="1">
      <c r="A85" s="556"/>
      <c r="B85" s="495" t="s">
        <v>2308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4.5" thickTop="1">
      <c r="A88" s="556"/>
      <c r="B88" s="503" t="s">
        <v>2309</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4.5" thickTop="1">
      <c r="A90" s="550"/>
      <c r="B90" s="495" t="s">
        <v>2310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4.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4.5" thickTop="1">
      <c r="A93" s="556"/>
      <c r="B93" s="495" t="s">
        <v>2311</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4.5" thickTop="1">
      <c r="A95" s="556"/>
      <c r="B95" s="495" t="s">
        <v>2312</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4.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4.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4.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4.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4.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4.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4.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E17 I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C2" xr:uid="{00000000-0002-0000-2D00-000011000000}">
      <formula1>"需扣减承租人权益,——"</formula1>
    </dataValidation>
    <dataValidation type="list" allowBlank="1" showInputMessage="1" showErrorMessage="1" sqref="F2" xr:uid="{00000000-0002-0000-2D00-000012000000}">
      <formula1>估价方法</formula1>
    </dataValidation>
    <dataValidation type="list" allowBlank="1" showInputMessage="1" showErrorMessage="1" sqref="D38" xr:uid="{00000000-0002-0000-2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3" customFormat="1" ht="28.5" customHeight="1" thickBot="1">
      <c r="A1" s="1342" t="s">
        <v>2283</v>
      </c>
      <c r="B1" s="1343"/>
      <c r="C1" s="1344" t="s">
        <v>2106</v>
      </c>
      <c r="D1" s="1345"/>
      <c r="E1" s="1354"/>
      <c r="F1" s="2014"/>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1903</v>
      </c>
      <c r="B2" s="1278" t="e">
        <f ca="1">IF(C2="——",ROUND(C37*D3/10000,0),ROUND(C37*D3/10000,0)-D2)</f>
        <v>#DIV/0!</v>
      </c>
      <c r="C2" s="2016"/>
      <c r="D2" s="1018" t="e">
        <f ca="1">SUMIF(INDIRECT("'"&amp;F2&amp;"'"&amp;"!A:A"),"承租人权益价值",INDIRECT("'"&amp;F2&amp;"'"&amp;"!c:c"))</f>
        <v>#REF!</v>
      </c>
      <c r="E2" s="2017" t="s">
        <v>1904</v>
      </c>
      <c r="F2" s="2018"/>
      <c r="G2" s="1019"/>
      <c r="H2" s="1019"/>
      <c r="I2" s="1019"/>
      <c r="J2" s="1019"/>
      <c r="K2" s="1021"/>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1905</v>
      </c>
      <c r="B3" s="566" t="e">
        <f ca="1">IF(C2="——",C37,ROUND(B2*10000/D3,0))</f>
        <v>#DIV/0!</v>
      </c>
      <c r="C3" s="360" t="s">
        <v>2220</v>
      </c>
      <c r="D3" s="359">
        <f>SUMIF('数据-汇总表'!$C19:$C33,D1,'数据-汇总表'!$E19:$E33)</f>
        <v>0</v>
      </c>
      <c r="E3" s="1019"/>
      <c r="F3" s="1020"/>
      <c r="G3" s="1019"/>
      <c r="H3" s="1019"/>
      <c r="I3" s="1019"/>
      <c r="J3" s="1019"/>
      <c r="K3" s="1021"/>
      <c r="L3" s="2908"/>
      <c r="M3" s="2909"/>
      <c r="N3" s="2909"/>
      <c r="O3" s="2909"/>
      <c r="P3" s="708"/>
      <c r="Q3" s="708"/>
      <c r="R3" s="708"/>
      <c r="S3" s="708"/>
      <c r="T3" s="708"/>
      <c r="U3" s="708"/>
      <c r="V3" s="708"/>
      <c r="W3" s="708"/>
      <c r="X3" s="708"/>
      <c r="Y3" s="708"/>
      <c r="Z3" s="708"/>
      <c r="AA3" s="708"/>
      <c r="AB3" s="725"/>
      <c r="AC3" s="722"/>
    </row>
    <row r="4" spans="1:29">
      <c r="A4" s="361" t="s">
        <v>2221</v>
      </c>
      <c r="B4" s="362"/>
      <c r="C4" s="3555" t="s">
        <v>2222</v>
      </c>
      <c r="D4" s="3556"/>
      <c r="E4" s="3557" t="s">
        <v>2223</v>
      </c>
      <c r="F4" s="3558"/>
      <c r="G4" s="3555" t="s">
        <v>2224</v>
      </c>
      <c r="H4" s="3556"/>
      <c r="I4" s="3555" t="s">
        <v>2225</v>
      </c>
      <c r="J4" s="3556"/>
      <c r="K4" s="567" t="s">
        <v>2226</v>
      </c>
      <c r="L4" s="2889"/>
      <c r="M4" s="2890"/>
      <c r="N4" s="2890"/>
      <c r="O4" s="2890"/>
      <c r="P4" s="3619" t="s">
        <v>2227</v>
      </c>
      <c r="Q4" s="3620"/>
      <c r="R4" s="3623" t="s">
        <v>2223</v>
      </c>
      <c r="S4" s="3624"/>
      <c r="T4" s="3623" t="s">
        <v>2224</v>
      </c>
      <c r="U4" s="3624"/>
      <c r="V4" s="3572" t="s">
        <v>2225</v>
      </c>
      <c r="W4" s="3572"/>
      <c r="X4" s="1489"/>
      <c r="Y4" s="3623" t="s">
        <v>2227</v>
      </c>
      <c r="Z4" s="3624"/>
      <c r="AA4" s="3618" t="s">
        <v>2223</v>
      </c>
      <c r="AB4" s="3585" t="s">
        <v>2224</v>
      </c>
      <c r="AC4" s="3618" t="s">
        <v>2225</v>
      </c>
    </row>
    <row r="5" spans="1:29">
      <c r="A5" s="364"/>
      <c r="B5" s="365"/>
      <c r="C5" s="3581" t="s">
        <v>2118</v>
      </c>
      <c r="D5" s="3576"/>
      <c r="E5" s="3625" t="s">
        <v>2119</v>
      </c>
      <c r="F5" s="3588"/>
      <c r="G5" s="3581" t="s">
        <v>2120</v>
      </c>
      <c r="H5" s="3576"/>
      <c r="I5" s="3581" t="s">
        <v>2121</v>
      </c>
      <c r="J5" s="3576"/>
      <c r="K5" s="567"/>
      <c r="L5" s="2889"/>
      <c r="M5" s="2890"/>
      <c r="N5" s="2890"/>
      <c r="O5" s="2890"/>
      <c r="P5" s="3621"/>
      <c r="Q5" s="3562"/>
      <c r="R5" s="3567"/>
      <c r="S5" s="3568"/>
      <c r="T5" s="3567"/>
      <c r="U5" s="3568"/>
      <c r="V5" s="3572"/>
      <c r="W5" s="3572"/>
      <c r="X5" s="1489"/>
      <c r="Y5" s="3567"/>
      <c r="Z5" s="3568"/>
      <c r="AA5" s="3585"/>
      <c r="AB5" s="3585"/>
      <c r="AC5" s="3585"/>
    </row>
    <row r="6" spans="1:29" ht="15" thickBot="1">
      <c r="A6" s="366"/>
      <c r="B6" s="367"/>
      <c r="C6" s="3573" t="s">
        <v>2122</v>
      </c>
      <c r="D6" s="3574"/>
      <c r="E6" s="3582" t="s">
        <v>2122</v>
      </c>
      <c r="F6" s="3583"/>
      <c r="G6" s="3573" t="s">
        <v>2122</v>
      </c>
      <c r="H6" s="3574"/>
      <c r="I6" s="3573" t="s">
        <v>2122</v>
      </c>
      <c r="J6" s="3574"/>
      <c r="K6" s="567" t="s">
        <v>2123</v>
      </c>
      <c r="L6" s="2889"/>
      <c r="M6" s="2890"/>
      <c r="N6" s="2890"/>
      <c r="O6" s="2890"/>
      <c r="P6" s="3622"/>
      <c r="Q6" s="3564"/>
      <c r="R6" s="3567"/>
      <c r="S6" s="3568"/>
      <c r="T6" s="3569"/>
      <c r="U6" s="3570"/>
      <c r="V6" s="3572"/>
      <c r="W6" s="3572"/>
      <c r="X6" s="1489"/>
      <c r="Y6" s="3569"/>
      <c r="Z6" s="3570"/>
      <c r="AA6" s="3586"/>
      <c r="AB6" s="3586"/>
      <c r="AC6" s="3586"/>
    </row>
    <row r="7" spans="1:29" s="113" customFormat="1" ht="14.5" thickBot="1">
      <c r="A7" s="368" t="s">
        <v>2124</v>
      </c>
      <c r="B7" s="369"/>
      <c r="C7" s="370">
        <f>'数据-取费表'!B2</f>
        <v>44691</v>
      </c>
      <c r="D7" s="371">
        <v>100</v>
      </c>
      <c r="E7" s="372"/>
      <c r="F7" s="373">
        <f>SUMIF(46:46,YEAR(E7)&amp;"-"&amp;MONTH(E7),47:47)</f>
        <v>0</v>
      </c>
      <c r="G7" s="2109"/>
      <c r="H7" s="371">
        <f>SUMIF(46:46,YEAR(G7)&amp;"-"&amp;MONTH(G7),47:47)</f>
        <v>0</v>
      </c>
      <c r="I7" s="372"/>
      <c r="J7" s="371">
        <f>SUMIF(46:46,YEAR(I7)&amp;"-"&amp;MONTH(I7),47:47)</f>
        <v>0</v>
      </c>
      <c r="K7" s="568"/>
      <c r="L7" s="2891"/>
      <c r="M7" s="2892"/>
      <c r="N7" s="2892"/>
      <c r="O7" s="2892"/>
      <c r="P7" s="3579" t="s">
        <v>2125</v>
      </c>
      <c r="Q7" s="3580"/>
      <c r="R7" s="710" t="s">
        <v>17</v>
      </c>
      <c r="S7" s="711">
        <f t="shared" ref="S7:S14" si="0">F7</f>
        <v>0</v>
      </c>
      <c r="T7" s="710" t="s">
        <v>17</v>
      </c>
      <c r="U7" s="711">
        <f t="shared" ref="U7:U14" si="1">H7</f>
        <v>0</v>
      </c>
      <c r="V7" s="710" t="s">
        <v>17</v>
      </c>
      <c r="W7" s="711">
        <f t="shared" ref="W7:W14" si="2">J7</f>
        <v>0</v>
      </c>
      <c r="X7" s="712"/>
      <c r="Y7" s="3579" t="s">
        <v>2125</v>
      </c>
      <c r="Z7" s="3578"/>
      <c r="AA7" s="713" t="e">
        <f>D7/F7</f>
        <v>#DIV/0!</v>
      </c>
      <c r="AB7" s="713" t="e">
        <f>D7/H7</f>
        <v>#DIV/0!</v>
      </c>
      <c r="AC7" s="713" t="e">
        <f>D7/J7</f>
        <v>#DIV/0!</v>
      </c>
    </row>
    <row r="8" spans="1:29" s="113" customFormat="1" ht="14.5" thickBot="1">
      <c r="A8" s="368" t="s">
        <v>2126</v>
      </c>
      <c r="B8" s="369"/>
      <c r="C8" s="374" t="s">
        <v>2228</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79" t="s">
        <v>2128</v>
      </c>
      <c r="Q8" s="3578"/>
      <c r="R8" s="710" t="s">
        <v>17</v>
      </c>
      <c r="S8" s="711">
        <f t="shared" si="0"/>
        <v>0</v>
      </c>
      <c r="T8" s="710" t="s">
        <v>17</v>
      </c>
      <c r="U8" s="711">
        <f t="shared" si="1"/>
        <v>0</v>
      </c>
      <c r="V8" s="710" t="s">
        <v>17</v>
      </c>
      <c r="W8" s="711">
        <f t="shared" si="2"/>
        <v>0</v>
      </c>
      <c r="X8" s="712"/>
      <c r="Y8" s="3579" t="s">
        <v>2128</v>
      </c>
      <c r="Z8" s="3578"/>
      <c r="AA8" s="713" t="e">
        <f t="shared" ref="AA8:AA34" si="3">D8/F8</f>
        <v>#DIV/0!</v>
      </c>
      <c r="AB8" s="713" t="e">
        <f t="shared" ref="AB8:AB34" si="4">D8/H8</f>
        <v>#DIV/0!</v>
      </c>
      <c r="AC8" s="713" t="e">
        <f t="shared" ref="AC8:AC34" si="5">D8/J8</f>
        <v>#DIV/0!</v>
      </c>
    </row>
    <row r="9" spans="1:29" s="113" customFormat="1">
      <c r="A9" s="375" t="s">
        <v>2129</v>
      </c>
      <c r="B9" s="67" t="s">
        <v>2130</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538" t="s">
        <v>2131</v>
      </c>
      <c r="Q9" s="1477" t="str">
        <f t="shared" ref="Q9:Q14" si="6">B9</f>
        <v>用途</v>
      </c>
      <c r="R9" s="710" t="s">
        <v>17</v>
      </c>
      <c r="S9" s="711">
        <f t="shared" si="0"/>
        <v>100</v>
      </c>
      <c r="T9" s="710" t="s">
        <v>17</v>
      </c>
      <c r="U9" s="711">
        <f t="shared" si="1"/>
        <v>100</v>
      </c>
      <c r="V9" s="710" t="s">
        <v>17</v>
      </c>
      <c r="W9" s="711">
        <f t="shared" si="2"/>
        <v>100</v>
      </c>
      <c r="X9" s="712"/>
      <c r="Y9" s="3446" t="s">
        <v>2132</v>
      </c>
      <c r="Z9" s="55" t="str">
        <f t="shared" ref="Z9:Z14" si="7">Q9</f>
        <v>用途</v>
      </c>
      <c r="AA9" s="713">
        <f t="shared" si="3"/>
        <v>1</v>
      </c>
      <c r="AB9" s="713">
        <f t="shared" si="4"/>
        <v>1</v>
      </c>
      <c r="AC9" s="713">
        <f t="shared" si="5"/>
        <v>1</v>
      </c>
    </row>
    <row r="10" spans="1:29" s="386" customFormat="1" ht="28">
      <c r="A10" s="380"/>
      <c r="B10" s="381" t="s">
        <v>2133</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538"/>
      <c r="Q10" s="1477" t="str">
        <f t="shared" si="6"/>
        <v>土地使用年限（年）</v>
      </c>
      <c r="R10" s="710" t="s">
        <v>17</v>
      </c>
      <c r="S10" s="711">
        <f t="shared" si="0"/>
        <v>100</v>
      </c>
      <c r="T10" s="710" t="s">
        <v>17</v>
      </c>
      <c r="U10" s="711">
        <f t="shared" si="1"/>
        <v>100</v>
      </c>
      <c r="V10" s="710" t="s">
        <v>17</v>
      </c>
      <c r="W10" s="711">
        <f t="shared" si="2"/>
        <v>100</v>
      </c>
      <c r="X10" s="712"/>
      <c r="Y10" s="3446"/>
      <c r="Z10" s="55" t="str">
        <f t="shared" si="7"/>
        <v>土地使用年限（年）</v>
      </c>
      <c r="AA10" s="713">
        <f t="shared" si="3"/>
        <v>1</v>
      </c>
      <c r="AB10" s="713">
        <f t="shared" si="4"/>
        <v>1</v>
      </c>
      <c r="AC10" s="713">
        <f t="shared" si="5"/>
        <v>1</v>
      </c>
    </row>
    <row r="11" spans="1:29" ht="15.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538"/>
      <c r="Q11" s="1477">
        <f t="shared" si="6"/>
        <v>111</v>
      </c>
      <c r="R11" s="710" t="s">
        <v>17</v>
      </c>
      <c r="S11" s="711">
        <f t="shared" si="0"/>
        <v>100</v>
      </c>
      <c r="T11" s="710" t="s">
        <v>17</v>
      </c>
      <c r="U11" s="711">
        <f t="shared" si="1"/>
        <v>100</v>
      </c>
      <c r="V11" s="710" t="s">
        <v>17</v>
      </c>
      <c r="W11" s="711">
        <f t="shared" si="2"/>
        <v>100</v>
      </c>
      <c r="X11" s="712"/>
      <c r="Y11" s="3446"/>
      <c r="Z11" s="55">
        <f t="shared" si="7"/>
        <v>111</v>
      </c>
      <c r="AA11" s="713">
        <f t="shared" si="3"/>
        <v>1</v>
      </c>
      <c r="AB11" s="713">
        <f t="shared" si="4"/>
        <v>1</v>
      </c>
      <c r="AC11" s="713">
        <f t="shared" si="5"/>
        <v>1</v>
      </c>
    </row>
    <row r="12" spans="1:29" s="113" customFormat="1" ht="15.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538"/>
      <c r="Q12" s="1477">
        <f t="shared" si="6"/>
        <v>111</v>
      </c>
      <c r="R12" s="710" t="s">
        <v>17</v>
      </c>
      <c r="S12" s="711">
        <f t="shared" si="0"/>
        <v>100</v>
      </c>
      <c r="T12" s="710" t="s">
        <v>17</v>
      </c>
      <c r="U12" s="711">
        <f t="shared" si="1"/>
        <v>100</v>
      </c>
      <c r="V12" s="710" t="s">
        <v>17</v>
      </c>
      <c r="W12" s="711">
        <f t="shared" si="2"/>
        <v>100</v>
      </c>
      <c r="X12" s="712"/>
      <c r="Y12" s="3446"/>
      <c r="Z12" s="55">
        <f t="shared" si="7"/>
        <v>111</v>
      </c>
      <c r="AA12" s="713">
        <f>D12/F12</f>
        <v>1</v>
      </c>
      <c r="AB12" s="713">
        <f>D12/H12</f>
        <v>1</v>
      </c>
      <c r="AC12" s="713">
        <f>D12/J12</f>
        <v>1</v>
      </c>
    </row>
    <row r="13" spans="1:29" ht="16"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6"/>
      <c r="M13" s="2890"/>
      <c r="N13" s="2890"/>
      <c r="O13" s="2948"/>
      <c r="P13" s="3538"/>
      <c r="Q13" s="1477">
        <f t="shared" si="6"/>
        <v>111</v>
      </c>
      <c r="R13" s="710" t="s">
        <v>17</v>
      </c>
      <c r="S13" s="711">
        <f t="shared" si="0"/>
        <v>100</v>
      </c>
      <c r="T13" s="710" t="s">
        <v>17</v>
      </c>
      <c r="U13" s="711">
        <f t="shared" si="1"/>
        <v>100</v>
      </c>
      <c r="V13" s="710" t="s">
        <v>17</v>
      </c>
      <c r="W13" s="711">
        <f t="shared" si="2"/>
        <v>100</v>
      </c>
      <c r="X13" s="712"/>
      <c r="Y13" s="3446"/>
      <c r="Z13" s="55">
        <f t="shared" si="7"/>
        <v>111</v>
      </c>
      <c r="AA13" s="713">
        <f t="shared" si="3"/>
        <v>1</v>
      </c>
      <c r="AB13" s="713">
        <f t="shared" si="4"/>
        <v>1</v>
      </c>
      <c r="AC13" s="713">
        <f t="shared" si="5"/>
        <v>1</v>
      </c>
    </row>
    <row r="14" spans="1:29" ht="98">
      <c r="A14" s="399" t="s">
        <v>2135</v>
      </c>
      <c r="B14" s="65" t="s">
        <v>2285</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545" t="s">
        <v>2136</v>
      </c>
      <c r="Q14" s="1486" t="str">
        <f t="shared" si="6"/>
        <v>交通便捷度</v>
      </c>
      <c r="R14" s="714" t="s">
        <v>17</v>
      </c>
      <c r="S14" s="715">
        <f t="shared" si="0"/>
        <v>100</v>
      </c>
      <c r="T14" s="714" t="s">
        <v>17</v>
      </c>
      <c r="U14" s="715">
        <f t="shared" si="1"/>
        <v>100</v>
      </c>
      <c r="V14" s="714" t="s">
        <v>17</v>
      </c>
      <c r="W14" s="715">
        <f t="shared" si="2"/>
        <v>100</v>
      </c>
      <c r="X14" s="1489"/>
      <c r="Y14" s="3545" t="s">
        <v>2136</v>
      </c>
      <c r="Z14" s="1490" t="str">
        <f t="shared" si="7"/>
        <v>交通便捷度</v>
      </c>
      <c r="AA14" s="1487">
        <f t="shared" si="3"/>
        <v>1</v>
      </c>
      <c r="AB14" s="1487">
        <f t="shared" si="4"/>
        <v>1</v>
      </c>
      <c r="AC14" s="1487">
        <f t="shared" si="5"/>
        <v>1</v>
      </c>
    </row>
    <row r="15" spans="1:29" ht="15.5">
      <c r="A15" s="387"/>
      <c r="B15" s="405"/>
      <c r="C15" s="406"/>
      <c r="D15" s="407"/>
      <c r="E15" s="406"/>
      <c r="F15" s="408"/>
      <c r="G15" s="406"/>
      <c r="H15" s="409"/>
      <c r="I15" s="406"/>
      <c r="J15" s="407"/>
      <c r="K15" s="572"/>
      <c r="L15" s="2896"/>
      <c r="M15" s="2890"/>
      <c r="N15" s="2890"/>
      <c r="O15" s="2948"/>
      <c r="P15" s="3546"/>
      <c r="Q15" s="1486"/>
      <c r="R15" s="714"/>
      <c r="S15" s="715"/>
      <c r="T15" s="714"/>
      <c r="U15" s="715"/>
      <c r="V15" s="714"/>
      <c r="W15" s="715"/>
      <c r="X15" s="1489"/>
      <c r="Y15" s="3546"/>
      <c r="Z15" s="1490"/>
      <c r="AA15" s="1487">
        <v>1</v>
      </c>
      <c r="AB15" s="1487">
        <v>1</v>
      </c>
      <c r="AC15" s="1487">
        <v>1</v>
      </c>
    </row>
    <row r="16" spans="1:29" ht="42">
      <c r="A16" s="387"/>
      <c r="B16" s="410" t="s">
        <v>2264</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546"/>
      <c r="Q16" s="1486" t="str">
        <f>B16</f>
        <v>公共配套设施</v>
      </c>
      <c r="R16" s="714" t="s">
        <v>17</v>
      </c>
      <c r="S16" s="715">
        <f>F16</f>
        <v>100</v>
      </c>
      <c r="T16" s="714" t="s">
        <v>17</v>
      </c>
      <c r="U16" s="715">
        <f>H16</f>
        <v>100</v>
      </c>
      <c r="V16" s="714" t="s">
        <v>17</v>
      </c>
      <c r="W16" s="715">
        <f>J16</f>
        <v>100</v>
      </c>
      <c r="X16" s="1489"/>
      <c r="Y16" s="3546"/>
      <c r="Z16" s="1490" t="str">
        <f>Q16</f>
        <v>公共配套设施</v>
      </c>
      <c r="AA16" s="1487">
        <f t="shared" si="3"/>
        <v>1</v>
      </c>
      <c r="AB16" s="1487">
        <f t="shared" si="4"/>
        <v>1</v>
      </c>
      <c r="AC16" s="1487">
        <f t="shared" si="5"/>
        <v>1</v>
      </c>
    </row>
    <row r="17" spans="1:29" ht="15.5">
      <c r="A17" s="387"/>
      <c r="B17" s="415"/>
      <c r="C17" s="2036"/>
      <c r="D17" s="407"/>
      <c r="E17" s="406"/>
      <c r="F17" s="408"/>
      <c r="G17" s="406"/>
      <c r="H17" s="407"/>
      <c r="I17" s="406"/>
      <c r="J17" s="407"/>
      <c r="K17" s="572"/>
      <c r="L17" s="2896"/>
      <c r="M17" s="2890"/>
      <c r="N17" s="2890"/>
      <c r="O17" s="2948"/>
      <c r="P17" s="3546"/>
      <c r="Q17" s="1486"/>
      <c r="R17" s="714"/>
      <c r="S17" s="715"/>
      <c r="T17" s="714"/>
      <c r="U17" s="715"/>
      <c r="V17" s="714"/>
      <c r="W17" s="715"/>
      <c r="X17" s="1489"/>
      <c r="Y17" s="3546"/>
      <c r="Z17" s="1490"/>
      <c r="AA17" s="1487">
        <v>1</v>
      </c>
      <c r="AB17" s="1487">
        <v>1</v>
      </c>
      <c r="AC17" s="1487">
        <v>1</v>
      </c>
    </row>
    <row r="18" spans="1:29" ht="42">
      <c r="A18" s="387"/>
      <c r="B18" s="1245" t="s">
        <v>2265</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546"/>
      <c r="Q18" s="1486" t="str">
        <f>B18</f>
        <v>基础设施水平</v>
      </c>
      <c r="R18" s="714" t="s">
        <v>17</v>
      </c>
      <c r="S18" s="715">
        <f>F18</f>
        <v>100</v>
      </c>
      <c r="T18" s="714" t="s">
        <v>17</v>
      </c>
      <c r="U18" s="715">
        <f>H18</f>
        <v>100</v>
      </c>
      <c r="V18" s="714" t="s">
        <v>17</v>
      </c>
      <c r="W18" s="715">
        <f>J18</f>
        <v>100</v>
      </c>
      <c r="X18" s="1489"/>
      <c r="Y18" s="3546"/>
      <c r="Z18" s="1490" t="str">
        <f>Q18</f>
        <v>基础设施水平</v>
      </c>
      <c r="AA18" s="1487">
        <f t="shared" ref="AA18" si="8">D18/F18</f>
        <v>1</v>
      </c>
      <c r="AB18" s="1487">
        <f t="shared" ref="AB18" si="9">D18/H18</f>
        <v>1</v>
      </c>
      <c r="AC18" s="1487">
        <f t="shared" ref="AC18" si="10">D18/J18</f>
        <v>1</v>
      </c>
    </row>
    <row r="19" spans="1:29" ht="15.5">
      <c r="A19" s="387"/>
      <c r="B19" s="1245"/>
      <c r="C19" s="2036"/>
      <c r="D19" s="409"/>
      <c r="E19" s="2036"/>
      <c r="F19" s="412"/>
      <c r="G19" s="2036"/>
      <c r="H19" s="407"/>
      <c r="I19" s="406"/>
      <c r="J19" s="407"/>
      <c r="K19" s="1244"/>
      <c r="L19" s="2896"/>
      <c r="M19" s="2890"/>
      <c r="N19" s="2890"/>
      <c r="O19" s="2948"/>
      <c r="P19" s="3546"/>
      <c r="Q19" s="1486"/>
      <c r="R19" s="714"/>
      <c r="S19" s="715"/>
      <c r="T19" s="714"/>
      <c r="U19" s="715"/>
      <c r="V19" s="714"/>
      <c r="W19" s="715"/>
      <c r="X19" s="1489"/>
      <c r="Y19" s="3546"/>
      <c r="Z19" s="1490"/>
      <c r="AA19" s="1487">
        <v>1</v>
      </c>
      <c r="AB19" s="1487">
        <v>1</v>
      </c>
      <c r="AC19" s="1487">
        <v>1</v>
      </c>
    </row>
    <row r="20" spans="1:29" ht="56">
      <c r="A20" s="387"/>
      <c r="B20" s="410" t="s">
        <v>2286</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546"/>
      <c r="Q20" s="1486" t="str">
        <f>B20</f>
        <v>自然及人文环境</v>
      </c>
      <c r="R20" s="714" t="s">
        <v>17</v>
      </c>
      <c r="S20" s="715">
        <f>F20</f>
        <v>100</v>
      </c>
      <c r="T20" s="714" t="s">
        <v>17</v>
      </c>
      <c r="U20" s="715">
        <f>H20</f>
        <v>100</v>
      </c>
      <c r="V20" s="714" t="s">
        <v>17</v>
      </c>
      <c r="W20" s="715">
        <f>J20</f>
        <v>100</v>
      </c>
      <c r="X20" s="1489"/>
      <c r="Y20" s="3546"/>
      <c r="Z20" s="1490" t="str">
        <f>Q20</f>
        <v>自然及人文环境</v>
      </c>
      <c r="AA20" s="1487">
        <f t="shared" si="3"/>
        <v>1</v>
      </c>
      <c r="AB20" s="1487">
        <f t="shared" si="4"/>
        <v>1</v>
      </c>
      <c r="AC20" s="1487">
        <f t="shared" si="5"/>
        <v>1</v>
      </c>
    </row>
    <row r="21" spans="1:29" ht="15.5">
      <c r="A21" s="387"/>
      <c r="B21" s="415"/>
      <c r="C21" s="406"/>
      <c r="D21" s="407"/>
      <c r="E21" s="406"/>
      <c r="F21" s="408"/>
      <c r="G21" s="406"/>
      <c r="H21" s="407"/>
      <c r="I21" s="406"/>
      <c r="J21" s="407"/>
      <c r="K21" s="572"/>
      <c r="L21" s="2896"/>
      <c r="M21" s="2890"/>
      <c r="N21" s="2890"/>
      <c r="O21" s="2948"/>
      <c r="P21" s="3546"/>
      <c r="Q21" s="1486"/>
      <c r="R21" s="714"/>
      <c r="S21" s="715"/>
      <c r="T21" s="714"/>
      <c r="U21" s="715"/>
      <c r="V21" s="714"/>
      <c r="W21" s="715"/>
      <c r="X21" s="1489"/>
      <c r="Y21" s="3546"/>
      <c r="Z21" s="1490"/>
      <c r="AA21" s="1487">
        <v>1</v>
      </c>
      <c r="AB21" s="1487">
        <v>1</v>
      </c>
      <c r="AC21" s="1487">
        <v>1</v>
      </c>
    </row>
    <row r="22" spans="1:29" ht="15.5">
      <c r="A22" s="387"/>
      <c r="B22" s="410" t="s">
        <v>2287</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546"/>
      <c r="Q22" s="1486" t="str">
        <f>B22</f>
        <v>楼层</v>
      </c>
      <c r="R22" s="714" t="s">
        <v>17</v>
      </c>
      <c r="S22" s="715">
        <f>F22</f>
        <v>100</v>
      </c>
      <c r="T22" s="714" t="s">
        <v>17</v>
      </c>
      <c r="U22" s="715">
        <f>H22</f>
        <v>100</v>
      </c>
      <c r="V22" s="714" t="s">
        <v>17</v>
      </c>
      <c r="W22" s="715">
        <f>J22</f>
        <v>100</v>
      </c>
      <c r="X22" s="1489"/>
      <c r="Y22" s="3546"/>
      <c r="Z22" s="1490" t="str">
        <f>Q22</f>
        <v>楼层</v>
      </c>
      <c r="AA22" s="1487">
        <f t="shared" si="3"/>
        <v>1</v>
      </c>
      <c r="AB22" s="1487">
        <f t="shared" si="4"/>
        <v>1</v>
      </c>
      <c r="AC22" s="1487">
        <f t="shared" si="5"/>
        <v>1</v>
      </c>
    </row>
    <row r="23" spans="1:29" ht="15.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546"/>
      <c r="Q23" s="1486">
        <f>B23</f>
        <v>111</v>
      </c>
      <c r="R23" s="714" t="s">
        <v>17</v>
      </c>
      <c r="S23" s="715">
        <f>F23</f>
        <v>100</v>
      </c>
      <c r="T23" s="714" t="s">
        <v>17</v>
      </c>
      <c r="U23" s="715">
        <f>H23</f>
        <v>100</v>
      </c>
      <c r="V23" s="714" t="s">
        <v>17</v>
      </c>
      <c r="W23" s="715">
        <f>J23</f>
        <v>100</v>
      </c>
      <c r="X23" s="1489"/>
      <c r="Y23" s="3546"/>
      <c r="Z23" s="1490">
        <f>Q23</f>
        <v>111</v>
      </c>
      <c r="AA23" s="1487">
        <f t="shared" si="3"/>
        <v>1</v>
      </c>
      <c r="AB23" s="1487">
        <f t="shared" si="4"/>
        <v>1</v>
      </c>
      <c r="AC23" s="1487">
        <f t="shared" si="5"/>
        <v>1</v>
      </c>
    </row>
    <row r="24" spans="1:29" ht="15.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546"/>
      <c r="Q24" s="1486">
        <f t="shared" ref="Q24:Q34" si="11">B24</f>
        <v>111</v>
      </c>
      <c r="R24" s="714" t="s">
        <v>17</v>
      </c>
      <c r="S24" s="715">
        <f>F24</f>
        <v>100</v>
      </c>
      <c r="T24" s="714" t="s">
        <v>17</v>
      </c>
      <c r="U24" s="715">
        <f>H24</f>
        <v>100</v>
      </c>
      <c r="V24" s="714" t="s">
        <v>17</v>
      </c>
      <c r="W24" s="715">
        <f>J24</f>
        <v>100</v>
      </c>
      <c r="X24" s="1489"/>
      <c r="Y24" s="3546"/>
      <c r="Z24" s="1490">
        <f>Q24</f>
        <v>111</v>
      </c>
      <c r="AA24" s="1487">
        <f t="shared" si="3"/>
        <v>1</v>
      </c>
      <c r="AB24" s="1487">
        <f t="shared" si="4"/>
        <v>1</v>
      </c>
      <c r="AC24" s="1487">
        <f t="shared" si="5"/>
        <v>1</v>
      </c>
    </row>
    <row r="25" spans="1:29" s="113" customFormat="1" ht="16"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1"/>
      <c r="M25" s="2892"/>
      <c r="N25" s="2892"/>
      <c r="O25" s="2946"/>
      <c r="P25" s="3546"/>
      <c r="Q25" s="1477">
        <f t="shared" si="11"/>
        <v>111</v>
      </c>
      <c r="R25" s="710" t="s">
        <v>17</v>
      </c>
      <c r="S25" s="711">
        <f>F25</f>
        <v>100</v>
      </c>
      <c r="T25" s="710" t="s">
        <v>17</v>
      </c>
      <c r="U25" s="711">
        <f>H25</f>
        <v>100</v>
      </c>
      <c r="V25" s="710" t="s">
        <v>17</v>
      </c>
      <c r="W25" s="711">
        <f>J25</f>
        <v>100</v>
      </c>
      <c r="X25" s="712"/>
      <c r="Y25" s="3546"/>
      <c r="Z25" s="55">
        <f>Q25</f>
        <v>111</v>
      </c>
      <c r="AA25" s="1487">
        <f>D25/F25</f>
        <v>1</v>
      </c>
      <c r="AB25" s="1487">
        <f>D25/H25</f>
        <v>1</v>
      </c>
      <c r="AC25" s="1487">
        <f>D25/J25</f>
        <v>1</v>
      </c>
    </row>
    <row r="26" spans="1:29" ht="29">
      <c r="A26" s="425" t="s">
        <v>2139</v>
      </c>
      <c r="B26" s="67" t="s">
        <v>2290</v>
      </c>
      <c r="C26" s="2102"/>
      <c r="D26" s="426">
        <v>100</v>
      </c>
      <c r="E26" s="2102"/>
      <c r="F26" s="623">
        <f>SUMIF(77:77,E26,78:78)-SUMIF(77:77,C26,78:78)+100</f>
        <v>100</v>
      </c>
      <c r="G26" s="2102"/>
      <c r="H26" s="426">
        <f>SUMIF(77:77,G26,78:78)-SUMIF(77:77,C26,78:78)+100</f>
        <v>100</v>
      </c>
      <c r="I26" s="2102"/>
      <c r="J26" s="426">
        <f>SUMIF(77:77,I26,78:78)-SUMIF(77:77,C26,78:78)+100</f>
        <v>100</v>
      </c>
      <c r="K26" s="569"/>
      <c r="L26" s="2896"/>
      <c r="M26" s="2890"/>
      <c r="N26" s="2890"/>
      <c r="O26" s="2948"/>
      <c r="P26" s="3626" t="s">
        <v>2141</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50" t="s">
        <v>2141</v>
      </c>
      <c r="Z26" s="1490" t="str">
        <f t="shared" ref="Z26:Z34" si="15">Q26</f>
        <v>公共部分装修</v>
      </c>
      <c r="AA26" s="1487">
        <f t="shared" si="3"/>
        <v>1</v>
      </c>
      <c r="AB26" s="1487">
        <f t="shared" si="4"/>
        <v>1</v>
      </c>
      <c r="AC26" s="1487">
        <f t="shared" si="5"/>
        <v>1</v>
      </c>
    </row>
    <row r="27" spans="1:29" s="430" customFormat="1" ht="15.5">
      <c r="A27" s="427"/>
      <c r="B27" s="381" t="s">
        <v>2291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550"/>
      <c r="Q27" s="716" t="str">
        <f t="shared" si="11"/>
        <v>成新率</v>
      </c>
      <c r="R27" s="717" t="s">
        <v>17</v>
      </c>
      <c r="S27" s="718" t="e">
        <f t="shared" si="12"/>
        <v>#N/A</v>
      </c>
      <c r="T27" s="717" t="s">
        <v>17</v>
      </c>
      <c r="U27" s="718" t="e">
        <f t="shared" si="13"/>
        <v>#N/A</v>
      </c>
      <c r="V27" s="717" t="s">
        <v>17</v>
      </c>
      <c r="W27" s="718" t="e">
        <f t="shared" si="14"/>
        <v>#N/A</v>
      </c>
      <c r="X27" s="719"/>
      <c r="Y27" s="3550"/>
      <c r="Z27" s="720" t="str">
        <f t="shared" si="15"/>
        <v>成新率</v>
      </c>
      <c r="AA27" s="1487" t="e">
        <f t="shared" si="3"/>
        <v>#N/A</v>
      </c>
      <c r="AB27" s="1487" t="e">
        <f t="shared" si="4"/>
        <v>#N/A</v>
      </c>
      <c r="AC27" s="1487" t="e">
        <f t="shared" si="5"/>
        <v>#N/A</v>
      </c>
    </row>
    <row r="28" spans="1:29" ht="15.5">
      <c r="A28" s="431"/>
      <c r="B28" s="381" t="s">
        <v>2292</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550"/>
      <c r="Q28" s="1486" t="str">
        <f t="shared" si="11"/>
        <v>物业等级</v>
      </c>
      <c r="R28" s="714" t="s">
        <v>17</v>
      </c>
      <c r="S28" s="715">
        <f t="shared" si="12"/>
        <v>100</v>
      </c>
      <c r="T28" s="714" t="s">
        <v>17</v>
      </c>
      <c r="U28" s="715">
        <f t="shared" si="13"/>
        <v>100</v>
      </c>
      <c r="V28" s="714" t="s">
        <v>17</v>
      </c>
      <c r="W28" s="715">
        <f t="shared" si="14"/>
        <v>100</v>
      </c>
      <c r="X28" s="1489"/>
      <c r="Y28" s="3550"/>
      <c r="Z28" s="1490" t="str">
        <f t="shared" si="15"/>
        <v>物业等级</v>
      </c>
      <c r="AA28" s="1487">
        <f t="shared" si="3"/>
        <v>1</v>
      </c>
      <c r="AB28" s="1487">
        <f t="shared" si="4"/>
        <v>1</v>
      </c>
      <c r="AC28" s="1487">
        <f t="shared" si="5"/>
        <v>1</v>
      </c>
    </row>
    <row r="29" spans="1:29" ht="15.5">
      <c r="A29" s="431"/>
      <c r="B29" s="381" t="s">
        <v>2313</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550"/>
      <c r="Q29" s="1486" t="str">
        <f t="shared" si="11"/>
        <v>有无电梯</v>
      </c>
      <c r="R29" s="714" t="s">
        <v>17</v>
      </c>
      <c r="S29" s="715">
        <f t="shared" si="12"/>
        <v>100</v>
      </c>
      <c r="T29" s="714" t="s">
        <v>17</v>
      </c>
      <c r="U29" s="715">
        <f t="shared" si="13"/>
        <v>100</v>
      </c>
      <c r="V29" s="714" t="s">
        <v>17</v>
      </c>
      <c r="W29" s="715">
        <f t="shared" si="14"/>
        <v>100</v>
      </c>
      <c r="X29" s="1489"/>
      <c r="Y29" s="3550"/>
      <c r="Z29" s="1490" t="str">
        <f t="shared" si="15"/>
        <v>有无电梯</v>
      </c>
      <c r="AA29" s="1487">
        <f t="shared" si="3"/>
        <v>1</v>
      </c>
      <c r="AB29" s="1487">
        <f t="shared" si="4"/>
        <v>1</v>
      </c>
      <c r="AC29" s="1487">
        <f t="shared" si="5"/>
        <v>1</v>
      </c>
    </row>
    <row r="30" spans="1:29" ht="15.5">
      <c r="A30" s="431"/>
      <c r="B30" s="381" t="s">
        <v>2314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550"/>
      <c r="Q30" s="1486" t="str">
        <f t="shared" si="11"/>
        <v>建筑面积</v>
      </c>
      <c r="R30" s="714" t="s">
        <v>17</v>
      </c>
      <c r="S30" s="715" t="e">
        <f t="shared" si="12"/>
        <v>#N/A</v>
      </c>
      <c r="T30" s="714" t="s">
        <v>17</v>
      </c>
      <c r="U30" s="715" t="e">
        <f t="shared" si="13"/>
        <v>#N/A</v>
      </c>
      <c r="V30" s="714" t="s">
        <v>17</v>
      </c>
      <c r="W30" s="715" t="e">
        <f t="shared" si="14"/>
        <v>#N/A</v>
      </c>
      <c r="X30" s="1489"/>
      <c r="Y30" s="3550"/>
      <c r="Z30" s="1490" t="str">
        <f t="shared" si="15"/>
        <v>建筑面积</v>
      </c>
      <c r="AA30" s="1487" t="e">
        <f t="shared" si="3"/>
        <v>#N/A</v>
      </c>
      <c r="AB30" s="1487" t="e">
        <f t="shared" si="4"/>
        <v>#N/A</v>
      </c>
      <c r="AC30" s="1487" t="e">
        <f t="shared" si="5"/>
        <v>#N/A</v>
      </c>
    </row>
    <row r="31" spans="1:29" s="113" customFormat="1" ht="15.5">
      <c r="A31" s="432"/>
      <c r="B31" s="381" t="s">
        <v>2315</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550"/>
      <c r="Q31" s="1477" t="str">
        <f t="shared" si="11"/>
        <v>是否封闭</v>
      </c>
      <c r="R31" s="710" t="s">
        <v>17</v>
      </c>
      <c r="S31" s="711">
        <f t="shared" si="12"/>
        <v>100</v>
      </c>
      <c r="T31" s="710" t="s">
        <v>17</v>
      </c>
      <c r="U31" s="711">
        <f t="shared" si="13"/>
        <v>100</v>
      </c>
      <c r="V31" s="710" t="s">
        <v>17</v>
      </c>
      <c r="W31" s="711">
        <f t="shared" si="14"/>
        <v>100</v>
      </c>
      <c r="X31" s="712"/>
      <c r="Y31" s="3550"/>
      <c r="Z31" s="55" t="str">
        <f t="shared" si="15"/>
        <v>是否封闭</v>
      </c>
      <c r="AA31" s="713">
        <f t="shared" si="3"/>
        <v>1</v>
      </c>
      <c r="AB31" s="713">
        <f t="shared" si="4"/>
        <v>1</v>
      </c>
      <c r="AC31" s="713">
        <f t="shared" si="5"/>
        <v>1</v>
      </c>
    </row>
    <row r="32" spans="1:29" ht="15.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550" t="s">
        <v>2141</v>
      </c>
      <c r="Q32" s="1486">
        <f t="shared" si="11"/>
        <v>111</v>
      </c>
      <c r="R32" s="714" t="s">
        <v>17</v>
      </c>
      <c r="S32" s="715">
        <f t="shared" si="12"/>
        <v>100</v>
      </c>
      <c r="T32" s="714" t="s">
        <v>17</v>
      </c>
      <c r="U32" s="715">
        <f t="shared" si="13"/>
        <v>100</v>
      </c>
      <c r="V32" s="714" t="s">
        <v>17</v>
      </c>
      <c r="W32" s="715">
        <f t="shared" si="14"/>
        <v>100</v>
      </c>
      <c r="X32" s="1489"/>
      <c r="Y32" s="3550" t="s">
        <v>2141</v>
      </c>
      <c r="Z32" s="1490">
        <f t="shared" si="15"/>
        <v>111</v>
      </c>
      <c r="AA32" s="1487">
        <f t="shared" si="3"/>
        <v>1</v>
      </c>
      <c r="AB32" s="1487">
        <f t="shared" si="4"/>
        <v>1</v>
      </c>
      <c r="AC32" s="1487">
        <f t="shared" si="5"/>
        <v>1</v>
      </c>
    </row>
    <row r="33" spans="1:30" ht="15.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550"/>
      <c r="Q33" s="1486">
        <f t="shared" si="11"/>
        <v>111</v>
      </c>
      <c r="R33" s="714" t="s">
        <v>17</v>
      </c>
      <c r="S33" s="715">
        <f t="shared" si="12"/>
        <v>100</v>
      </c>
      <c r="T33" s="714" t="s">
        <v>17</v>
      </c>
      <c r="U33" s="715">
        <f t="shared" si="13"/>
        <v>100</v>
      </c>
      <c r="V33" s="714" t="s">
        <v>17</v>
      </c>
      <c r="W33" s="715">
        <f t="shared" si="14"/>
        <v>100</v>
      </c>
      <c r="X33" s="1489"/>
      <c r="Y33" s="3550"/>
      <c r="Z33" s="1490">
        <f t="shared" si="15"/>
        <v>111</v>
      </c>
      <c r="AA33" s="1487">
        <f t="shared" si="3"/>
        <v>1</v>
      </c>
      <c r="AB33" s="1487">
        <f t="shared" si="4"/>
        <v>1</v>
      </c>
      <c r="AC33" s="1487">
        <f t="shared" si="5"/>
        <v>1</v>
      </c>
    </row>
    <row r="34" spans="1:30" ht="16"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6"/>
      <c r="M34" s="2890"/>
      <c r="N34" s="2890"/>
      <c r="O34" s="2948"/>
      <c r="P34" s="3550"/>
      <c r="Q34" s="1486">
        <f t="shared" si="11"/>
        <v>111</v>
      </c>
      <c r="R34" s="714" t="s">
        <v>17</v>
      </c>
      <c r="S34" s="715">
        <f t="shared" si="12"/>
        <v>100</v>
      </c>
      <c r="T34" s="714" t="s">
        <v>17</v>
      </c>
      <c r="U34" s="715">
        <f t="shared" si="13"/>
        <v>100</v>
      </c>
      <c r="V34" s="714" t="s">
        <v>17</v>
      </c>
      <c r="W34" s="715">
        <f t="shared" si="14"/>
        <v>100</v>
      </c>
      <c r="X34" s="1489"/>
      <c r="Y34" s="3550"/>
      <c r="Z34" s="1490">
        <f t="shared" si="15"/>
        <v>111</v>
      </c>
      <c r="AA34" s="1487">
        <f t="shared" si="3"/>
        <v>1</v>
      </c>
      <c r="AB34" s="1487">
        <f t="shared" si="4"/>
        <v>1</v>
      </c>
      <c r="AC34" s="1487">
        <f t="shared" si="5"/>
        <v>1</v>
      </c>
    </row>
    <row r="35" spans="1:30">
      <c r="A35" s="438" t="s">
        <v>2153</v>
      </c>
      <c r="B35" s="439"/>
      <c r="C35" s="1268" t="s">
        <v>1</v>
      </c>
      <c r="D35" s="1269"/>
      <c r="E35" s="1270"/>
      <c r="F35" s="1271"/>
      <c r="G35" s="1272"/>
      <c r="H35" s="1273"/>
      <c r="I35" s="1270"/>
      <c r="J35" s="1273"/>
      <c r="K35" s="723"/>
      <c r="L35" s="2898"/>
      <c r="M35" s="2899"/>
      <c r="N35" s="2890"/>
      <c r="O35" s="2899"/>
      <c r="P35" s="3538" t="str">
        <f>A35</f>
        <v>成交单价（元/平方米）</v>
      </c>
      <c r="Q35" s="3538"/>
      <c r="R35" s="3539">
        <f>E35</f>
        <v>0</v>
      </c>
      <c r="S35" s="3539"/>
      <c r="T35" s="3539">
        <f>G35</f>
        <v>0</v>
      </c>
      <c r="U35" s="3539"/>
      <c r="V35" s="3539">
        <f>I35</f>
        <v>0</v>
      </c>
      <c r="W35" s="3539"/>
      <c r="X35" s="699"/>
      <c r="Y35" s="721"/>
      <c r="Z35" s="699"/>
      <c r="AA35" s="699"/>
      <c r="AB35" s="699"/>
      <c r="AC35" s="699"/>
    </row>
    <row r="36" spans="1:30" ht="14.5" thickBot="1">
      <c r="A36" s="445" t="s">
        <v>2245</v>
      </c>
      <c r="B36" s="446"/>
      <c r="C36" s="1274" t="e">
        <f>R37</f>
        <v>#DIV/0!</v>
      </c>
      <c r="D36" s="2487" t="s">
        <v>2635</v>
      </c>
      <c r="E36" s="1275" t="e">
        <f>R36</f>
        <v>#DIV/0!</v>
      </c>
      <c r="F36" s="2488"/>
      <c r="G36" s="1274" t="e">
        <f>T36</f>
        <v>#DIV/0!</v>
      </c>
      <c r="H36" s="2488"/>
      <c r="I36" s="1275" t="e">
        <f>V36</f>
        <v>#DIV/0!</v>
      </c>
      <c r="J36" s="2488"/>
      <c r="K36" s="2490">
        <f>F36+H36+J36</f>
        <v>0</v>
      </c>
      <c r="L36" s="2898"/>
      <c r="M36" s="2899"/>
      <c r="N36" s="2890"/>
      <c r="O36" s="2899"/>
      <c r="P36" s="3538" t="str">
        <f>A36</f>
        <v>比较价值（元/平方米）</v>
      </c>
      <c r="Q36" s="3538"/>
      <c r="R36" s="3539" t="e">
        <f>IF(F1="售价",ROUND(PRODUCT(R35,AA7:AA34),0),ROUND(PRODUCT(R35,AA7:AA34),1))</f>
        <v>#DIV/0!</v>
      </c>
      <c r="S36" s="3539"/>
      <c r="T36" s="3539" t="e">
        <f>IF(F1="售价",ROUND(PRODUCT(T35,AB7:AB34),0),ROUND(PRODUCT(T35,AB7:AB34),1))</f>
        <v>#DIV/0!</v>
      </c>
      <c r="U36" s="3539"/>
      <c r="V36" s="3539" t="e">
        <f>IF(F1="售价",ROUND(PRODUCT(V35,AC7:AC34),0),ROUND(PRODUCT(V35,AC7:AC34),1))</f>
        <v>#DIV/0!</v>
      </c>
      <c r="W36" s="3539"/>
      <c r="X36" s="699"/>
      <c r="Y36" s="699"/>
      <c r="Z36" s="699"/>
      <c r="AA36" s="699"/>
      <c r="AB36" s="699"/>
      <c r="AC36" s="699"/>
    </row>
    <row r="37" spans="1:30" ht="14.5" thickBot="1">
      <c r="A37" s="449" t="s">
        <v>2246</v>
      </c>
      <c r="B37" s="450"/>
      <c r="C37" s="1277" t="e">
        <f>R37</f>
        <v>#DIV/0!</v>
      </c>
      <c r="D37" s="1277"/>
      <c r="E37" s="1277"/>
      <c r="F37" s="1277"/>
      <c r="G37" s="1277"/>
      <c r="H37" s="1277"/>
      <c r="I37" s="1277"/>
      <c r="J37" s="1277"/>
      <c r="K37" s="724"/>
      <c r="L37" s="2898"/>
      <c r="M37" s="2899"/>
      <c r="N37" s="2899"/>
      <c r="O37" s="2899"/>
      <c r="P37" s="3615" t="str">
        <f>A37</f>
        <v>估价对象XX用房的比较价值（楼面单价，元/平方米）</v>
      </c>
      <c r="Q37" s="3616"/>
      <c r="R37" s="3627" t="e">
        <f>IF(F1="售价",ROUND(IF(D36="简单平均",AVERAGE(R36:W36),R36*F36+T36*H36+V36*J36),0),ROUND(IF(D36="简单平均",AVERAGE(R36:V36),R36*F36+T36*H36+V36*J36),1))</f>
        <v>#DIV/0!</v>
      </c>
      <c r="S37" s="3627"/>
      <c r="T37" s="3627"/>
      <c r="U37" s="3627"/>
      <c r="V37" s="3627"/>
      <c r="W37" s="3627"/>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2247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2248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2249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5" thickBot="1">
      <c r="A45" s="703" t="s">
        <v>2250</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c r="A46" s="462" t="s">
        <v>2124</v>
      </c>
      <c r="B46" s="463"/>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0"/>
      <c r="Q46" s="2915"/>
      <c r="R46" s="2915"/>
      <c r="S46" s="2915"/>
      <c r="T46" s="2915"/>
      <c r="U46" s="2915"/>
      <c r="V46" s="2915"/>
      <c r="W46" s="2915"/>
      <c r="X46" s="2915"/>
      <c r="Y46" s="2915"/>
      <c r="Z46" s="2915"/>
      <c r="AA46" s="2915"/>
      <c r="AB46" s="2915"/>
      <c r="AC46" s="2915"/>
      <c r="AD46" s="2915"/>
    </row>
    <row r="47" spans="1:30" s="113" customFormat="1">
      <c r="A47" s="466"/>
      <c r="B47" s="467"/>
      <c r="C47" s="1297">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4.5" thickBot="1">
      <c r="A48" s="472" t="s">
        <v>2161</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c r="A49" s="478" t="s">
        <v>2126</v>
      </c>
      <c r="B49" s="467"/>
      <c r="C49" s="479" t="s">
        <v>2228</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4.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2164</v>
      </c>
      <c r="B51" s="485" t="s">
        <v>2130</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4.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8.5" thickTop="1">
      <c r="A53" s="491"/>
      <c r="B53" s="495" t="s">
        <v>2133</v>
      </c>
      <c r="C53" s="496" t="s">
        <v>2165</v>
      </c>
      <c r="D53" s="496" t="s">
        <v>2166</v>
      </c>
      <c r="E53" s="496" t="s">
        <v>2167</v>
      </c>
      <c r="F53" s="496" t="s">
        <v>2168</v>
      </c>
      <c r="G53" s="496" t="s">
        <v>2169</v>
      </c>
      <c r="H53" s="496" t="s">
        <v>2170</v>
      </c>
      <c r="I53" s="496" t="s">
        <v>2171</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4.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4.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4.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4.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4.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4.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4.5" thickTop="1">
      <c r="A61" s="484" t="s">
        <v>2135</v>
      </c>
      <c r="B61" s="485" t="s">
        <v>2178</v>
      </c>
      <c r="C61" s="530" t="s">
        <v>2173</v>
      </c>
      <c r="D61" s="530" t="s">
        <v>2174</v>
      </c>
      <c r="E61" s="530" t="s">
        <v>2175</v>
      </c>
      <c r="F61" s="530" t="s">
        <v>2176</v>
      </c>
      <c r="G61" s="530" t="s">
        <v>2177</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8.5" thickTop="1">
      <c r="A63" s="491"/>
      <c r="B63" s="495" t="s">
        <v>2316</v>
      </c>
      <c r="C63" s="535" t="s">
        <v>2173</v>
      </c>
      <c r="D63" s="535" t="s">
        <v>2174</v>
      </c>
      <c r="E63" s="535" t="s">
        <v>2175</v>
      </c>
      <c r="F63" s="535" t="s">
        <v>2176</v>
      </c>
      <c r="G63" s="535" t="s">
        <v>2177</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4.5" thickTop="1">
      <c r="A65" s="491"/>
      <c r="B65" s="503" t="s">
        <v>2265</v>
      </c>
      <c r="C65" s="616" t="s">
        <v>2251</v>
      </c>
      <c r="D65" s="616" t="s">
        <v>2252</v>
      </c>
      <c r="E65" s="616" t="s">
        <v>2253</v>
      </c>
      <c r="F65" s="616" t="s">
        <v>2254</v>
      </c>
      <c r="G65" s="616" t="s">
        <v>2255</v>
      </c>
      <c r="H65" s="496"/>
      <c r="I65" s="496"/>
      <c r="J65" s="496"/>
      <c r="K65" s="496"/>
      <c r="L65" s="496"/>
      <c r="M65" s="1243"/>
      <c r="N65" s="2928"/>
      <c r="O65" s="2928"/>
      <c r="P65" s="2952"/>
      <c r="Q65" s="2913"/>
      <c r="R65" s="2899"/>
      <c r="S65" s="2899"/>
      <c r="T65" s="2899"/>
      <c r="U65" s="2899"/>
      <c r="V65" s="2899"/>
      <c r="W65" s="2899"/>
      <c r="X65" s="2899"/>
      <c r="Y65" s="2899"/>
      <c r="Z65" s="2899"/>
      <c r="AA65" s="2899"/>
      <c r="AB65" s="2899"/>
      <c r="AC65" s="2899"/>
      <c r="AD65" s="2899"/>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4.5" thickTop="1">
      <c r="A67" s="491"/>
      <c r="B67" s="495" t="s">
        <v>2185</v>
      </c>
      <c r="C67" s="535" t="s">
        <v>2173</v>
      </c>
      <c r="D67" s="535" t="s">
        <v>2174</v>
      </c>
      <c r="E67" s="535" t="s">
        <v>2175</v>
      </c>
      <c r="F67" s="535" t="s">
        <v>2176</v>
      </c>
      <c r="G67" s="535" t="s">
        <v>2177</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4.5" thickTop="1">
      <c r="A69" s="491"/>
      <c r="B69" s="495" t="s">
        <v>2305</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4.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4.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4.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4.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4.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4.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4.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4.5" thickTop="1">
      <c r="A77" s="484" t="s">
        <v>2139</v>
      </c>
      <c r="B77" s="485" t="s">
        <v>2192</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4.5" thickTop="1">
      <c r="A79" s="491"/>
      <c r="B79" s="495" t="s">
        <v>2308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4.5" thickTop="1">
      <c r="A82" s="556"/>
      <c r="B82" s="503" t="s">
        <v>2309</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4.5" thickTop="1">
      <c r="A84" s="556"/>
      <c r="B84" s="495" t="s">
        <v>2317</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4.5" thickTop="1">
      <c r="A86" s="556"/>
      <c r="B86" s="503" t="s">
        <v>2318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4.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4.5" thickTop="1">
      <c r="A89" s="550"/>
      <c r="B89" s="495" t="s">
        <v>2319</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4.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4.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4.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4.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4.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4.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4.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4.5" thickTop="1">
      <c r="N97" s="2899"/>
      <c r="O97" s="2899"/>
      <c r="P97" s="2899"/>
      <c r="Q97" s="2899"/>
      <c r="R97" s="2899"/>
      <c r="S97" s="2899"/>
      <c r="T97" s="2899"/>
      <c r="U97" s="2899"/>
      <c r="V97" s="2899"/>
      <c r="W97" s="2899"/>
      <c r="X97" s="2899"/>
      <c r="Y97" s="2899"/>
      <c r="Z97" s="2899"/>
      <c r="AA97" s="2899"/>
      <c r="AB97" s="2899"/>
      <c r="AC97" s="2899"/>
      <c r="AD97" s="2899"/>
    </row>
    <row r="98" spans="1:30">
      <c r="A98" s="1047"/>
      <c r="B98" s="1047"/>
      <c r="C98" s="1047"/>
      <c r="D98" s="1047"/>
      <c r="E98" s="1047"/>
      <c r="F98" s="1047"/>
      <c r="G98" s="1047"/>
      <c r="H98" s="1047"/>
      <c r="I98" s="1047"/>
      <c r="J98" s="1047"/>
      <c r="K98" s="1048"/>
      <c r="L98" s="1049"/>
      <c r="M98" s="1047"/>
      <c r="N98" s="2899"/>
      <c r="O98" s="2899"/>
      <c r="P98" s="2899"/>
      <c r="Q98" s="2899"/>
      <c r="R98" s="2899"/>
      <c r="S98" s="2899"/>
      <c r="T98" s="2899"/>
      <c r="U98" s="2899"/>
      <c r="V98" s="2899"/>
      <c r="W98" s="2899"/>
      <c r="X98" s="2899"/>
      <c r="Y98" s="2899"/>
      <c r="Z98" s="2899"/>
      <c r="AA98" s="2899"/>
      <c r="AB98" s="2899"/>
      <c r="AC98" s="2899"/>
      <c r="AD98" s="2899"/>
    </row>
    <row r="99" spans="1:30">
      <c r="A99" s="1047"/>
      <c r="B99" s="1047"/>
      <c r="C99" s="1047"/>
      <c r="D99" s="1047"/>
      <c r="E99" s="1047"/>
      <c r="F99" s="1047"/>
      <c r="G99" s="1047"/>
      <c r="H99" s="1047"/>
      <c r="I99" s="1047"/>
      <c r="J99" s="1047"/>
      <c r="K99" s="1048"/>
      <c r="L99" s="1049"/>
      <c r="M99" s="1047"/>
      <c r="N99" s="2899"/>
      <c r="O99" s="2899"/>
      <c r="P99" s="2899"/>
      <c r="Q99" s="2899"/>
      <c r="R99" s="2899"/>
      <c r="S99" s="2899"/>
      <c r="T99" s="2899"/>
      <c r="U99" s="2899"/>
      <c r="V99" s="2899"/>
      <c r="W99" s="2899"/>
      <c r="X99" s="2899"/>
      <c r="Y99" s="2899"/>
      <c r="Z99" s="2899"/>
      <c r="AA99" s="2899"/>
      <c r="AB99" s="2899"/>
      <c r="AC99" s="2899"/>
      <c r="AD99" s="2899"/>
    </row>
    <row r="100" spans="1:30">
      <c r="A100" s="1047"/>
      <c r="B100" s="1047"/>
      <c r="C100" s="1047"/>
      <c r="D100" s="1047"/>
      <c r="E100" s="1047"/>
      <c r="F100" s="1047"/>
      <c r="G100" s="1047"/>
      <c r="H100" s="1047"/>
      <c r="I100" s="1047"/>
      <c r="J100" s="1047"/>
      <c r="K100" s="1048"/>
      <c r="L100" s="1049"/>
      <c r="M100" s="1047"/>
      <c r="N100" s="2899"/>
      <c r="O100" s="2899"/>
      <c r="P100" s="2899"/>
      <c r="Q100" s="2899"/>
      <c r="R100" s="2899"/>
      <c r="S100" s="2899"/>
      <c r="T100" s="2899"/>
      <c r="U100" s="2899"/>
      <c r="V100" s="2899"/>
      <c r="W100" s="2899"/>
      <c r="X100" s="2899"/>
      <c r="Y100" s="2899"/>
      <c r="Z100" s="2899"/>
      <c r="AA100" s="2899"/>
      <c r="AB100" s="2899"/>
      <c r="AC100" s="2899"/>
      <c r="AD100" s="2899"/>
    </row>
    <row r="101" spans="1:30">
      <c r="A101" s="1047"/>
      <c r="B101" s="1047"/>
      <c r="C101" s="1047"/>
      <c r="D101" s="1047"/>
      <c r="E101" s="1047"/>
      <c r="F101" s="1047"/>
      <c r="G101" s="1047"/>
      <c r="H101" s="1047"/>
      <c r="I101" s="1047"/>
      <c r="J101" s="1047"/>
      <c r="K101" s="1048"/>
      <c r="L101" s="1049"/>
      <c r="M101" s="1047"/>
      <c r="N101" s="2899"/>
      <c r="O101" s="2899"/>
      <c r="P101" s="2899"/>
      <c r="Q101" s="2899"/>
      <c r="R101" s="2899"/>
      <c r="S101" s="2899"/>
      <c r="T101" s="2899"/>
      <c r="U101" s="2899"/>
      <c r="V101" s="2899"/>
      <c r="W101" s="2899"/>
      <c r="X101" s="2899"/>
      <c r="Y101" s="2899"/>
      <c r="Z101" s="2899"/>
      <c r="AA101" s="2899"/>
      <c r="AB101" s="2899"/>
      <c r="AC101" s="2899"/>
      <c r="AD101" s="2899"/>
    </row>
    <row r="102" spans="1:30">
      <c r="A102" s="1047"/>
      <c r="B102" s="1047"/>
      <c r="C102" s="1047"/>
      <c r="D102" s="1047"/>
      <c r="E102" s="1047"/>
      <c r="F102" s="1047"/>
      <c r="G102" s="1047"/>
      <c r="H102" s="1047"/>
      <c r="I102" s="1047"/>
      <c r="J102" s="1047"/>
      <c r="K102" s="1048"/>
      <c r="L102" s="1049"/>
      <c r="M102" s="1047"/>
      <c r="N102" s="2899"/>
      <c r="O102" s="2899"/>
      <c r="P102" s="2899"/>
      <c r="Q102" s="2899"/>
      <c r="R102" s="2899"/>
      <c r="S102" s="2899"/>
      <c r="T102" s="2899"/>
      <c r="U102" s="2899"/>
      <c r="V102" s="2899"/>
      <c r="W102" s="2899"/>
      <c r="X102" s="2899"/>
      <c r="Y102" s="2899"/>
      <c r="Z102" s="2899"/>
      <c r="AA102" s="2899"/>
      <c r="AB102" s="2899"/>
      <c r="AC102" s="2899"/>
      <c r="AD102" s="2899"/>
    </row>
    <row r="103" spans="1:30">
      <c r="A103" s="1047"/>
      <c r="B103" s="1047"/>
      <c r="C103" s="1047"/>
      <c r="D103" s="1047"/>
      <c r="E103" s="1047"/>
      <c r="F103" s="1047"/>
      <c r="G103" s="1047"/>
      <c r="H103" s="1047"/>
      <c r="I103" s="1047"/>
      <c r="J103" s="1047"/>
      <c r="K103" s="1048"/>
      <c r="L103" s="1049"/>
      <c r="M103" s="1047"/>
      <c r="N103" s="1047"/>
      <c r="O103" s="1047"/>
      <c r="P103" s="2899"/>
      <c r="Q103" s="2899"/>
      <c r="R103" s="2899"/>
      <c r="S103" s="2899"/>
      <c r="T103" s="2899"/>
      <c r="U103" s="2899"/>
      <c r="V103" s="2899"/>
      <c r="W103" s="2899"/>
      <c r="X103" s="2899"/>
      <c r="Y103" s="2899"/>
      <c r="Z103" s="2899"/>
      <c r="AA103" s="2899"/>
      <c r="AB103" s="2899"/>
      <c r="AC103" s="2899"/>
      <c r="AD103" s="2899"/>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E00-000000000000}">
      <formula1>交通便捷度</formula1>
    </dataValidation>
    <dataValidation type="list" allowBlank="1" showInputMessage="1" showErrorMessage="1" sqref="G17 C17 E17 I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C2" xr:uid="{00000000-0002-0000-2E00-00000F000000}">
      <formula1>"需扣减承租人权益,——"</formula1>
    </dataValidation>
    <dataValidation type="list" allowBlank="1" showInputMessage="1" showErrorMessage="1" sqref="F2" xr:uid="{00000000-0002-0000-2E00-000010000000}">
      <formula1>估价方法</formula1>
    </dataValidation>
    <dataValidation type="list" allowBlank="1" showInputMessage="1" showErrorMessage="1" sqref="D36" xr:uid="{00000000-0002-0000-2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5">
    <tabColor rgb="FF92D050"/>
    <pageSetUpPr fitToPage="1"/>
  </sheetPr>
  <dimension ref="A1:AD131"/>
  <sheetViews>
    <sheetView view="pageBreakPreview" zoomScale="60" zoomScaleNormal="60" workbookViewId="0">
      <selection activeCell="F7" sqref="F7:F46"/>
    </sheetView>
  </sheetViews>
  <sheetFormatPr defaultColWidth="9" defaultRowHeight="14"/>
  <cols>
    <col min="1" max="1" width="14.36328125" style="363" customWidth="1"/>
    <col min="2" max="2" width="15.90625" style="363" customWidth="1"/>
    <col min="3" max="3" width="14.36328125" style="363" customWidth="1"/>
    <col min="4" max="4" width="14.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30" s="358" customFormat="1" ht="28.5" customHeight="1">
      <c r="A1" s="354" t="s">
        <v>2320</v>
      </c>
      <c r="B1" s="355"/>
      <c r="C1" s="356" t="s">
        <v>2321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1903</v>
      </c>
      <c r="B2" s="627" t="e">
        <f>F65</f>
        <v>#DIV/0!</v>
      </c>
      <c r="C2" s="1018"/>
      <c r="D2" s="1018"/>
      <c r="E2" s="1019"/>
      <c r="F2" s="1020"/>
      <c r="G2" s="1019"/>
      <c r="H2" s="1019"/>
      <c r="I2" s="1019"/>
      <c r="J2" s="1019"/>
      <c r="K2" s="1021"/>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1905</v>
      </c>
      <c r="B3" s="566" t="e">
        <f>ROUND(IF(D3="",B2*10000/'数据-汇总表'!E3,B2*10000/D3),0)</f>
        <v>#DIV/0!</v>
      </c>
      <c r="C3" s="209" t="s">
        <v>2322</v>
      </c>
      <c r="D3" s="1307"/>
      <c r="E3" s="1019"/>
      <c r="F3" s="1020"/>
      <c r="G3" s="1019"/>
      <c r="H3" s="1019"/>
      <c r="I3" s="1019"/>
      <c r="J3" s="1019"/>
      <c r="K3" s="1021"/>
      <c r="L3" s="2908"/>
      <c r="M3" s="2909"/>
      <c r="N3" s="2909"/>
      <c r="O3" s="2909"/>
      <c r="P3" s="708"/>
      <c r="Q3" s="708"/>
      <c r="R3" s="708"/>
      <c r="S3" s="708"/>
      <c r="T3" s="708"/>
      <c r="U3" s="708"/>
      <c r="V3" s="708"/>
      <c r="W3" s="708"/>
      <c r="X3" s="708"/>
      <c r="Y3" s="708"/>
      <c r="Z3" s="708"/>
      <c r="AA3" s="708"/>
      <c r="AB3" s="725"/>
      <c r="AC3" s="722"/>
    </row>
    <row r="4" spans="1:30">
      <c r="A4" s="361" t="s">
        <v>2221</v>
      </c>
      <c r="B4" s="362"/>
      <c r="C4" s="3555" t="s">
        <v>2222</v>
      </c>
      <c r="D4" s="3556"/>
      <c r="E4" s="3557" t="s">
        <v>2223</v>
      </c>
      <c r="F4" s="3558"/>
      <c r="G4" s="3555" t="s">
        <v>2224</v>
      </c>
      <c r="H4" s="3556"/>
      <c r="I4" s="3555" t="s">
        <v>2225</v>
      </c>
      <c r="J4" s="3556"/>
      <c r="K4" s="567" t="s">
        <v>2226</v>
      </c>
      <c r="L4" s="2889"/>
      <c r="M4" s="2890"/>
      <c r="N4" s="2890"/>
      <c r="O4" s="2890"/>
      <c r="P4" s="3619" t="s">
        <v>2227</v>
      </c>
      <c r="Q4" s="3620"/>
      <c r="R4" s="3623" t="s">
        <v>2223</v>
      </c>
      <c r="S4" s="3624"/>
      <c r="T4" s="3623" t="s">
        <v>2224</v>
      </c>
      <c r="U4" s="3624"/>
      <c r="V4" s="3572" t="s">
        <v>2225</v>
      </c>
      <c r="W4" s="3572"/>
      <c r="X4" s="1489"/>
      <c r="Y4" s="3623" t="s">
        <v>2227</v>
      </c>
      <c r="Z4" s="3624"/>
      <c r="AA4" s="3618" t="s">
        <v>2223</v>
      </c>
      <c r="AB4" s="3585" t="s">
        <v>2224</v>
      </c>
      <c r="AC4" s="3618" t="s">
        <v>2225</v>
      </c>
    </row>
    <row r="5" spans="1:30">
      <c r="A5" s="364"/>
      <c r="B5" s="365"/>
      <c r="C5" s="3581" t="s">
        <v>2118</v>
      </c>
      <c r="D5" s="3576"/>
      <c r="E5" s="3625" t="s">
        <v>2119</v>
      </c>
      <c r="F5" s="3588"/>
      <c r="G5" s="3581" t="s">
        <v>2120</v>
      </c>
      <c r="H5" s="3576"/>
      <c r="I5" s="3581" t="s">
        <v>2121</v>
      </c>
      <c r="J5" s="3576"/>
      <c r="K5" s="567"/>
      <c r="L5" s="2889"/>
      <c r="M5" s="2890"/>
      <c r="N5" s="2890"/>
      <c r="O5" s="2890"/>
      <c r="P5" s="3621"/>
      <c r="Q5" s="3562"/>
      <c r="R5" s="3567"/>
      <c r="S5" s="3568"/>
      <c r="T5" s="3567"/>
      <c r="U5" s="3568"/>
      <c r="V5" s="3572"/>
      <c r="W5" s="3572"/>
      <c r="X5" s="1489"/>
      <c r="Y5" s="3567"/>
      <c r="Z5" s="3568"/>
      <c r="AA5" s="3585"/>
      <c r="AB5" s="3585"/>
      <c r="AC5" s="3585"/>
    </row>
    <row r="6" spans="1:30" ht="15" thickBot="1">
      <c r="A6" s="366"/>
      <c r="B6" s="367"/>
      <c r="C6" s="3573" t="s">
        <v>2122</v>
      </c>
      <c r="D6" s="3574"/>
      <c r="E6" s="3582" t="s">
        <v>2122</v>
      </c>
      <c r="F6" s="3583"/>
      <c r="G6" s="3573" t="s">
        <v>2122</v>
      </c>
      <c r="H6" s="3574"/>
      <c r="I6" s="3573" t="s">
        <v>2122</v>
      </c>
      <c r="J6" s="3574"/>
      <c r="K6" s="567" t="s">
        <v>2123</v>
      </c>
      <c r="L6" s="2889"/>
      <c r="M6" s="2890"/>
      <c r="N6" s="2890"/>
      <c r="O6" s="2890"/>
      <c r="P6" s="3622"/>
      <c r="Q6" s="3564"/>
      <c r="R6" s="3567"/>
      <c r="S6" s="3568"/>
      <c r="T6" s="3569"/>
      <c r="U6" s="3570"/>
      <c r="V6" s="3572"/>
      <c r="W6" s="3572"/>
      <c r="X6" s="1489"/>
      <c r="Y6" s="3569"/>
      <c r="Z6" s="3570"/>
      <c r="AA6" s="3586"/>
      <c r="AB6" s="3586"/>
      <c r="AC6" s="3586"/>
    </row>
    <row r="7" spans="1:30" s="113" customFormat="1" ht="14.5" thickBot="1">
      <c r="A7" s="368" t="s">
        <v>2124</v>
      </c>
      <c r="B7" s="369"/>
      <c r="C7" s="370">
        <f>'数据-取费表'!B2</f>
        <v>44691</v>
      </c>
      <c r="D7" s="371">
        <v>100</v>
      </c>
      <c r="E7" s="372"/>
      <c r="F7" s="373">
        <f>SUMIF(69:69,YEAR(E7)&amp;"-"&amp;INT((MONTH(E7)+2)/3),70:70)</f>
        <v>0</v>
      </c>
      <c r="G7" s="2109"/>
      <c r="H7" s="371">
        <f>SUMIF(69:69,YEAR(G7)&amp;"-"&amp;INT((MONTH(G7)+2)/3),70:70)</f>
        <v>0</v>
      </c>
      <c r="I7" s="2109"/>
      <c r="J7" s="371">
        <f>SUMIF(69:69,YEAR(I7)&amp;"-"&amp;INT((MONTH(I7)+2)/3),70:70)</f>
        <v>0</v>
      </c>
      <c r="K7" s="568"/>
      <c r="L7" s="2891"/>
      <c r="M7" s="2892"/>
      <c r="N7" s="2892"/>
      <c r="O7" s="2892"/>
      <c r="P7" s="3579" t="s">
        <v>2125</v>
      </c>
      <c r="Q7" s="3580"/>
      <c r="R7" s="710" t="s">
        <v>17</v>
      </c>
      <c r="S7" s="711">
        <f t="shared" ref="S7:S15" si="0">F7</f>
        <v>0</v>
      </c>
      <c r="T7" s="710" t="s">
        <v>17</v>
      </c>
      <c r="U7" s="711">
        <f t="shared" ref="U7:U15" si="1">H7</f>
        <v>0</v>
      </c>
      <c r="V7" s="710" t="s">
        <v>17</v>
      </c>
      <c r="W7" s="711">
        <f t="shared" ref="W7:W15" si="2">J7</f>
        <v>0</v>
      </c>
      <c r="X7" s="712"/>
      <c r="Y7" s="3579" t="s">
        <v>2125</v>
      </c>
      <c r="Z7" s="3578"/>
      <c r="AA7" s="713" t="e">
        <f>D7/F7</f>
        <v>#DIV/0!</v>
      </c>
      <c r="AB7" s="713" t="e">
        <f>D7/H7</f>
        <v>#DIV/0!</v>
      </c>
      <c r="AC7" s="713" t="e">
        <f>D7/J7</f>
        <v>#DIV/0!</v>
      </c>
    </row>
    <row r="8" spans="1:30" s="113" customFormat="1" ht="14.5" thickBot="1">
      <c r="A8" s="368" t="s">
        <v>2126</v>
      </c>
      <c r="B8" s="369"/>
      <c r="C8" s="374" t="s">
        <v>2127</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579" t="s">
        <v>2128</v>
      </c>
      <c r="Q8" s="3578"/>
      <c r="R8" s="710" t="s">
        <v>17</v>
      </c>
      <c r="S8" s="711">
        <f t="shared" si="0"/>
        <v>0</v>
      </c>
      <c r="T8" s="710" t="s">
        <v>17</v>
      </c>
      <c r="U8" s="711">
        <f t="shared" si="1"/>
        <v>0</v>
      </c>
      <c r="V8" s="710" t="s">
        <v>17</v>
      </c>
      <c r="W8" s="711">
        <f t="shared" si="2"/>
        <v>0</v>
      </c>
      <c r="X8" s="712"/>
      <c r="Y8" s="3579" t="s">
        <v>2128</v>
      </c>
      <c r="Z8" s="3578"/>
      <c r="AA8" s="713" t="e">
        <f t="shared" ref="AA8:AA45" si="3">D8/F8</f>
        <v>#DIV/0!</v>
      </c>
      <c r="AB8" s="713" t="e">
        <f t="shared" ref="AB8:AB45" si="4">D8/H8</f>
        <v>#DIV/0!</v>
      </c>
      <c r="AC8" s="713" t="e">
        <f t="shared" ref="AC8:AC45" si="5">D8/J8</f>
        <v>#DIV/0!</v>
      </c>
    </row>
    <row r="9" spans="1:30" s="113" customFormat="1">
      <c r="A9" s="375" t="s">
        <v>2129</v>
      </c>
      <c r="B9" s="67" t="s">
        <v>2130</v>
      </c>
      <c r="C9" s="2112"/>
      <c r="D9" s="131">
        <v>100</v>
      </c>
      <c r="E9" s="2112"/>
      <c r="F9" s="131">
        <f>SUMIF(74:74,E9,75:75)-SUMIF(74:74,C9,75:75)+100</f>
        <v>100</v>
      </c>
      <c r="G9" s="2112"/>
      <c r="H9" s="131">
        <f>SUMIF(74:74,G9,75:75)-SUMIF(74:74,C9,75:75)+100</f>
        <v>100</v>
      </c>
      <c r="I9" s="2112"/>
      <c r="J9" s="131">
        <f>SUMIF(74:74,I9,75:75)-SUMIF(74:74,C9,75:75)+100</f>
        <v>100</v>
      </c>
      <c r="K9" s="568"/>
      <c r="L9" s="2891"/>
      <c r="M9" s="2892"/>
      <c r="N9" s="2892"/>
      <c r="O9" s="2946"/>
      <c r="P9" s="3538" t="s">
        <v>2131</v>
      </c>
      <c r="Q9" s="1477" t="str">
        <f t="shared" ref="Q9:Q15" si="6">B9</f>
        <v>用途</v>
      </c>
      <c r="R9" s="710" t="s">
        <v>17</v>
      </c>
      <c r="S9" s="711">
        <f t="shared" si="0"/>
        <v>100</v>
      </c>
      <c r="T9" s="710" t="s">
        <v>17</v>
      </c>
      <c r="U9" s="711">
        <f t="shared" si="1"/>
        <v>100</v>
      </c>
      <c r="V9" s="710" t="s">
        <v>17</v>
      </c>
      <c r="W9" s="711">
        <f t="shared" si="2"/>
        <v>100</v>
      </c>
      <c r="X9" s="712"/>
      <c r="Y9" s="3446" t="s">
        <v>2132</v>
      </c>
      <c r="Z9" s="55" t="str">
        <f t="shared" ref="Z9:Z15" si="7">Q9</f>
        <v>用途</v>
      </c>
      <c r="AA9" s="713">
        <f t="shared" si="3"/>
        <v>1</v>
      </c>
      <c r="AB9" s="713">
        <f t="shared" si="4"/>
        <v>1</v>
      </c>
      <c r="AC9" s="713">
        <f t="shared" si="5"/>
        <v>1</v>
      </c>
    </row>
    <row r="10" spans="1:30" s="386" customFormat="1" ht="28">
      <c r="A10" s="380"/>
      <c r="B10" s="381" t="s">
        <v>2133</v>
      </c>
      <c r="C10" s="391"/>
      <c r="D10" s="132">
        <v>100</v>
      </c>
      <c r="E10" s="424"/>
      <c r="F10" s="132">
        <f>ROUND(100/'数据-取费表'!G16,0)</f>
        <v>114</v>
      </c>
      <c r="G10" s="422"/>
      <c r="H10" s="132">
        <f>ROUND(100/'数据-取费表'!G16,0)</f>
        <v>114</v>
      </c>
      <c r="I10" s="422"/>
      <c r="J10" s="132">
        <f>ROUND(100/'数据-取费表'!G16,0)</f>
        <v>114</v>
      </c>
      <c r="K10" s="628"/>
      <c r="L10" s="2893"/>
      <c r="M10" s="2894"/>
      <c r="N10" s="2894"/>
      <c r="O10" s="2947"/>
      <c r="P10" s="3538"/>
      <c r="Q10" s="1477" t="str">
        <f t="shared" si="6"/>
        <v>土地使用年限（年）</v>
      </c>
      <c r="R10" s="710" t="s">
        <v>17</v>
      </c>
      <c r="S10" s="711">
        <f t="shared" si="0"/>
        <v>114</v>
      </c>
      <c r="T10" s="710" t="s">
        <v>17</v>
      </c>
      <c r="U10" s="711">
        <f t="shared" si="1"/>
        <v>114</v>
      </c>
      <c r="V10" s="710" t="s">
        <v>17</v>
      </c>
      <c r="W10" s="711">
        <f t="shared" si="2"/>
        <v>114</v>
      </c>
      <c r="X10" s="712"/>
      <c r="Y10" s="3446"/>
      <c r="Z10" s="55" t="str">
        <f t="shared" si="7"/>
        <v>土地使用年限（年）</v>
      </c>
      <c r="AA10" s="713">
        <f t="shared" si="3"/>
        <v>0.8771929824561403</v>
      </c>
      <c r="AB10" s="713">
        <f t="shared" si="4"/>
        <v>0.8771929824561403</v>
      </c>
      <c r="AC10" s="713">
        <f t="shared" si="5"/>
        <v>0.8771929824561403</v>
      </c>
    </row>
    <row r="11" spans="1:30" ht="15.5">
      <c r="A11" s="387"/>
      <c r="B11" s="381" t="s">
        <v>2134</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5"/>
      <c r="M11" s="2890"/>
      <c r="N11" s="2890"/>
      <c r="O11" s="2948"/>
      <c r="P11" s="3538"/>
      <c r="Q11" s="1477" t="str">
        <f t="shared" si="6"/>
        <v>容积率</v>
      </c>
      <c r="R11" s="710" t="s">
        <v>17</v>
      </c>
      <c r="S11" s="711" t="e">
        <f t="shared" si="0"/>
        <v>#N/A</v>
      </c>
      <c r="T11" s="710" t="s">
        <v>17</v>
      </c>
      <c r="U11" s="711" t="e">
        <f t="shared" si="1"/>
        <v>#N/A</v>
      </c>
      <c r="V11" s="710" t="s">
        <v>17</v>
      </c>
      <c r="W11" s="711" t="e">
        <f t="shared" si="2"/>
        <v>#N/A</v>
      </c>
      <c r="X11" s="712"/>
      <c r="Y11" s="3446"/>
      <c r="Z11" s="55" t="str">
        <f t="shared" si="7"/>
        <v>容积率</v>
      </c>
      <c r="AA11" s="713" t="e">
        <f t="shared" si="3"/>
        <v>#N/A</v>
      </c>
      <c r="AB11" s="713" t="e">
        <f t="shared" si="4"/>
        <v>#N/A</v>
      </c>
      <c r="AC11" s="713" t="e">
        <f t="shared" si="5"/>
        <v>#N/A</v>
      </c>
    </row>
    <row r="12" spans="1:30" s="113" customFormat="1" ht="15.5">
      <c r="A12" s="390"/>
      <c r="B12" s="2028" t="s">
        <v>2323</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538"/>
      <c r="Q12" s="1477" t="str">
        <f t="shared" si="6"/>
        <v>配建</v>
      </c>
      <c r="R12" s="710" t="s">
        <v>17</v>
      </c>
      <c r="S12" s="711">
        <f t="shared" si="0"/>
        <v>100</v>
      </c>
      <c r="T12" s="710" t="s">
        <v>17</v>
      </c>
      <c r="U12" s="711">
        <f t="shared" si="1"/>
        <v>100</v>
      </c>
      <c r="V12" s="710" t="s">
        <v>17</v>
      </c>
      <c r="W12" s="711">
        <f t="shared" si="2"/>
        <v>100</v>
      </c>
      <c r="X12" s="712"/>
      <c r="Y12" s="3446"/>
      <c r="Z12" s="55" t="str">
        <f t="shared" si="7"/>
        <v>配建</v>
      </c>
      <c r="AA12" s="713">
        <f>D12/F12</f>
        <v>1</v>
      </c>
      <c r="AB12" s="713">
        <f>D12/H12</f>
        <v>1</v>
      </c>
      <c r="AC12" s="713">
        <f>D12/J12</f>
        <v>1</v>
      </c>
    </row>
    <row r="13" spans="1:30" ht="15.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538"/>
      <c r="Q13" s="1477">
        <f t="shared" si="6"/>
        <v>111</v>
      </c>
      <c r="R13" s="710" t="s">
        <v>17</v>
      </c>
      <c r="S13" s="711">
        <f t="shared" si="0"/>
        <v>100</v>
      </c>
      <c r="T13" s="710" t="s">
        <v>17</v>
      </c>
      <c r="U13" s="711">
        <f t="shared" si="1"/>
        <v>100</v>
      </c>
      <c r="V13" s="710" t="s">
        <v>17</v>
      </c>
      <c r="W13" s="711">
        <f t="shared" si="2"/>
        <v>100</v>
      </c>
      <c r="X13" s="712"/>
      <c r="Y13" s="3446"/>
      <c r="Z13" s="55">
        <f t="shared" si="7"/>
        <v>111</v>
      </c>
      <c r="AA13" s="713">
        <f>D13/F13</f>
        <v>1</v>
      </c>
      <c r="AB13" s="713">
        <f>D13/H13</f>
        <v>1</v>
      </c>
      <c r="AC13" s="713">
        <f>D13/J13</f>
        <v>1</v>
      </c>
    </row>
    <row r="14" spans="1:30" ht="16"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538"/>
      <c r="Q14" s="1477">
        <f t="shared" si="6"/>
        <v>111</v>
      </c>
      <c r="R14" s="710" t="s">
        <v>17</v>
      </c>
      <c r="S14" s="711">
        <f t="shared" si="0"/>
        <v>100</v>
      </c>
      <c r="T14" s="710" t="s">
        <v>17</v>
      </c>
      <c r="U14" s="711">
        <f t="shared" si="1"/>
        <v>100</v>
      </c>
      <c r="V14" s="710" t="s">
        <v>17</v>
      </c>
      <c r="W14" s="711">
        <f t="shared" si="2"/>
        <v>100</v>
      </c>
      <c r="X14" s="712"/>
      <c r="Y14" s="3446"/>
      <c r="Z14" s="55">
        <f t="shared" si="7"/>
        <v>111</v>
      </c>
      <c r="AA14" s="713">
        <f>D14/F14</f>
        <v>1</v>
      </c>
      <c r="AB14" s="713">
        <f>D14/H14</f>
        <v>1</v>
      </c>
      <c r="AC14" s="713">
        <f>D14/J14</f>
        <v>1</v>
      </c>
    </row>
    <row r="15" spans="1:30" ht="98">
      <c r="A15" s="399" t="s">
        <v>2135</v>
      </c>
      <c r="B15" s="65" t="s">
        <v>1698</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545" t="s">
        <v>2136</v>
      </c>
      <c r="Q15" s="1486" t="str">
        <f t="shared" si="6"/>
        <v>居住社区成熟度</v>
      </c>
      <c r="R15" s="714" t="s">
        <v>17</v>
      </c>
      <c r="S15" s="715">
        <f t="shared" si="0"/>
        <v>100</v>
      </c>
      <c r="T15" s="714" t="s">
        <v>17</v>
      </c>
      <c r="U15" s="715">
        <f t="shared" si="1"/>
        <v>100</v>
      </c>
      <c r="V15" s="714" t="s">
        <v>17</v>
      </c>
      <c r="W15" s="715">
        <f t="shared" si="2"/>
        <v>100</v>
      </c>
      <c r="X15" s="1489"/>
      <c r="Y15" s="3545" t="s">
        <v>2136</v>
      </c>
      <c r="Z15" s="1490" t="str">
        <f t="shared" si="7"/>
        <v>居住社区成熟度</v>
      </c>
      <c r="AA15" s="1487">
        <f t="shared" si="3"/>
        <v>1</v>
      </c>
      <c r="AB15" s="1487">
        <f t="shared" si="4"/>
        <v>1</v>
      </c>
      <c r="AC15" s="1487">
        <f t="shared" si="5"/>
        <v>1</v>
      </c>
    </row>
    <row r="16" spans="1:30" ht="15.5">
      <c r="A16" s="387"/>
      <c r="B16" s="405"/>
      <c r="C16" s="406"/>
      <c r="D16" s="407"/>
      <c r="E16" s="2033"/>
      <c r="F16" s="407"/>
      <c r="G16" s="2033"/>
      <c r="H16" s="409"/>
      <c r="I16" s="2032"/>
      <c r="J16" s="407"/>
      <c r="K16" s="628"/>
      <c r="L16" s="2896"/>
      <c r="M16" s="2890"/>
      <c r="N16" s="2890"/>
      <c r="O16" s="2948"/>
      <c r="P16" s="3546"/>
      <c r="Q16" s="1486"/>
      <c r="R16" s="714"/>
      <c r="S16" s="715"/>
      <c r="T16" s="714"/>
      <c r="U16" s="715"/>
      <c r="V16" s="714"/>
      <c r="W16" s="715"/>
      <c r="X16" s="1489"/>
      <c r="Y16" s="3546"/>
      <c r="Z16" s="1490"/>
      <c r="AA16" s="1487">
        <v>1</v>
      </c>
      <c r="AB16" s="1487">
        <v>1</v>
      </c>
      <c r="AC16" s="1487">
        <v>1</v>
      </c>
    </row>
    <row r="17" spans="1:29" ht="84">
      <c r="A17" s="387"/>
      <c r="B17" s="410" t="s">
        <v>2229</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6"/>
      <c r="M17" s="2890"/>
      <c r="N17" s="2890"/>
      <c r="O17" s="2948"/>
      <c r="P17" s="3546"/>
      <c r="Q17" s="1486" t="str">
        <f>B17</f>
        <v>商业繁华度</v>
      </c>
      <c r="R17" s="714" t="s">
        <v>17</v>
      </c>
      <c r="S17" s="715">
        <f>F17</f>
        <v>100</v>
      </c>
      <c r="T17" s="714" t="s">
        <v>17</v>
      </c>
      <c r="U17" s="715">
        <f>H17</f>
        <v>100</v>
      </c>
      <c r="V17" s="714" t="s">
        <v>17</v>
      </c>
      <c r="W17" s="715">
        <f>J17</f>
        <v>100</v>
      </c>
      <c r="X17" s="1489"/>
      <c r="Y17" s="3546"/>
      <c r="Z17" s="1490" t="str">
        <f>Q17</f>
        <v>商业繁华度</v>
      </c>
      <c r="AA17" s="1487">
        <f t="shared" si="3"/>
        <v>1</v>
      </c>
      <c r="AB17" s="1487">
        <f t="shared" si="4"/>
        <v>1</v>
      </c>
      <c r="AC17" s="1487">
        <f t="shared" si="5"/>
        <v>1</v>
      </c>
    </row>
    <row r="18" spans="1:29" ht="15.5">
      <c r="A18" s="387"/>
      <c r="B18" s="415"/>
      <c r="C18" s="2036"/>
      <c r="D18" s="409"/>
      <c r="E18" s="2038"/>
      <c r="F18" s="409"/>
      <c r="G18" s="2038"/>
      <c r="H18" s="407"/>
      <c r="I18" s="2037"/>
      <c r="J18" s="407"/>
      <c r="K18" s="628"/>
      <c r="L18" s="2896"/>
      <c r="M18" s="2890"/>
      <c r="N18" s="2890"/>
      <c r="O18" s="2948"/>
      <c r="P18" s="3546"/>
      <c r="Q18" s="1486"/>
      <c r="R18" s="714"/>
      <c r="S18" s="715"/>
      <c r="T18" s="714"/>
      <c r="U18" s="715"/>
      <c r="V18" s="714"/>
      <c r="W18" s="715"/>
      <c r="X18" s="1489"/>
      <c r="Y18" s="3546"/>
      <c r="Z18" s="1490"/>
      <c r="AA18" s="1487">
        <v>1</v>
      </c>
      <c r="AB18" s="1487">
        <v>1</v>
      </c>
      <c r="AC18" s="1487">
        <v>1</v>
      </c>
    </row>
    <row r="19" spans="1:29" ht="84">
      <c r="A19" s="387"/>
      <c r="B19" s="410" t="s">
        <v>2263</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546"/>
      <c r="Q19" s="1486" t="str">
        <f>B19</f>
        <v>办公集聚程度</v>
      </c>
      <c r="R19" s="714" t="s">
        <v>17</v>
      </c>
      <c r="S19" s="715">
        <f>F19</f>
        <v>100</v>
      </c>
      <c r="T19" s="714" t="s">
        <v>17</v>
      </c>
      <c r="U19" s="715">
        <f>H19</f>
        <v>100</v>
      </c>
      <c r="V19" s="714" t="s">
        <v>17</v>
      </c>
      <c r="W19" s="715">
        <f>J19</f>
        <v>100</v>
      </c>
      <c r="X19" s="1489"/>
      <c r="Y19" s="3546"/>
      <c r="Z19" s="1490" t="str">
        <f>Q19</f>
        <v>办公集聚程度</v>
      </c>
      <c r="AA19" s="1487">
        <f t="shared" si="3"/>
        <v>1</v>
      </c>
      <c r="AB19" s="1487">
        <f t="shared" si="4"/>
        <v>1</v>
      </c>
      <c r="AC19" s="1487">
        <f t="shared" si="5"/>
        <v>1</v>
      </c>
    </row>
    <row r="20" spans="1:29" ht="15.5">
      <c r="A20" s="387"/>
      <c r="B20" s="415"/>
      <c r="C20" s="406"/>
      <c r="D20" s="407"/>
      <c r="E20" s="2033"/>
      <c r="F20" s="407"/>
      <c r="G20" s="2033"/>
      <c r="H20" s="407"/>
      <c r="I20" s="2032"/>
      <c r="J20" s="407"/>
      <c r="K20" s="628"/>
      <c r="L20" s="2896"/>
      <c r="M20" s="2890"/>
      <c r="N20" s="2890"/>
      <c r="O20" s="2948"/>
      <c r="P20" s="3546"/>
      <c r="Q20" s="1486"/>
      <c r="R20" s="714"/>
      <c r="S20" s="715"/>
      <c r="T20" s="714"/>
      <c r="U20" s="715"/>
      <c r="V20" s="714"/>
      <c r="W20" s="715"/>
      <c r="X20" s="1489"/>
      <c r="Y20" s="3546"/>
      <c r="Z20" s="1490"/>
      <c r="AA20" s="1487">
        <v>1</v>
      </c>
      <c r="AB20" s="1487">
        <v>1</v>
      </c>
      <c r="AC20" s="1487">
        <v>1</v>
      </c>
    </row>
    <row r="21" spans="1:29" ht="98">
      <c r="A21" s="387"/>
      <c r="B21" s="410" t="s">
        <v>2285</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6"/>
      <c r="M21" s="2890"/>
      <c r="N21" s="2890"/>
      <c r="O21" s="2948"/>
      <c r="P21" s="3546"/>
      <c r="Q21" s="1486" t="str">
        <f>B21</f>
        <v>交通便捷度</v>
      </c>
      <c r="R21" s="714" t="s">
        <v>17</v>
      </c>
      <c r="S21" s="715">
        <f>F21</f>
        <v>100</v>
      </c>
      <c r="T21" s="714" t="s">
        <v>17</v>
      </c>
      <c r="U21" s="715">
        <f>H21</f>
        <v>100</v>
      </c>
      <c r="V21" s="714" t="s">
        <v>17</v>
      </c>
      <c r="W21" s="715">
        <f>J21</f>
        <v>100</v>
      </c>
      <c r="X21" s="1489"/>
      <c r="Y21" s="3546"/>
      <c r="Z21" s="1490" t="str">
        <f>Q21</f>
        <v>交通便捷度</v>
      </c>
      <c r="AA21" s="1487">
        <f t="shared" si="3"/>
        <v>1</v>
      </c>
      <c r="AB21" s="1487">
        <f t="shared" si="4"/>
        <v>1</v>
      </c>
      <c r="AC21" s="1487">
        <f t="shared" si="5"/>
        <v>1</v>
      </c>
    </row>
    <row r="22" spans="1:29" ht="15.5">
      <c r="A22" s="387"/>
      <c r="B22" s="1245"/>
      <c r="C22" s="406"/>
      <c r="D22" s="409"/>
      <c r="E22" s="2033"/>
      <c r="F22" s="407"/>
      <c r="G22" s="2033"/>
      <c r="H22" s="407"/>
      <c r="I22" s="2032"/>
      <c r="J22" s="407"/>
      <c r="K22" s="628"/>
      <c r="L22" s="2896"/>
      <c r="M22" s="2890"/>
      <c r="N22" s="2890"/>
      <c r="O22" s="2948"/>
      <c r="P22" s="3546"/>
      <c r="Q22" s="1486"/>
      <c r="R22" s="714"/>
      <c r="S22" s="715"/>
      <c r="T22" s="714"/>
      <c r="U22" s="715"/>
      <c r="V22" s="714"/>
      <c r="W22" s="715"/>
      <c r="X22" s="1489"/>
      <c r="Y22" s="3546"/>
      <c r="Z22" s="1490"/>
      <c r="AA22" s="1487">
        <v>1</v>
      </c>
      <c r="AB22" s="1487">
        <v>1</v>
      </c>
      <c r="AC22" s="1487">
        <v>1</v>
      </c>
    </row>
    <row r="23" spans="1:29" ht="28">
      <c r="A23" s="364"/>
      <c r="B23" s="410" t="s">
        <v>2324</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546"/>
      <c r="Q23" s="1486" t="str">
        <f t="shared" ref="Q23:Q37" si="8">B23</f>
        <v>区域土地利用方向</v>
      </c>
      <c r="R23" s="714" t="s">
        <v>17</v>
      </c>
      <c r="S23" s="715">
        <f>F23</f>
        <v>100</v>
      </c>
      <c r="T23" s="714" t="s">
        <v>17</v>
      </c>
      <c r="U23" s="715">
        <f>H23</f>
        <v>100</v>
      </c>
      <c r="V23" s="714" t="s">
        <v>17</v>
      </c>
      <c r="W23" s="715">
        <f>J23</f>
        <v>100</v>
      </c>
      <c r="X23" s="1489"/>
      <c r="Y23" s="3546"/>
      <c r="Z23" s="1490" t="str">
        <f>Q23</f>
        <v>区域土地利用方向</v>
      </c>
      <c r="AA23" s="1487">
        <f t="shared" si="3"/>
        <v>1</v>
      </c>
      <c r="AB23" s="1487">
        <f t="shared" si="4"/>
        <v>1</v>
      </c>
      <c r="AC23" s="1487">
        <f t="shared" si="5"/>
        <v>1</v>
      </c>
    </row>
    <row r="24" spans="1:29" ht="15.5">
      <c r="A24" s="364"/>
      <c r="B24" s="415"/>
      <c r="C24" s="573"/>
      <c r="D24" s="407"/>
      <c r="E24" s="2033"/>
      <c r="F24" s="407"/>
      <c r="G24" s="2032"/>
      <c r="H24" s="407"/>
      <c r="I24" s="2032"/>
      <c r="J24" s="407"/>
      <c r="K24" s="750"/>
      <c r="L24" s="2896"/>
      <c r="M24" s="2890"/>
      <c r="N24" s="2890"/>
      <c r="O24" s="2948"/>
      <c r="P24" s="3546"/>
      <c r="Q24" s="1486"/>
      <c r="R24" s="714"/>
      <c r="S24" s="715"/>
      <c r="T24" s="714"/>
      <c r="U24" s="715"/>
      <c r="V24" s="714"/>
      <c r="W24" s="715"/>
      <c r="X24" s="1489"/>
      <c r="Y24" s="3546"/>
      <c r="Z24" s="1490"/>
      <c r="AA24" s="1487"/>
      <c r="AB24" s="1487"/>
      <c r="AC24" s="1487"/>
    </row>
    <row r="25" spans="1:29" ht="56">
      <c r="A25" s="364"/>
      <c r="B25" s="1245" t="s">
        <v>2325</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6"/>
      <c r="M25" s="2890"/>
      <c r="N25" s="2890"/>
      <c r="O25" s="2948"/>
      <c r="P25" s="3546"/>
      <c r="Q25" s="1486" t="str">
        <f t="shared" si="8"/>
        <v>自然及人文环境状况</v>
      </c>
      <c r="R25" s="714" t="s">
        <v>17</v>
      </c>
      <c r="S25" s="715">
        <f>F25</f>
        <v>100</v>
      </c>
      <c r="T25" s="714" t="s">
        <v>17</v>
      </c>
      <c r="U25" s="715">
        <f>H25</f>
        <v>100</v>
      </c>
      <c r="V25" s="714" t="s">
        <v>17</v>
      </c>
      <c r="W25" s="715">
        <f>J25</f>
        <v>100</v>
      </c>
      <c r="X25" s="1489"/>
      <c r="Y25" s="3546"/>
      <c r="Z25" s="1490" t="str">
        <f>Q25</f>
        <v>自然及人文环境状况</v>
      </c>
      <c r="AA25" s="1487">
        <f t="shared" si="3"/>
        <v>1</v>
      </c>
      <c r="AB25" s="1487">
        <f t="shared" si="4"/>
        <v>1</v>
      </c>
      <c r="AC25" s="1487">
        <f t="shared" si="5"/>
        <v>1</v>
      </c>
    </row>
    <row r="26" spans="1:29" ht="15.5">
      <c r="A26" s="364"/>
      <c r="B26" s="415"/>
      <c r="C26" s="406"/>
      <c r="D26" s="407"/>
      <c r="E26" s="2039"/>
      <c r="F26" s="407"/>
      <c r="G26" s="2039"/>
      <c r="H26" s="407"/>
      <c r="I26" s="406"/>
      <c r="J26" s="407"/>
      <c r="K26" s="628"/>
      <c r="L26" s="2896"/>
      <c r="M26" s="2890"/>
      <c r="N26" s="2890"/>
      <c r="O26" s="2948"/>
      <c r="P26" s="3546"/>
      <c r="Q26" s="1486"/>
      <c r="R26" s="714"/>
      <c r="S26" s="715"/>
      <c r="T26" s="714"/>
      <c r="U26" s="715"/>
      <c r="V26" s="714"/>
      <c r="W26" s="715"/>
      <c r="X26" s="1489"/>
      <c r="Y26" s="3546"/>
      <c r="Z26" s="1490"/>
      <c r="AA26" s="1487">
        <v>1</v>
      </c>
      <c r="AB26" s="1487">
        <v>1</v>
      </c>
      <c r="AC26" s="1487">
        <v>1</v>
      </c>
    </row>
    <row r="27" spans="1:29" s="113" customFormat="1" ht="42">
      <c r="A27" s="605"/>
      <c r="B27" s="1245" t="s">
        <v>2230</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1"/>
      <c r="M27" s="2892"/>
      <c r="N27" s="2892"/>
      <c r="O27" s="2946"/>
      <c r="P27" s="3546"/>
      <c r="Q27" s="1477" t="str">
        <f t="shared" si="8"/>
        <v>公共配套设施</v>
      </c>
      <c r="R27" s="710" t="s">
        <v>17</v>
      </c>
      <c r="S27" s="711">
        <f>F27</f>
        <v>100</v>
      </c>
      <c r="T27" s="710" t="s">
        <v>17</v>
      </c>
      <c r="U27" s="711">
        <f>H27</f>
        <v>100</v>
      </c>
      <c r="V27" s="710" t="s">
        <v>17</v>
      </c>
      <c r="W27" s="711">
        <f>J27</f>
        <v>100</v>
      </c>
      <c r="X27" s="712"/>
      <c r="Y27" s="3546"/>
      <c r="Z27" s="55" t="str">
        <f>Q27</f>
        <v>公共配套设施</v>
      </c>
      <c r="AA27" s="1487">
        <f>D27/F27</f>
        <v>1</v>
      </c>
      <c r="AB27" s="1487">
        <f>D27/H27</f>
        <v>1</v>
      </c>
      <c r="AC27" s="1487">
        <f>D27/J27</f>
        <v>1</v>
      </c>
    </row>
    <row r="28" spans="1:29" s="113" customFormat="1" ht="15.5">
      <c r="A28" s="605"/>
      <c r="B28" s="415"/>
      <c r="C28" s="2113"/>
      <c r="D28" s="407"/>
      <c r="E28" s="2039"/>
      <c r="F28" s="407"/>
      <c r="G28" s="2039"/>
      <c r="H28" s="407"/>
      <c r="I28" s="406"/>
      <c r="J28" s="407"/>
      <c r="K28" s="628"/>
      <c r="L28" s="2891"/>
      <c r="M28" s="2892"/>
      <c r="N28" s="2892"/>
      <c r="O28" s="2946"/>
      <c r="P28" s="3546"/>
      <c r="Q28" s="1477"/>
      <c r="R28" s="710"/>
      <c r="S28" s="711"/>
      <c r="T28" s="710"/>
      <c r="U28" s="711"/>
      <c r="V28" s="710"/>
      <c r="W28" s="711"/>
      <c r="X28" s="712"/>
      <c r="Y28" s="3546"/>
      <c r="Z28" s="55"/>
      <c r="AA28" s="1487">
        <v>1</v>
      </c>
      <c r="AB28" s="1487">
        <v>1</v>
      </c>
      <c r="AC28" s="1487">
        <v>1</v>
      </c>
    </row>
    <row r="29" spans="1:29" s="113" customFormat="1" ht="42">
      <c r="A29" s="605"/>
      <c r="B29" s="1245" t="s">
        <v>2231</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1"/>
      <c r="M29" s="2892"/>
      <c r="N29" s="2892"/>
      <c r="O29" s="2946"/>
      <c r="P29" s="3546"/>
      <c r="Q29" s="1477" t="str">
        <f t="shared" ref="Q29" si="9">B29</f>
        <v>基础设施水平</v>
      </c>
      <c r="R29" s="710" t="s">
        <v>17</v>
      </c>
      <c r="S29" s="711">
        <f>F29</f>
        <v>100</v>
      </c>
      <c r="T29" s="710" t="s">
        <v>17</v>
      </c>
      <c r="U29" s="711">
        <f>H29</f>
        <v>100</v>
      </c>
      <c r="V29" s="710" t="s">
        <v>17</v>
      </c>
      <c r="W29" s="711">
        <f>J29</f>
        <v>100</v>
      </c>
      <c r="X29" s="712"/>
      <c r="Y29" s="3546"/>
      <c r="Z29" s="55" t="str">
        <f>Q29</f>
        <v>基础设施水平</v>
      </c>
      <c r="AA29" s="1487">
        <f>D29/F29</f>
        <v>1</v>
      </c>
      <c r="AB29" s="1487">
        <f>D29/H29</f>
        <v>1</v>
      </c>
      <c r="AC29" s="1487">
        <f>D29/J29</f>
        <v>1</v>
      </c>
    </row>
    <row r="30" spans="1:29" s="113" customFormat="1" ht="15.5">
      <c r="A30" s="605"/>
      <c r="B30" s="415"/>
      <c r="C30" s="2113"/>
      <c r="D30" s="407"/>
      <c r="E30" s="2114"/>
      <c r="F30" s="407"/>
      <c r="G30" s="2114"/>
      <c r="H30" s="407"/>
      <c r="I30" s="2114"/>
      <c r="J30" s="407"/>
      <c r="K30" s="628"/>
      <c r="L30" s="2891"/>
      <c r="M30" s="2892"/>
      <c r="N30" s="2892"/>
      <c r="O30" s="2946"/>
      <c r="P30" s="3546"/>
      <c r="Q30" s="1477"/>
      <c r="R30" s="710"/>
      <c r="S30" s="711"/>
      <c r="T30" s="710"/>
      <c r="U30" s="711"/>
      <c r="V30" s="710"/>
      <c r="W30" s="711"/>
      <c r="X30" s="712"/>
      <c r="Y30" s="3546"/>
      <c r="Z30" s="55"/>
      <c r="AA30" s="1487">
        <v>1</v>
      </c>
      <c r="AB30" s="1487">
        <v>1</v>
      </c>
      <c r="AC30" s="1487">
        <v>1</v>
      </c>
    </row>
    <row r="31" spans="1:29" ht="15.5">
      <c r="A31" s="387"/>
      <c r="B31" s="415" t="s">
        <v>2232</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546"/>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46"/>
      <c r="Z31" s="1490" t="str">
        <f t="shared" ref="Z31:Z45" si="13">Q31</f>
        <v>临街状况</v>
      </c>
      <c r="AA31" s="1487">
        <f t="shared" si="3"/>
        <v>1</v>
      </c>
      <c r="AB31" s="1487">
        <f t="shared" si="4"/>
        <v>1</v>
      </c>
      <c r="AC31" s="1487">
        <f t="shared" si="5"/>
        <v>1</v>
      </c>
    </row>
    <row r="32" spans="1:29" ht="28">
      <c r="A32" s="387"/>
      <c r="B32" s="1245" t="s">
        <v>2267</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546"/>
      <c r="Q32" s="1486" t="str">
        <f t="shared" si="8"/>
        <v>毗邻道路的类型与等级</v>
      </c>
      <c r="R32" s="714" t="s">
        <v>17</v>
      </c>
      <c r="S32" s="715">
        <f t="shared" si="10"/>
        <v>100</v>
      </c>
      <c r="T32" s="714" t="s">
        <v>17</v>
      </c>
      <c r="U32" s="715">
        <f t="shared" si="11"/>
        <v>100</v>
      </c>
      <c r="V32" s="714" t="s">
        <v>17</v>
      </c>
      <c r="W32" s="715">
        <f t="shared" si="12"/>
        <v>100</v>
      </c>
      <c r="X32" s="1489"/>
      <c r="Y32" s="3546"/>
      <c r="Z32" s="1490" t="str">
        <f t="shared" si="13"/>
        <v>毗邻道路的类型与等级</v>
      </c>
      <c r="AA32" s="1487">
        <f t="shared" si="3"/>
        <v>1</v>
      </c>
      <c r="AB32" s="1487">
        <f t="shared" si="4"/>
        <v>1</v>
      </c>
      <c r="AC32" s="1487">
        <f t="shared" si="5"/>
        <v>1</v>
      </c>
    </row>
    <row r="33" spans="1:29" ht="15.5">
      <c r="A33" s="387"/>
      <c r="B33" s="415"/>
      <c r="C33" s="406"/>
      <c r="D33" s="407"/>
      <c r="E33" s="2039"/>
      <c r="F33" s="407"/>
      <c r="G33" s="2039"/>
      <c r="H33" s="407"/>
      <c r="I33" s="406"/>
      <c r="J33" s="407"/>
      <c r="K33" s="570"/>
      <c r="L33" s="2896"/>
      <c r="M33" s="2890"/>
      <c r="N33" s="2890"/>
      <c r="O33" s="2948"/>
      <c r="P33" s="3546"/>
      <c r="Q33" s="1486"/>
      <c r="R33" s="714"/>
      <c r="S33" s="715"/>
      <c r="T33" s="714"/>
      <c r="U33" s="715"/>
      <c r="V33" s="714"/>
      <c r="W33" s="715"/>
      <c r="X33" s="1489"/>
      <c r="Y33" s="3546"/>
      <c r="Z33" s="1490"/>
      <c r="AA33" s="1487">
        <v>1</v>
      </c>
      <c r="AB33" s="1487">
        <v>1</v>
      </c>
      <c r="AC33" s="1487">
        <v>1</v>
      </c>
    </row>
    <row r="34" spans="1:29" ht="15.5">
      <c r="A34" s="387"/>
      <c r="B34" s="381" t="s">
        <v>2326</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546"/>
      <c r="Q34" s="1486" t="str">
        <f t="shared" si="8"/>
        <v>土地级别</v>
      </c>
      <c r="R34" s="714" t="s">
        <v>17</v>
      </c>
      <c r="S34" s="715">
        <f t="shared" si="10"/>
        <v>100</v>
      </c>
      <c r="T34" s="714" t="s">
        <v>17</v>
      </c>
      <c r="U34" s="715">
        <f t="shared" si="11"/>
        <v>100</v>
      </c>
      <c r="V34" s="714" t="s">
        <v>17</v>
      </c>
      <c r="W34" s="715">
        <f t="shared" si="12"/>
        <v>100</v>
      </c>
      <c r="X34" s="1489"/>
      <c r="Y34" s="3546"/>
      <c r="Z34" s="1490" t="str">
        <f t="shared" si="13"/>
        <v>土地级别</v>
      </c>
      <c r="AA34" s="1487">
        <f t="shared" si="3"/>
        <v>1</v>
      </c>
      <c r="AB34" s="1487">
        <f t="shared" si="4"/>
        <v>1</v>
      </c>
      <c r="AC34" s="1487">
        <f t="shared" si="5"/>
        <v>1</v>
      </c>
    </row>
    <row r="35" spans="1:29" ht="15.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546"/>
      <c r="Q35" s="1486">
        <f t="shared" si="8"/>
        <v>111</v>
      </c>
      <c r="R35" s="714" t="s">
        <v>17</v>
      </c>
      <c r="S35" s="715">
        <f t="shared" si="10"/>
        <v>100</v>
      </c>
      <c r="T35" s="714" t="s">
        <v>17</v>
      </c>
      <c r="U35" s="715">
        <f t="shared" si="11"/>
        <v>100</v>
      </c>
      <c r="V35" s="714" t="s">
        <v>17</v>
      </c>
      <c r="W35" s="715">
        <f t="shared" si="12"/>
        <v>100</v>
      </c>
      <c r="X35" s="1489"/>
      <c r="Y35" s="3546"/>
      <c r="Z35" s="1490">
        <f t="shared" si="13"/>
        <v>111</v>
      </c>
      <c r="AA35" s="1487">
        <f t="shared" si="3"/>
        <v>1</v>
      </c>
      <c r="AB35" s="1487">
        <f t="shared" si="4"/>
        <v>1</v>
      </c>
      <c r="AC35" s="1487">
        <f t="shared" si="5"/>
        <v>1</v>
      </c>
    </row>
    <row r="36" spans="1:29" ht="15.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626" t="s">
        <v>2141</v>
      </c>
      <c r="Q36" s="1486">
        <f t="shared" si="8"/>
        <v>111</v>
      </c>
      <c r="R36" s="714" t="s">
        <v>17</v>
      </c>
      <c r="S36" s="715">
        <f t="shared" si="10"/>
        <v>100</v>
      </c>
      <c r="T36" s="714" t="s">
        <v>17</v>
      </c>
      <c r="U36" s="715">
        <f t="shared" si="11"/>
        <v>100</v>
      </c>
      <c r="V36" s="714" t="s">
        <v>17</v>
      </c>
      <c r="W36" s="715">
        <f t="shared" si="12"/>
        <v>100</v>
      </c>
      <c r="X36" s="1489"/>
      <c r="Y36" s="3550" t="s">
        <v>2141</v>
      </c>
      <c r="Z36" s="1490">
        <f t="shared" si="13"/>
        <v>111</v>
      </c>
      <c r="AA36" s="1487">
        <f t="shared" si="3"/>
        <v>1</v>
      </c>
      <c r="AB36" s="1487">
        <f t="shared" si="4"/>
        <v>1</v>
      </c>
      <c r="AC36" s="1487">
        <f t="shared" si="5"/>
        <v>1</v>
      </c>
    </row>
    <row r="37" spans="1:29" s="430" customFormat="1" ht="16"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550"/>
      <c r="Q37" s="1486">
        <f t="shared" si="8"/>
        <v>111</v>
      </c>
      <c r="R37" s="717" t="s">
        <v>17</v>
      </c>
      <c r="S37" s="718">
        <f t="shared" si="10"/>
        <v>100</v>
      </c>
      <c r="T37" s="717" t="s">
        <v>17</v>
      </c>
      <c r="U37" s="718">
        <f t="shared" si="11"/>
        <v>100</v>
      </c>
      <c r="V37" s="717" t="s">
        <v>17</v>
      </c>
      <c r="W37" s="718">
        <f t="shared" si="12"/>
        <v>100</v>
      </c>
      <c r="X37" s="719"/>
      <c r="Y37" s="3550"/>
      <c r="Z37" s="720">
        <f t="shared" si="13"/>
        <v>111</v>
      </c>
      <c r="AA37" s="1487">
        <f t="shared" si="3"/>
        <v>1</v>
      </c>
      <c r="AB37" s="1487">
        <f t="shared" si="4"/>
        <v>1</v>
      </c>
      <c r="AC37" s="1487">
        <f t="shared" si="5"/>
        <v>1</v>
      </c>
    </row>
    <row r="38" spans="1:29" ht="15.5">
      <c r="A38" s="431" t="s">
        <v>2139</v>
      </c>
      <c r="B38" s="415" t="s">
        <v>2327</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6"/>
      <c r="M38" s="2890"/>
      <c r="N38" s="2890"/>
      <c r="O38" s="2948"/>
      <c r="P38" s="3550"/>
      <c r="Q38" s="1486" t="str">
        <f>B38</f>
        <v>宗地面积</v>
      </c>
      <c r="R38" s="714" t="s">
        <v>17</v>
      </c>
      <c r="S38" s="715" t="e">
        <f t="shared" si="10"/>
        <v>#N/A</v>
      </c>
      <c r="T38" s="714" t="s">
        <v>17</v>
      </c>
      <c r="U38" s="715" t="e">
        <f t="shared" si="11"/>
        <v>#N/A</v>
      </c>
      <c r="V38" s="714" t="s">
        <v>17</v>
      </c>
      <c r="W38" s="715" t="e">
        <f t="shared" si="12"/>
        <v>#N/A</v>
      </c>
      <c r="X38" s="1489"/>
      <c r="Y38" s="3550"/>
      <c r="Z38" s="1490" t="str">
        <f t="shared" si="13"/>
        <v>宗地面积</v>
      </c>
      <c r="AA38" s="1487" t="e">
        <f t="shared" si="3"/>
        <v>#N/A</v>
      </c>
      <c r="AB38" s="1487" t="e">
        <f t="shared" si="4"/>
        <v>#N/A</v>
      </c>
      <c r="AC38" s="1487" t="e">
        <f t="shared" si="5"/>
        <v>#N/A</v>
      </c>
    </row>
    <row r="39" spans="1:29" ht="15.5">
      <c r="A39" s="431"/>
      <c r="B39" s="381" t="s">
        <v>2328</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6"/>
      <c r="M39" s="2890"/>
      <c r="N39" s="2890"/>
      <c r="O39" s="2948"/>
      <c r="P39" s="3550"/>
      <c r="Q39" s="1486" t="str">
        <f t="shared" ref="Q39:Q45" si="14">B39</f>
        <v>宗地形状</v>
      </c>
      <c r="R39" s="714" t="s">
        <v>17</v>
      </c>
      <c r="S39" s="715">
        <f t="shared" si="10"/>
        <v>100</v>
      </c>
      <c r="T39" s="714" t="s">
        <v>17</v>
      </c>
      <c r="U39" s="715">
        <f t="shared" si="11"/>
        <v>100</v>
      </c>
      <c r="V39" s="714" t="s">
        <v>17</v>
      </c>
      <c r="W39" s="715">
        <f t="shared" si="12"/>
        <v>100</v>
      </c>
      <c r="X39" s="1489"/>
      <c r="Y39" s="3550"/>
      <c r="Z39" s="1490" t="str">
        <f t="shared" si="13"/>
        <v>宗地形状</v>
      </c>
      <c r="AA39" s="1487">
        <f t="shared" si="3"/>
        <v>1</v>
      </c>
      <c r="AB39" s="1487">
        <f t="shared" si="4"/>
        <v>1</v>
      </c>
      <c r="AC39" s="1487">
        <f t="shared" si="5"/>
        <v>1</v>
      </c>
    </row>
    <row r="40" spans="1:29" ht="15.5">
      <c r="A40" s="431"/>
      <c r="B40" s="381" t="s">
        <v>2329</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6"/>
      <c r="M40" s="2890"/>
      <c r="N40" s="2890"/>
      <c r="O40" s="2948"/>
      <c r="P40" s="3550"/>
      <c r="Q40" s="1486" t="str">
        <f t="shared" si="14"/>
        <v>临街宽度及深度</v>
      </c>
      <c r="R40" s="714" t="s">
        <v>17</v>
      </c>
      <c r="S40" s="715">
        <f t="shared" si="10"/>
        <v>100</v>
      </c>
      <c r="T40" s="714" t="s">
        <v>17</v>
      </c>
      <c r="U40" s="715">
        <f t="shared" si="11"/>
        <v>100</v>
      </c>
      <c r="V40" s="714" t="s">
        <v>17</v>
      </c>
      <c r="W40" s="715">
        <f t="shared" si="12"/>
        <v>100</v>
      </c>
      <c r="X40" s="1489"/>
      <c r="Y40" s="3550"/>
      <c r="Z40" s="1490" t="str">
        <f t="shared" si="13"/>
        <v>临街宽度及深度</v>
      </c>
      <c r="AA40" s="1487">
        <f t="shared" si="3"/>
        <v>1</v>
      </c>
      <c r="AB40" s="1487">
        <f t="shared" si="4"/>
        <v>1</v>
      </c>
      <c r="AC40" s="1487">
        <f t="shared" si="5"/>
        <v>1</v>
      </c>
    </row>
    <row r="41" spans="1:29" s="113" customFormat="1" ht="15.5">
      <c r="A41" s="432"/>
      <c r="B41" s="381" t="s">
        <v>2330</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1"/>
      <c r="M41" s="2892"/>
      <c r="N41" s="2892"/>
      <c r="O41" s="2946"/>
      <c r="P41" s="3550"/>
      <c r="Q41" s="1486" t="str">
        <f t="shared" si="14"/>
        <v>宗地开发程度</v>
      </c>
      <c r="R41" s="710" t="s">
        <v>17</v>
      </c>
      <c r="S41" s="711">
        <f t="shared" si="10"/>
        <v>100</v>
      </c>
      <c r="T41" s="710" t="s">
        <v>17</v>
      </c>
      <c r="U41" s="711">
        <f t="shared" si="11"/>
        <v>100</v>
      </c>
      <c r="V41" s="710" t="s">
        <v>17</v>
      </c>
      <c r="W41" s="711">
        <f t="shared" si="12"/>
        <v>100</v>
      </c>
      <c r="X41" s="712"/>
      <c r="Y41" s="3550"/>
      <c r="Z41" s="55" t="str">
        <f t="shared" si="13"/>
        <v>宗地开发程度</v>
      </c>
      <c r="AA41" s="713">
        <f t="shared" si="3"/>
        <v>1</v>
      </c>
      <c r="AB41" s="713">
        <f t="shared" si="4"/>
        <v>1</v>
      </c>
      <c r="AC41" s="713">
        <f t="shared" si="5"/>
        <v>1</v>
      </c>
    </row>
    <row r="42" spans="1:29" ht="15.5">
      <c r="A42" s="431"/>
      <c r="B42" s="381" t="s">
        <v>2331</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6"/>
      <c r="M42" s="2890"/>
      <c r="N42" s="2890"/>
      <c r="O42" s="2948"/>
      <c r="P42" s="3550" t="s">
        <v>2141</v>
      </c>
      <c r="Q42" s="1486" t="str">
        <f t="shared" si="14"/>
        <v>工程地质条件</v>
      </c>
      <c r="R42" s="714" t="s">
        <v>17</v>
      </c>
      <c r="S42" s="715">
        <f t="shared" si="10"/>
        <v>100</v>
      </c>
      <c r="T42" s="714" t="s">
        <v>17</v>
      </c>
      <c r="U42" s="715">
        <f t="shared" si="11"/>
        <v>100</v>
      </c>
      <c r="V42" s="714" t="s">
        <v>17</v>
      </c>
      <c r="W42" s="715">
        <f t="shared" si="12"/>
        <v>100</v>
      </c>
      <c r="X42" s="1489"/>
      <c r="Y42" s="3550" t="s">
        <v>2141</v>
      </c>
      <c r="Z42" s="1490" t="str">
        <f t="shared" si="13"/>
        <v>工程地质条件</v>
      </c>
      <c r="AA42" s="1487">
        <f t="shared" si="3"/>
        <v>1</v>
      </c>
      <c r="AB42" s="1487">
        <f t="shared" si="4"/>
        <v>1</v>
      </c>
      <c r="AC42" s="1487">
        <f t="shared" si="5"/>
        <v>1</v>
      </c>
    </row>
    <row r="43" spans="1:29" ht="15.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550"/>
      <c r="Q43" s="1486">
        <f t="shared" si="14"/>
        <v>111</v>
      </c>
      <c r="R43" s="714" t="s">
        <v>17</v>
      </c>
      <c r="S43" s="715">
        <f t="shared" si="10"/>
        <v>100</v>
      </c>
      <c r="T43" s="714" t="s">
        <v>17</v>
      </c>
      <c r="U43" s="715">
        <f t="shared" si="11"/>
        <v>100</v>
      </c>
      <c r="V43" s="714" t="s">
        <v>17</v>
      </c>
      <c r="W43" s="715">
        <f t="shared" si="12"/>
        <v>100</v>
      </c>
      <c r="X43" s="1489"/>
      <c r="Y43" s="3550"/>
      <c r="Z43" s="1490">
        <f t="shared" si="13"/>
        <v>111</v>
      </c>
      <c r="AA43" s="1487">
        <f t="shared" si="3"/>
        <v>1</v>
      </c>
      <c r="AB43" s="1487">
        <f t="shared" si="4"/>
        <v>1</v>
      </c>
      <c r="AC43" s="1487">
        <f t="shared" si="5"/>
        <v>1</v>
      </c>
    </row>
    <row r="44" spans="1:29" ht="15.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550"/>
      <c r="Q44" s="1486">
        <f t="shared" si="14"/>
        <v>111</v>
      </c>
      <c r="R44" s="714" t="s">
        <v>17</v>
      </c>
      <c r="S44" s="715">
        <f t="shared" si="10"/>
        <v>100</v>
      </c>
      <c r="T44" s="714" t="s">
        <v>17</v>
      </c>
      <c r="U44" s="715">
        <f t="shared" si="11"/>
        <v>100</v>
      </c>
      <c r="V44" s="714" t="s">
        <v>17</v>
      </c>
      <c r="W44" s="715">
        <f t="shared" si="12"/>
        <v>100</v>
      </c>
      <c r="X44" s="1489"/>
      <c r="Y44" s="3550"/>
      <c r="Z44" s="1490">
        <f t="shared" si="13"/>
        <v>111</v>
      </c>
      <c r="AA44" s="1487">
        <f t="shared" si="3"/>
        <v>1</v>
      </c>
      <c r="AB44" s="1487">
        <f t="shared" si="4"/>
        <v>1</v>
      </c>
      <c r="AC44" s="1487">
        <f t="shared" si="5"/>
        <v>1</v>
      </c>
    </row>
    <row r="45" spans="1:29" s="430" customFormat="1" ht="16"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550"/>
      <c r="Q45" s="1486">
        <f t="shared" si="14"/>
        <v>111</v>
      </c>
      <c r="R45" s="717" t="s">
        <v>17</v>
      </c>
      <c r="S45" s="718">
        <f t="shared" si="10"/>
        <v>100</v>
      </c>
      <c r="T45" s="717" t="s">
        <v>17</v>
      </c>
      <c r="U45" s="718">
        <f t="shared" si="11"/>
        <v>100</v>
      </c>
      <c r="V45" s="717" t="s">
        <v>17</v>
      </c>
      <c r="W45" s="718">
        <f t="shared" si="12"/>
        <v>100</v>
      </c>
      <c r="X45" s="719"/>
      <c r="Y45" s="3550"/>
      <c r="Z45" s="720">
        <f t="shared" si="13"/>
        <v>111</v>
      </c>
      <c r="AA45" s="1487">
        <f t="shared" si="3"/>
        <v>1</v>
      </c>
      <c r="AB45" s="1487">
        <f t="shared" si="4"/>
        <v>1</v>
      </c>
      <c r="AC45" s="1487">
        <f t="shared" si="5"/>
        <v>1</v>
      </c>
    </row>
    <row r="46" spans="1:29">
      <c r="A46" s="438" t="s">
        <v>2296</v>
      </c>
      <c r="B46" s="2117" t="s">
        <v>2332</v>
      </c>
      <c r="C46" s="638" t="s">
        <v>1</v>
      </c>
      <c r="D46" s="440"/>
      <c r="E46" s="441"/>
      <c r="F46" s="442"/>
      <c r="G46" s="443"/>
      <c r="H46" s="444"/>
      <c r="I46" s="441"/>
      <c r="J46" s="444"/>
      <c r="K46" s="723"/>
      <c r="L46" s="2898"/>
      <c r="M46" s="2899"/>
      <c r="N46" s="2890"/>
      <c r="O46" s="2899"/>
      <c r="P46" s="3538" t="str">
        <f>A46</f>
        <v>成交单价</v>
      </c>
      <c r="Q46" s="3538"/>
      <c r="R46" s="3572">
        <f>E46</f>
        <v>0</v>
      </c>
      <c r="S46" s="3572"/>
      <c r="T46" s="3572">
        <f>G46</f>
        <v>0</v>
      </c>
      <c r="U46" s="3572"/>
      <c r="V46" s="3572">
        <f>I46</f>
        <v>0</v>
      </c>
      <c r="W46" s="3572"/>
      <c r="X46" s="699"/>
      <c r="Y46" s="721"/>
      <c r="Z46" s="699"/>
      <c r="AA46" s="699"/>
      <c r="AB46" s="699"/>
      <c r="AC46" s="699"/>
    </row>
    <row r="47" spans="1:29" ht="14.5" thickBot="1">
      <c r="A47" s="445" t="s">
        <v>2245</v>
      </c>
      <c r="B47" s="639"/>
      <c r="C47" s="448" t="e">
        <f>R48</f>
        <v>#DIV/0!</v>
      </c>
      <c r="D47" s="2487" t="s">
        <v>2635</v>
      </c>
      <c r="E47" s="448" t="e">
        <f>R47</f>
        <v>#DIV/0!</v>
      </c>
      <c r="F47" s="2488"/>
      <c r="G47" s="447" t="e">
        <f>T47</f>
        <v>#DIV/0!</v>
      </c>
      <c r="H47" s="2488"/>
      <c r="I47" s="448" t="e">
        <f>V47</f>
        <v>#DIV/0!</v>
      </c>
      <c r="J47" s="2488"/>
      <c r="K47" s="2490">
        <f>F47+H47+J47</f>
        <v>0</v>
      </c>
      <c r="L47" s="2898"/>
      <c r="M47" s="2899"/>
      <c r="N47" s="2899"/>
      <c r="O47" s="2899"/>
      <c r="P47" s="3538" t="str">
        <f>A47</f>
        <v>比较价值（元/平方米）</v>
      </c>
      <c r="Q47" s="3538"/>
      <c r="R47" s="3628" t="e">
        <f>ROUND(PRODUCT(R46,AA7:AA45),0)</f>
        <v>#DIV/0!</v>
      </c>
      <c r="S47" s="3628"/>
      <c r="T47" s="3628" t="e">
        <f>ROUND(PRODUCT(T46,AB7:AB45),0)</f>
        <v>#DIV/0!</v>
      </c>
      <c r="U47" s="3628"/>
      <c r="V47" s="3628" t="e">
        <f>ROUND(PRODUCT(V46,AC7:AC45),0)</f>
        <v>#DIV/0!</v>
      </c>
      <c r="W47" s="3628"/>
      <c r="X47" s="699"/>
      <c r="Y47" s="699"/>
      <c r="Z47" s="699"/>
      <c r="AA47" s="699"/>
      <c r="AB47" s="699"/>
      <c r="AC47" s="699"/>
    </row>
    <row r="48" spans="1:29" ht="14.5" thickBot="1">
      <c r="A48" s="449" t="s">
        <v>2333</v>
      </c>
      <c r="B48" s="450"/>
      <c r="C48" s="451" t="e">
        <f>R48</f>
        <v>#DIV/0!</v>
      </c>
      <c r="D48" s="451"/>
      <c r="E48" s="451"/>
      <c r="F48" s="451"/>
      <c r="G48" s="451"/>
      <c r="H48" s="451"/>
      <c r="I48" s="451"/>
      <c r="J48" s="451"/>
      <c r="K48" s="724"/>
      <c r="L48" s="2898"/>
      <c r="M48" s="2899"/>
      <c r="N48" s="2899"/>
      <c r="O48" s="2899"/>
      <c r="P48" s="3615" t="str">
        <f>A48</f>
        <v>估价对象XX用房的比较价值（楼面单价，元/平方米）</v>
      </c>
      <c r="Q48" s="3616"/>
      <c r="R48" s="3629" t="e">
        <f>ROUND(IF(D47="简单平均",AVERAGE(R47:W47),R47*F47+T47*H47+V47*J47),0)</f>
        <v>#DIV/0!</v>
      </c>
      <c r="S48" s="3629"/>
      <c r="T48" s="3629"/>
      <c r="U48" s="3629"/>
      <c r="V48" s="3629"/>
      <c r="W48" s="3629"/>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2247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2248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2249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4.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2334</v>
      </c>
      <c r="B55" s="641" t="s">
        <v>2335</v>
      </c>
      <c r="C55" s="2118" t="s">
        <v>2336</v>
      </c>
      <c r="D55" s="2119" t="s">
        <v>2337</v>
      </c>
      <c r="E55" s="642" t="s">
        <v>2338</v>
      </c>
      <c r="F55" s="1001" t="s">
        <v>2339</v>
      </c>
      <c r="G55" s="3555" t="s">
        <v>2340</v>
      </c>
      <c r="H55" s="3630"/>
      <c r="I55" s="140" t="s">
        <v>2341</v>
      </c>
      <c r="J55" s="2120">
        <f>项目基本情况!F35</f>
        <v>0</v>
      </c>
      <c r="K55" s="2121" t="s">
        <v>2342</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2343</v>
      </c>
      <c r="B56" s="645" t="e">
        <f>C48</f>
        <v>#DIV/0!</v>
      </c>
      <c r="C56" s="646">
        <v>1</v>
      </c>
      <c r="D56" s="1055">
        <v>1</v>
      </c>
      <c r="E56" s="646">
        <f>'数据-汇总表'!E8+'数据-汇总表'!E9</f>
        <v>74096.129999999976</v>
      </c>
      <c r="F56" s="997" t="e">
        <f t="shared" ref="F56:F64" si="15">ROUND(B56*E56/10000,0)</f>
        <v>#DIV/0!</v>
      </c>
      <c r="G56" s="3537"/>
      <c r="H56" s="3538"/>
      <c r="I56" s="1002">
        <v>1</v>
      </c>
      <c r="J56" s="1005">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2344</v>
      </c>
      <c r="B57" s="224" t="e">
        <f>ROUND($C$48*C57*D57,0)</f>
        <v>#DIV/0!</v>
      </c>
      <c r="C57" s="176">
        <f t="shared" ref="C57:C64" si="16">IF($C$55="北京市系数",I57,J57)</f>
        <v>0.7</v>
      </c>
      <c r="D57" s="1056">
        <v>0.25</v>
      </c>
      <c r="E57" s="650"/>
      <c r="F57" s="997" t="e">
        <f t="shared" si="15"/>
        <v>#DIV/0!</v>
      </c>
      <c r="G57" s="3234" t="s">
        <v>2345</v>
      </c>
      <c r="H57" s="998" t="str">
        <f>项目基本情况!B37</f>
        <v>一级</v>
      </c>
      <c r="I57" s="1002">
        <f>SUMIF(修正!A57:A68,H57,修正!B57:B68)</f>
        <v>0.7</v>
      </c>
      <c r="J57" s="1006"/>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2346</v>
      </c>
      <c r="B58" s="224" t="e">
        <f t="shared" ref="B58:B64" si="17">ROUND($C$48*C58*D58,0)</f>
        <v>#DIV/0!</v>
      </c>
      <c r="C58" s="176">
        <f t="shared" si="16"/>
        <v>0.4</v>
      </c>
      <c r="D58" s="1056">
        <v>0.25</v>
      </c>
      <c r="E58" s="650"/>
      <c r="F58" s="997" t="e">
        <f t="shared" si="15"/>
        <v>#DIV/0!</v>
      </c>
      <c r="G58" s="3235"/>
      <c r="H58" s="998" t="str">
        <f>项目基本情况!B37</f>
        <v>一级</v>
      </c>
      <c r="I58" s="1002">
        <f>SUMIF(修正!A57:A68,H58,修正!C57:C68)</f>
        <v>0.4</v>
      </c>
      <c r="J58" s="1006"/>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2347</v>
      </c>
      <c r="B59" s="224" t="e">
        <f t="shared" si="17"/>
        <v>#DIV/0!</v>
      </c>
      <c r="C59" s="176">
        <f t="shared" si="16"/>
        <v>0.3</v>
      </c>
      <c r="D59" s="1056">
        <v>0.25</v>
      </c>
      <c r="E59" s="650"/>
      <c r="F59" s="997" t="e">
        <f t="shared" si="15"/>
        <v>#DIV/0!</v>
      </c>
      <c r="G59" s="3235"/>
      <c r="H59" s="998" t="str">
        <f>项目基本情况!B37</f>
        <v>一级</v>
      </c>
      <c r="I59" s="1002">
        <f>SUMIF(修正!A57:A68,H59,修正!D57:D68)</f>
        <v>0.3</v>
      </c>
      <c r="J59" s="1006"/>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2348</v>
      </c>
      <c r="B60" s="224" t="e">
        <f t="shared" si="17"/>
        <v>#DIV/0!</v>
      </c>
      <c r="C60" s="176">
        <f t="shared" si="16"/>
        <v>0.3</v>
      </c>
      <c r="D60" s="1056">
        <v>0.25</v>
      </c>
      <c r="E60" s="223">
        <f>'数据-汇总表'!E11</f>
        <v>0</v>
      </c>
      <c r="F60" s="997" t="e">
        <f t="shared" si="15"/>
        <v>#DIV/0!</v>
      </c>
      <c r="G60" s="2122" t="s">
        <v>2349</v>
      </c>
      <c r="H60" s="998" t="str">
        <f>项目基本情况!C37</f>
        <v>一级</v>
      </c>
      <c r="I60" s="1002">
        <f>SUMIF(修正!A57:A68,H60,修正!E57:E68)</f>
        <v>0.3</v>
      </c>
      <c r="J60" s="1006"/>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2350</v>
      </c>
      <c r="B61" s="224" t="e">
        <f t="shared" si="17"/>
        <v>#DIV/0!</v>
      </c>
      <c r="C61" s="176">
        <f t="shared" si="16"/>
        <v>0.3</v>
      </c>
      <c r="D61" s="1056">
        <v>0.25</v>
      </c>
      <c r="E61" s="223">
        <f>'数据-汇总表'!E12</f>
        <v>2640.82</v>
      </c>
      <c r="F61" s="997" t="e">
        <f t="shared" si="15"/>
        <v>#DIV/0!</v>
      </c>
      <c r="G61" s="1003" t="s">
        <v>2351</v>
      </c>
      <c r="H61" s="998" t="str">
        <f>IF(G61="商业",项目基本情况!B37,IF(G61="办公",项目基本情况!C37,IF(G61="住宅",项目基本情况!D37,项目基本情况!E37)))</f>
        <v>一级</v>
      </c>
      <c r="I61" s="1002">
        <f>SUMIF(修正!A57:A68,H61,修正!F57:F68)</f>
        <v>0.3</v>
      </c>
      <c r="J61" s="1006"/>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2352</v>
      </c>
      <c r="B62" s="224" t="e">
        <f t="shared" si="17"/>
        <v>#DIV/0!</v>
      </c>
      <c r="C62" s="176">
        <f t="shared" si="16"/>
        <v>0</v>
      </c>
      <c r="D62" s="1056">
        <v>0.25</v>
      </c>
      <c r="E62" s="223">
        <f>'数据-汇总表'!E13</f>
        <v>18842.53</v>
      </c>
      <c r="F62" s="997" t="e">
        <f t="shared" si="15"/>
        <v>#DIV/0!</v>
      </c>
      <c r="G62" s="1003" t="s">
        <v>2353</v>
      </c>
      <c r="H62" s="998">
        <f>IF(G62="商业",项目基本情况!B37,IF(G62="办公",项目基本情况!C37,IF(G62="住宅",项目基本情况!D37,项目基本情况!E37)))</f>
        <v>0</v>
      </c>
      <c r="I62" s="1002">
        <f>SUMIF(修正!A57:A68,H62,修正!G57:G68)</f>
        <v>0</v>
      </c>
      <c r="J62" s="1006"/>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2354</v>
      </c>
      <c r="B63" s="224" t="e">
        <f t="shared" si="17"/>
        <v>#DIV/0!</v>
      </c>
      <c r="C63" s="176">
        <f t="shared" si="16"/>
        <v>0.2</v>
      </c>
      <c r="D63" s="1056">
        <v>0.25</v>
      </c>
      <c r="E63" s="223">
        <f>'数据-汇总表'!E14</f>
        <v>0</v>
      </c>
      <c r="F63" s="997" t="e">
        <f t="shared" si="15"/>
        <v>#DIV/0!</v>
      </c>
      <c r="G63" s="2122" t="s">
        <v>2345</v>
      </c>
      <c r="H63" s="998" t="str">
        <f>项目基本情况!B37</f>
        <v>一级</v>
      </c>
      <c r="I63" s="1002">
        <f>SUMIF(修正!A57:A68,H63,修正!G57:G68)</f>
        <v>0.2</v>
      </c>
      <c r="J63" s="1006"/>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4.5" thickBot="1">
      <c r="A64" s="649" t="s">
        <v>2355</v>
      </c>
      <c r="B64" s="224" t="e">
        <f t="shared" si="17"/>
        <v>#DIV/0!</v>
      </c>
      <c r="C64" s="176">
        <f t="shared" si="16"/>
        <v>0.2</v>
      </c>
      <c r="D64" s="1056">
        <v>0.25</v>
      </c>
      <c r="E64" s="223">
        <f>'数据-汇总表'!E15</f>
        <v>0</v>
      </c>
      <c r="F64" s="997" t="e">
        <f t="shared" si="15"/>
        <v>#DIV/0!</v>
      </c>
      <c r="G64" s="2123" t="s">
        <v>2349</v>
      </c>
      <c r="H64" s="1008" t="str">
        <f>项目基本情况!C37</f>
        <v>一级</v>
      </c>
      <c r="I64" s="1004">
        <f>SUMIF(修正!A57:A68,H64,修正!G57:G68)</f>
        <v>0.2</v>
      </c>
      <c r="J64" s="1007"/>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thickBot="1">
      <c r="A65" s="651" t="s">
        <v>2356</v>
      </c>
      <c r="B65" s="652" t="s">
        <v>28</v>
      </c>
      <c r="C65" s="652" t="s">
        <v>29</v>
      </c>
      <c r="D65" s="652" t="s">
        <v>816</v>
      </c>
      <c r="E65" s="652">
        <f>IF(B46="楼面地价",SUM(E56:E64),'数据-汇总表'!D3)</f>
        <v>95579.479999999981</v>
      </c>
      <c r="F65" s="653" t="e">
        <f>IF(B46="楼面地价",SUM(F56:F64),ROUND(C48*E65/10000,0))</f>
        <v>#DIV/0!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8"/>
      <c r="K66" s="999"/>
      <c r="L66" s="1000"/>
      <c r="M66" s="1038"/>
      <c r="N66" s="1038"/>
      <c r="O66" s="1038"/>
      <c r="P66" s="2899"/>
      <c r="Q66" s="2899"/>
      <c r="R66" s="2899"/>
      <c r="S66" s="2899"/>
      <c r="T66" s="2899"/>
      <c r="U66" s="2899"/>
      <c r="V66" s="2899"/>
      <c r="W66" s="2899"/>
      <c r="X66" s="2899"/>
      <c r="Y66" s="2899"/>
      <c r="Z66" s="2899"/>
      <c r="AA66" s="2899"/>
      <c r="AB66" s="2899"/>
      <c r="AC66" s="2899"/>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9"/>
      <c r="Q67" s="2899"/>
      <c r="R67" s="2899"/>
      <c r="S67" s="2899"/>
      <c r="T67" s="2899"/>
      <c r="U67" s="2899"/>
      <c r="V67" s="2899"/>
      <c r="W67" s="2899"/>
      <c r="X67" s="2899"/>
      <c r="Y67" s="2899"/>
      <c r="Z67" s="2899"/>
      <c r="AA67" s="2899"/>
      <c r="AB67" s="2899"/>
      <c r="AC67" s="2899"/>
    </row>
    <row r="68" spans="1:29" ht="21.5" thickBot="1">
      <c r="A68" s="703" t="s">
        <v>2250</v>
      </c>
      <c r="B68" s="699"/>
      <c r="C68" s="704"/>
      <c r="D68" s="704"/>
      <c r="E68" s="704"/>
      <c r="F68" s="705"/>
      <c r="G68" s="705"/>
      <c r="H68" s="704"/>
      <c r="I68" s="704"/>
      <c r="J68" s="1051"/>
      <c r="K68" s="1052"/>
      <c r="L68" s="1053"/>
      <c r="M68" s="1051"/>
      <c r="N68" s="2943"/>
      <c r="O68" s="2943"/>
      <c r="P68" s="2943"/>
      <c r="Q68" s="2913"/>
      <c r="R68" s="2899"/>
      <c r="S68" s="2899"/>
      <c r="T68" s="2899"/>
      <c r="U68" s="2899"/>
      <c r="V68" s="2899"/>
      <c r="W68" s="2899"/>
      <c r="X68" s="2899"/>
      <c r="Y68" s="2899"/>
      <c r="Z68" s="2899"/>
      <c r="AA68" s="2899"/>
      <c r="AB68" s="2899"/>
      <c r="AC68" s="2899"/>
    </row>
    <row r="69" spans="1:29" s="465" customFormat="1">
      <c r="A69" s="2124" t="s">
        <v>2357</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5" t="s">
        <v>2358</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3"/>
      <c r="Q70" s="2834"/>
      <c r="R70" s="2834"/>
      <c r="S70" s="2834"/>
      <c r="T70" s="2834"/>
      <c r="U70" s="2834"/>
      <c r="V70" s="2834"/>
      <c r="W70" s="2834"/>
      <c r="X70" s="2834"/>
      <c r="Y70" s="2834"/>
      <c r="Z70" s="2834"/>
      <c r="AA70" s="2834"/>
      <c r="AB70" s="2834"/>
      <c r="AC70" s="2834"/>
    </row>
    <row r="71" spans="1:29" s="113" customFormat="1" ht="14.5" thickBot="1">
      <c r="A71" s="472" t="s">
        <v>2161</v>
      </c>
      <c r="B71" s="473"/>
      <c r="C71" s="474"/>
      <c r="D71" s="475"/>
      <c r="E71" s="475"/>
      <c r="F71" s="475"/>
      <c r="G71" s="475"/>
      <c r="H71" s="475"/>
      <c r="I71" s="475"/>
      <c r="J71" s="475"/>
      <c r="K71" s="475"/>
      <c r="L71" s="475"/>
      <c r="M71" s="476"/>
      <c r="N71" s="475"/>
      <c r="O71" s="1054"/>
      <c r="P71" s="2913"/>
      <c r="Q71" s="2913"/>
      <c r="R71" s="2834"/>
      <c r="S71" s="2834"/>
      <c r="T71" s="2834"/>
      <c r="U71" s="2834"/>
      <c r="V71" s="2834"/>
      <c r="W71" s="2834"/>
      <c r="X71" s="2834"/>
      <c r="Y71" s="2834"/>
      <c r="Z71" s="2834"/>
      <c r="AA71" s="2834"/>
      <c r="AB71" s="2834"/>
      <c r="AC71" s="2834"/>
    </row>
    <row r="72" spans="1:29" s="113" customFormat="1">
      <c r="A72" s="478" t="s">
        <v>2126</v>
      </c>
      <c r="B72" s="467"/>
      <c r="C72" s="479" t="s">
        <v>2228</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4.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2164</v>
      </c>
      <c r="B74" s="485" t="s">
        <v>2130</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4.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8.5" thickTop="1">
      <c r="A76" s="491"/>
      <c r="B76" s="495" t="s">
        <v>2133</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4.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4.5" thickTop="1">
      <c r="A78" s="491"/>
      <c r="B78" s="503" t="s">
        <v>2134</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4.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4.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4.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4.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4.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4.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2135</v>
      </c>
      <c r="B87" s="485" t="s">
        <v>2172</v>
      </c>
      <c r="C87" s="530" t="s">
        <v>2173</v>
      </c>
      <c r="D87" s="530" t="s">
        <v>2174</v>
      </c>
      <c r="E87" s="530" t="s">
        <v>2175</v>
      </c>
      <c r="F87" s="530" t="s">
        <v>2176</v>
      </c>
      <c r="G87" s="530" t="s">
        <v>2177</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4.5" thickTop="1">
      <c r="A89" s="491"/>
      <c r="B89" s="495" t="s">
        <v>2359</v>
      </c>
      <c r="C89" s="535" t="s">
        <v>2173</v>
      </c>
      <c r="D89" s="535" t="s">
        <v>2174</v>
      </c>
      <c r="E89" s="535" t="s">
        <v>2175</v>
      </c>
      <c r="F89" s="535" t="s">
        <v>2176</v>
      </c>
      <c r="G89" s="535" t="s">
        <v>2177</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4.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4.5" thickTop="1">
      <c r="A91" s="491"/>
      <c r="B91" s="495" t="s">
        <v>2273</v>
      </c>
      <c r="C91" s="535" t="s">
        <v>2173</v>
      </c>
      <c r="D91" s="535" t="s">
        <v>2174</v>
      </c>
      <c r="E91" s="535" t="s">
        <v>2175</v>
      </c>
      <c r="F91" s="535" t="s">
        <v>2176</v>
      </c>
      <c r="G91" s="535" t="s">
        <v>2177</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4.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4.5" thickTop="1">
      <c r="A93" s="491"/>
      <c r="B93" s="495" t="s">
        <v>2178</v>
      </c>
      <c r="C93" s="535" t="s">
        <v>2173</v>
      </c>
      <c r="D93" s="535" t="s">
        <v>2174</v>
      </c>
      <c r="E93" s="535" t="s">
        <v>2175</v>
      </c>
      <c r="F93" s="535" t="s">
        <v>2176</v>
      </c>
      <c r="G93" s="535" t="s">
        <v>2177</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4.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28.5" thickTop="1">
      <c r="A95" s="536"/>
      <c r="B95" s="495" t="s">
        <v>2360</v>
      </c>
      <c r="C95" s="535" t="s">
        <v>2173</v>
      </c>
      <c r="D95" s="535" t="s">
        <v>2174</v>
      </c>
      <c r="E95" s="535" t="s">
        <v>2175</v>
      </c>
      <c r="F95" s="535" t="s">
        <v>2176</v>
      </c>
      <c r="G95" s="535" t="s">
        <v>2177</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4.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8.5" thickTop="1">
      <c r="A97" s="536"/>
      <c r="B97" s="495" t="s">
        <v>2361</v>
      </c>
      <c r="C97" s="530" t="s">
        <v>2173</v>
      </c>
      <c r="D97" s="530" t="s">
        <v>2174</v>
      </c>
      <c r="E97" s="530" t="s">
        <v>2175</v>
      </c>
      <c r="F97" s="530" t="s">
        <v>2176</v>
      </c>
      <c r="G97" s="530" t="s">
        <v>2177</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4.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4.5" thickTop="1">
      <c r="A99" s="510"/>
      <c r="B99" s="495" t="s">
        <v>2230</v>
      </c>
      <c r="C99" s="530" t="s">
        <v>2173</v>
      </c>
      <c r="D99" s="530" t="s">
        <v>2174</v>
      </c>
      <c r="E99" s="530" t="s">
        <v>2175</v>
      </c>
      <c r="F99" s="530" t="s">
        <v>2176</v>
      </c>
      <c r="G99" s="530" t="s">
        <v>2177</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4.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4.5" thickTop="1">
      <c r="A101" s="510"/>
      <c r="B101" s="503" t="s">
        <v>2231</v>
      </c>
      <c r="C101" s="616" t="s">
        <v>2251</v>
      </c>
      <c r="D101" s="616" t="s">
        <v>2252</v>
      </c>
      <c r="E101" s="616" t="s">
        <v>2253</v>
      </c>
      <c r="F101" s="616" t="s">
        <v>2254</v>
      </c>
      <c r="G101" s="616" t="s">
        <v>2255</v>
      </c>
      <c r="H101" s="557"/>
      <c r="I101" s="557"/>
      <c r="J101" s="557"/>
      <c r="K101" s="557"/>
      <c r="L101" s="557"/>
      <c r="M101" s="1246"/>
      <c r="N101" s="2929"/>
      <c r="O101" s="2929"/>
      <c r="P101" s="2953"/>
      <c r="Q101" s="2920"/>
      <c r="R101" s="2921"/>
      <c r="S101" s="2921"/>
      <c r="T101" s="2921"/>
      <c r="U101" s="2921"/>
      <c r="V101" s="2921"/>
      <c r="W101" s="2921"/>
      <c r="X101" s="2921"/>
      <c r="Y101" s="2921"/>
      <c r="Z101" s="2921"/>
      <c r="AA101" s="2921"/>
      <c r="AB101" s="2921"/>
      <c r="AC101" s="2921"/>
    </row>
    <row r="102" spans="1:29" s="430" customFormat="1" ht="14.5" thickBot="1">
      <c r="A102" s="510"/>
      <c r="B102" s="503"/>
      <c r="C102" s="501">
        <v>100</v>
      </c>
      <c r="D102" s="501">
        <f>C102-$K29</f>
        <v>100</v>
      </c>
      <c r="E102" s="501">
        <f>D102-$K29</f>
        <v>100</v>
      </c>
      <c r="F102" s="501">
        <f>E102-$K29</f>
        <v>100</v>
      </c>
      <c r="G102" s="501">
        <f>F102-$K29</f>
        <v>100</v>
      </c>
      <c r="H102" s="505"/>
      <c r="I102" s="505"/>
      <c r="J102" s="505"/>
      <c r="K102" s="505"/>
      <c r="L102" s="505"/>
      <c r="M102" s="1246"/>
      <c r="N102" s="2929"/>
      <c r="O102" s="2929"/>
      <c r="P102" s="2953"/>
      <c r="Q102" s="2920"/>
      <c r="R102" s="2921"/>
      <c r="S102" s="2921"/>
      <c r="T102" s="2921"/>
      <c r="U102" s="2921"/>
      <c r="V102" s="2921"/>
      <c r="W102" s="2921"/>
      <c r="X102" s="2921"/>
      <c r="Y102" s="2921"/>
      <c r="Z102" s="2921"/>
      <c r="AA102" s="2921"/>
      <c r="AB102" s="2921"/>
      <c r="AC102" s="2921"/>
    </row>
    <row r="103" spans="1:29" ht="14.5" thickTop="1">
      <c r="A103" s="491"/>
      <c r="B103" s="495" t="str">
        <f>B31</f>
        <v>临街状况</v>
      </c>
      <c r="C103" s="496" t="s">
        <v>2362</v>
      </c>
      <c r="D103" s="496" t="s">
        <v>2363</v>
      </c>
      <c r="E103" s="496" t="s">
        <v>2364</v>
      </c>
      <c r="F103" s="496" t="s">
        <v>2365</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8.5" thickTop="1">
      <c r="A105" s="491"/>
      <c r="B105" s="495" t="s">
        <v>2267</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4.5" thickTop="1">
      <c r="A107" s="491"/>
      <c r="B107" s="495" t="s">
        <v>2326</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4.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4.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4.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4.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4.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4.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c r="A115" s="484" t="s">
        <v>2139</v>
      </c>
      <c r="B115" s="485" t="s">
        <v>2366</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4.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4.5" thickTop="1">
      <c r="A118" s="556"/>
      <c r="B118" s="495" t="s">
        <v>2367</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4.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4.5" thickTop="1">
      <c r="A120" s="556"/>
      <c r="B120" s="495" t="s">
        <v>2368</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4.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4.5" thickTop="1">
      <c r="A122" s="550"/>
      <c r="B122" s="495" t="s">
        <v>2369</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4.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4.5" thickTop="1">
      <c r="A124" s="556"/>
      <c r="B124" s="495" t="s">
        <v>2370</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4.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4.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4.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4.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4.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4.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4.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F00-000000000000}">
      <formula1>住宅朝向</formula1>
    </dataValidation>
    <dataValidation type="list" allowBlank="1" showInputMessage="1" showErrorMessage="1" sqref="E28 C28 G28 I28" xr:uid="{00000000-0002-0000-2F00-000001000000}">
      <formula1>公共配套设施</formula1>
    </dataValidation>
    <dataValidation type="list" allowBlank="1" showInputMessage="1" showErrorMessage="1" sqref="E22 C22 G22 I22" xr:uid="{00000000-0002-0000-2F00-000002000000}">
      <formula1>交通便捷度</formula1>
    </dataValidation>
    <dataValidation type="list" allowBlank="1" showInputMessage="1" showErrorMessage="1" sqref="E16 G16 I16 C16" xr:uid="{00000000-0002-0000-2F00-000003000000}">
      <formula1>居住社区成熟度</formula1>
    </dataValidation>
    <dataValidation type="list" allowBlank="1" showInputMessage="1" showErrorMessage="1" sqref="C26 E26 G26 I26" xr:uid="{00000000-0002-0000-2F00-000004000000}">
      <formula1>环境</formula1>
    </dataValidation>
    <dataValidation type="list" allowBlank="1" showInputMessage="1" showErrorMessage="1" sqref="B46" xr:uid="{00000000-0002-0000-2F00-000005000000}">
      <formula1>单价内涵</formula1>
    </dataValidation>
    <dataValidation type="list" allowBlank="1" showInputMessage="1" showErrorMessage="1" sqref="C8 E8 G8 I8" xr:uid="{00000000-0002-0000-2F00-000006000000}">
      <formula1>套综交易情况</formula1>
    </dataValidation>
    <dataValidation type="list" allowBlank="1" showInputMessage="1" showErrorMessage="1" sqref="C9 E9 G9 I9" xr:uid="{00000000-0002-0000-2F00-000007000000}">
      <formula1>套综用途</formula1>
    </dataValidation>
    <dataValidation type="list" allowBlank="1" showInputMessage="1" showErrorMessage="1" sqref="E18 C18 G18 I18" xr:uid="{00000000-0002-0000-2F00-000008000000}">
      <formula1>商业繁华度</formula1>
    </dataValidation>
    <dataValidation type="list" allowBlank="1" showInputMessage="1" showErrorMessage="1" sqref="E20 C20 G20 I20" xr:uid="{00000000-0002-0000-2F00-000009000000}">
      <formula1>办公集聚程度</formula1>
    </dataValidation>
    <dataValidation type="list" allowBlank="1" showInputMessage="1" showErrorMessage="1" sqref="C33 E33 G33 I33" xr:uid="{00000000-0002-0000-2F00-00000A000000}">
      <formula1>套综道路等级</formula1>
    </dataValidation>
    <dataValidation type="list" allowBlank="1" showInputMessage="1" showErrorMessage="1" sqref="C34 E34 G34 I34" xr:uid="{00000000-0002-0000-2F00-00000B000000}">
      <formula1>套综土地级别</formula1>
    </dataValidation>
    <dataValidation type="list" allowBlank="1" showInputMessage="1" showErrorMessage="1" sqref="C39 E39 G39 I39" xr:uid="{00000000-0002-0000-2F00-00000C000000}">
      <formula1>套综宗地形状</formula1>
    </dataValidation>
    <dataValidation type="list" allowBlank="1" showInputMessage="1" showErrorMessage="1" sqref="C40 E40 G40 I40" xr:uid="{00000000-0002-0000-2F00-00000D000000}">
      <formula1>套综临街宽度及深度</formula1>
    </dataValidation>
    <dataValidation type="list" allowBlank="1" showInputMessage="1" showErrorMessage="1" sqref="C41 E41 G41 I41" xr:uid="{00000000-0002-0000-2F00-00000E000000}">
      <formula1>套综宗地内开发程度</formula1>
    </dataValidation>
    <dataValidation type="list" allowBlank="1" showInputMessage="1" showErrorMessage="1" sqref="C42 E42 G42 I42" xr:uid="{00000000-0002-0000-2F00-00000F000000}">
      <formula1>套综工程地质条件</formula1>
    </dataValidation>
    <dataValidation type="list" allowBlank="1" showInputMessage="1" showErrorMessage="1" sqref="C31 E31 G31 I31" xr:uid="{00000000-0002-0000-2F00-000010000000}">
      <formula1>临街状况</formula1>
    </dataValidation>
    <dataValidation type="list" allowBlank="1" showInputMessage="1" showErrorMessage="1" sqref="E24 G24 I24 C24" xr:uid="{00000000-0002-0000-2F00-000011000000}">
      <formula1>区域土地利用方向</formula1>
    </dataValidation>
    <dataValidation type="list" allowBlank="1" showInputMessage="1" showErrorMessage="1" sqref="C55" xr:uid="{00000000-0002-0000-2F00-000012000000}">
      <formula1>"北京市系数,其他省市系数"</formula1>
    </dataValidation>
    <dataValidation type="list" allowBlank="1" showInputMessage="1" showErrorMessage="1" sqref="G61" xr:uid="{00000000-0002-0000-2F00-000013000000}">
      <formula1>"商业,办公,住宅,工业"</formula1>
    </dataValidation>
    <dataValidation type="list" allowBlank="1" showInputMessage="1" showErrorMessage="1" sqref="G62" xr:uid="{00000000-0002-0000-2F00-000014000000}">
      <formula1>"住宅,工业"</formula1>
    </dataValidation>
    <dataValidation type="list" allowBlank="1" showInputMessage="1" showErrorMessage="1" sqref="C30 E30 G30 I30" xr:uid="{00000000-0002-0000-2F00-000015000000}">
      <formula1>基础设施水平</formula1>
    </dataValidation>
    <dataValidation type="list" allowBlank="1" showInputMessage="1" showErrorMessage="1" sqref="A70" xr:uid="{00000000-0002-0000-2F00-000016000000}">
      <formula1>"综合,商业,办公,住宅"</formula1>
    </dataValidation>
    <dataValidation type="list" allowBlank="1" showInputMessage="1" showErrorMessage="1" sqref="D47" xr:uid="{00000000-0002-0000-2F00-000017000000}">
      <formula1>"简单平均,加权平均"</formula1>
    </dataValidation>
    <dataValidation type="list" allowBlank="1" showInputMessage="1" showErrorMessage="1" sqref="D57:D64" xr:uid="{00000000-0002-0000-2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6">
    <tabColor rgb="FF92D050"/>
    <pageSetUpPr fitToPage="1"/>
  </sheetPr>
  <dimension ref="A1:AE123"/>
  <sheetViews>
    <sheetView view="pageBreakPreview" topLeftCell="A37" zoomScale="60" zoomScaleNormal="60" workbookViewId="0">
      <selection activeCell="F7" sqref="F7:F46"/>
    </sheetView>
  </sheetViews>
  <sheetFormatPr defaultColWidth="9" defaultRowHeight="14"/>
  <cols>
    <col min="1" max="1" width="14.36328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358" customFormat="1" ht="28.5" customHeight="1">
      <c r="A1" s="354" t="s">
        <v>2320</v>
      </c>
      <c r="B1" s="355"/>
      <c r="C1" s="356" t="s">
        <v>2371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1903</v>
      </c>
      <c r="B2" s="627" t="e">
        <f>F61</f>
        <v>#DIV/0!</v>
      </c>
      <c r="C2" s="1019"/>
      <c r="D2" s="1019"/>
      <c r="E2" s="1019"/>
      <c r="F2" s="1020"/>
      <c r="G2" s="1019"/>
      <c r="H2" s="1019"/>
      <c r="I2" s="1019"/>
      <c r="J2" s="1019"/>
      <c r="K2" s="1021"/>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1905</v>
      </c>
      <c r="B3" s="566" t="e">
        <f>ROUND(IF(D3="",B2*10000/'数据-汇总表'!E3,B2*10000/D3),0)</f>
        <v>#DIV/0!</v>
      </c>
      <c r="C3" s="209" t="s">
        <v>2322</v>
      </c>
      <c r="D3" s="1307"/>
      <c r="E3" s="1019"/>
      <c r="F3" s="1020"/>
      <c r="G3" s="1019"/>
      <c r="H3" s="1019"/>
      <c r="I3" s="1019"/>
      <c r="J3" s="1019"/>
      <c r="K3" s="1021"/>
      <c r="L3" s="2908"/>
      <c r="M3" s="2909"/>
      <c r="N3" s="2909"/>
      <c r="O3" s="2909"/>
      <c r="P3" s="708"/>
      <c r="Q3" s="708"/>
      <c r="R3" s="708"/>
      <c r="S3" s="708"/>
      <c r="T3" s="708"/>
      <c r="U3" s="708"/>
      <c r="V3" s="708"/>
      <c r="W3" s="708"/>
      <c r="X3" s="708"/>
      <c r="Y3" s="708"/>
      <c r="Z3" s="708"/>
      <c r="AA3" s="708"/>
      <c r="AB3" s="725"/>
      <c r="AC3" s="722"/>
    </row>
    <row r="4" spans="1:29">
      <c r="A4" s="361" t="s">
        <v>2221</v>
      </c>
      <c r="B4" s="362"/>
      <c r="C4" s="3555" t="s">
        <v>2222</v>
      </c>
      <c r="D4" s="3556"/>
      <c r="E4" s="3557" t="s">
        <v>2223</v>
      </c>
      <c r="F4" s="3558"/>
      <c r="G4" s="3555" t="s">
        <v>2224</v>
      </c>
      <c r="H4" s="3556"/>
      <c r="I4" s="3555" t="s">
        <v>2225</v>
      </c>
      <c r="J4" s="3556"/>
      <c r="K4" s="567" t="s">
        <v>2226</v>
      </c>
      <c r="L4" s="2889"/>
      <c r="M4" s="2890"/>
      <c r="N4" s="2890"/>
      <c r="O4" s="2890"/>
      <c r="P4" s="3619" t="s">
        <v>2227</v>
      </c>
      <c r="Q4" s="3620"/>
      <c r="R4" s="3623" t="s">
        <v>2223</v>
      </c>
      <c r="S4" s="3624"/>
      <c r="T4" s="3623" t="s">
        <v>2224</v>
      </c>
      <c r="U4" s="3624"/>
      <c r="V4" s="3572" t="s">
        <v>2225</v>
      </c>
      <c r="W4" s="3572"/>
      <c r="X4" s="1489"/>
      <c r="Y4" s="3623" t="s">
        <v>2227</v>
      </c>
      <c r="Z4" s="3624"/>
      <c r="AA4" s="3618" t="s">
        <v>2223</v>
      </c>
      <c r="AB4" s="3585" t="s">
        <v>2224</v>
      </c>
      <c r="AC4" s="3618" t="s">
        <v>2225</v>
      </c>
    </row>
    <row r="5" spans="1:29">
      <c r="A5" s="364"/>
      <c r="B5" s="365"/>
      <c r="C5" s="3581" t="s">
        <v>2118</v>
      </c>
      <c r="D5" s="3576"/>
      <c r="E5" s="3625" t="s">
        <v>2119</v>
      </c>
      <c r="F5" s="3588"/>
      <c r="G5" s="3581" t="s">
        <v>2120</v>
      </c>
      <c r="H5" s="3576"/>
      <c r="I5" s="3581" t="s">
        <v>2121</v>
      </c>
      <c r="J5" s="3576"/>
      <c r="K5" s="567"/>
      <c r="L5" s="2889"/>
      <c r="M5" s="2890"/>
      <c r="N5" s="2890"/>
      <c r="O5" s="2890"/>
      <c r="P5" s="3621"/>
      <c r="Q5" s="3562"/>
      <c r="R5" s="3567"/>
      <c r="S5" s="3568"/>
      <c r="T5" s="3567"/>
      <c r="U5" s="3568"/>
      <c r="V5" s="3572"/>
      <c r="W5" s="3572"/>
      <c r="X5" s="1489"/>
      <c r="Y5" s="3567"/>
      <c r="Z5" s="3568"/>
      <c r="AA5" s="3585"/>
      <c r="AB5" s="3585"/>
      <c r="AC5" s="3585"/>
    </row>
    <row r="6" spans="1:29" ht="15" thickBot="1">
      <c r="A6" s="366"/>
      <c r="B6" s="367"/>
      <c r="C6" s="3631" t="s">
        <v>2372</v>
      </c>
      <c r="D6" s="3632"/>
      <c r="E6" s="3633" t="s">
        <v>2372</v>
      </c>
      <c r="F6" s="3634"/>
      <c r="G6" s="3631" t="s">
        <v>2372</v>
      </c>
      <c r="H6" s="3632"/>
      <c r="I6" s="3631" t="s">
        <v>2372</v>
      </c>
      <c r="J6" s="3632"/>
      <c r="K6" s="567" t="s">
        <v>2123</v>
      </c>
      <c r="L6" s="2889"/>
      <c r="M6" s="2890"/>
      <c r="N6" s="2890"/>
      <c r="O6" s="2890"/>
      <c r="P6" s="3622"/>
      <c r="Q6" s="3564"/>
      <c r="R6" s="3567"/>
      <c r="S6" s="3568"/>
      <c r="T6" s="3569"/>
      <c r="U6" s="3570"/>
      <c r="V6" s="3572"/>
      <c r="W6" s="3572"/>
      <c r="X6" s="1489"/>
      <c r="Y6" s="3569"/>
      <c r="Z6" s="3570"/>
      <c r="AA6" s="3586"/>
      <c r="AB6" s="3586"/>
      <c r="AC6" s="3586"/>
    </row>
    <row r="7" spans="1:29" s="113" customFormat="1" ht="14.5" thickBot="1">
      <c r="A7" s="368" t="s">
        <v>2124</v>
      </c>
      <c r="B7" s="369"/>
      <c r="C7" s="370">
        <f>'数据-取费表'!B2</f>
        <v>44691</v>
      </c>
      <c r="D7" s="371">
        <v>100</v>
      </c>
      <c r="E7" s="372"/>
      <c r="F7" s="373">
        <f>SUMIF(65:65,YEAR(E7)&amp;"-"&amp;INT((MONTH(E7)+2)/3),66:66)</f>
        <v>0</v>
      </c>
      <c r="G7" s="2109"/>
      <c r="H7" s="371">
        <f>SUMIF(65:65,YEAR(G7)&amp;"-"&amp;INT((MONTH(G7)+2)/3),66:66)</f>
        <v>0</v>
      </c>
      <c r="I7" s="2109"/>
      <c r="J7" s="371">
        <f>SUMIF(65:65,YEAR(I7)&amp;"-"&amp;INT((MONTH(I7)+2)/3),66:66)</f>
        <v>0</v>
      </c>
      <c r="K7" s="568"/>
      <c r="L7" s="2891"/>
      <c r="M7" s="2892"/>
      <c r="N7" s="2892"/>
      <c r="O7" s="2892"/>
      <c r="P7" s="3579" t="s">
        <v>2125</v>
      </c>
      <c r="Q7" s="3580"/>
      <c r="R7" s="710" t="s">
        <v>17</v>
      </c>
      <c r="S7" s="711">
        <f t="shared" ref="S7:S15" si="0">F7</f>
        <v>0</v>
      </c>
      <c r="T7" s="710" t="s">
        <v>17</v>
      </c>
      <c r="U7" s="711">
        <f t="shared" ref="U7:U15" si="1">H7</f>
        <v>0</v>
      </c>
      <c r="V7" s="710" t="s">
        <v>17</v>
      </c>
      <c r="W7" s="711">
        <f t="shared" ref="W7:W15" si="2">J7</f>
        <v>0</v>
      </c>
      <c r="X7" s="712"/>
      <c r="Y7" s="3579" t="s">
        <v>2125</v>
      </c>
      <c r="Z7" s="3578"/>
      <c r="AA7" s="713" t="e">
        <f>D7/F7</f>
        <v>#DIV/0!</v>
      </c>
      <c r="AB7" s="713" t="e">
        <f>D7/H7</f>
        <v>#DIV/0!</v>
      </c>
      <c r="AC7" s="713" t="e">
        <f>D7/J7</f>
        <v>#DIV/0!</v>
      </c>
    </row>
    <row r="8" spans="1:29" s="113" customFormat="1" ht="14.5" thickBot="1">
      <c r="A8" s="368" t="s">
        <v>2126</v>
      </c>
      <c r="B8" s="369"/>
      <c r="C8" s="374" t="s">
        <v>2127</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79" t="s">
        <v>2128</v>
      </c>
      <c r="Q8" s="3578"/>
      <c r="R8" s="710" t="s">
        <v>17</v>
      </c>
      <c r="S8" s="711">
        <f t="shared" si="0"/>
        <v>0</v>
      </c>
      <c r="T8" s="710" t="s">
        <v>17</v>
      </c>
      <c r="U8" s="711">
        <f t="shared" si="1"/>
        <v>0</v>
      </c>
      <c r="V8" s="710" t="s">
        <v>17</v>
      </c>
      <c r="W8" s="711">
        <f t="shared" si="2"/>
        <v>0</v>
      </c>
      <c r="X8" s="712"/>
      <c r="Y8" s="3579" t="s">
        <v>2128</v>
      </c>
      <c r="Z8" s="3578"/>
      <c r="AA8" s="713" t="e">
        <f t="shared" ref="AA8:AA40" si="3">D8/F8</f>
        <v>#DIV/0!</v>
      </c>
      <c r="AB8" s="713" t="e">
        <f t="shared" ref="AB8:AB40" si="4">D8/H8</f>
        <v>#DIV/0!</v>
      </c>
      <c r="AC8" s="713" t="e">
        <f t="shared" ref="AC8:AC40" si="5">D8/J8</f>
        <v>#DIV/0!</v>
      </c>
    </row>
    <row r="9" spans="1:29" s="113" customFormat="1">
      <c r="A9" s="375" t="s">
        <v>2129</v>
      </c>
      <c r="B9" s="67" t="s">
        <v>2130</v>
      </c>
      <c r="C9" s="2112"/>
      <c r="D9" s="131">
        <v>100</v>
      </c>
      <c r="E9" s="2112"/>
      <c r="F9" s="131">
        <f>SUMIF(70:70,E9,71:71)-SUMIF(70:70,C9,71:71)+100</f>
        <v>100</v>
      </c>
      <c r="G9" s="2112"/>
      <c r="H9" s="131">
        <f>SUMIF(70:70,G9,71:71)-SUMIF(70:70,C9,71:71)+100</f>
        <v>100</v>
      </c>
      <c r="I9" s="2112"/>
      <c r="J9" s="131">
        <f>SUMIF(70:70,I9,71:71)-SUMIF(70:70,C9,71:71)+100</f>
        <v>100</v>
      </c>
      <c r="K9" s="568"/>
      <c r="L9" s="2891"/>
      <c r="M9" s="2892"/>
      <c r="N9" s="2892"/>
      <c r="O9" s="2946"/>
      <c r="P9" s="3538" t="s">
        <v>2131</v>
      </c>
      <c r="Q9" s="1477" t="str">
        <f t="shared" ref="Q9:Q15" si="6">B9</f>
        <v>用途</v>
      </c>
      <c r="R9" s="710" t="s">
        <v>17</v>
      </c>
      <c r="S9" s="711">
        <f t="shared" si="0"/>
        <v>100</v>
      </c>
      <c r="T9" s="710" t="s">
        <v>17</v>
      </c>
      <c r="U9" s="711">
        <f t="shared" si="1"/>
        <v>100</v>
      </c>
      <c r="V9" s="710" t="s">
        <v>17</v>
      </c>
      <c r="W9" s="711">
        <f t="shared" si="2"/>
        <v>100</v>
      </c>
      <c r="X9" s="712"/>
      <c r="Y9" s="3446" t="s">
        <v>2132</v>
      </c>
      <c r="Z9" s="55" t="str">
        <f t="shared" ref="Z9:Z15" si="7">Q9</f>
        <v>用途</v>
      </c>
      <c r="AA9" s="713">
        <f t="shared" si="3"/>
        <v>1</v>
      </c>
      <c r="AB9" s="713">
        <f t="shared" si="4"/>
        <v>1</v>
      </c>
      <c r="AC9" s="713">
        <f t="shared" si="5"/>
        <v>1</v>
      </c>
    </row>
    <row r="10" spans="1:29" s="386" customFormat="1" ht="28">
      <c r="A10" s="380"/>
      <c r="B10" s="381" t="s">
        <v>2133</v>
      </c>
      <c r="C10" s="391"/>
      <c r="D10" s="132">
        <v>100</v>
      </c>
      <c r="E10" s="391"/>
      <c r="F10" s="132">
        <f>ROUND(100/'数据-取费表'!G16,0)</f>
        <v>114</v>
      </c>
      <c r="G10" s="391"/>
      <c r="H10" s="132">
        <f>ROUND(100/'数据-取费表'!G16,0)</f>
        <v>114</v>
      </c>
      <c r="I10" s="391"/>
      <c r="J10" s="132">
        <f>ROUND(100/'数据-取费表'!G16,0)</f>
        <v>114</v>
      </c>
      <c r="K10" s="628"/>
      <c r="L10" s="2893"/>
      <c r="M10" s="2894"/>
      <c r="N10" s="2894"/>
      <c r="O10" s="2947"/>
      <c r="P10" s="3538"/>
      <c r="Q10" s="1477" t="str">
        <f t="shared" si="6"/>
        <v>土地使用年限（年）</v>
      </c>
      <c r="R10" s="710" t="s">
        <v>17</v>
      </c>
      <c r="S10" s="711">
        <f t="shared" si="0"/>
        <v>114</v>
      </c>
      <c r="T10" s="710" t="s">
        <v>17</v>
      </c>
      <c r="U10" s="711">
        <f t="shared" si="1"/>
        <v>114</v>
      </c>
      <c r="V10" s="710" t="s">
        <v>17</v>
      </c>
      <c r="W10" s="711">
        <f t="shared" si="2"/>
        <v>114</v>
      </c>
      <c r="X10" s="712"/>
      <c r="Y10" s="3446"/>
      <c r="Z10" s="55" t="str">
        <f t="shared" si="7"/>
        <v>土地使用年限（年）</v>
      </c>
      <c r="AA10" s="713">
        <f t="shared" si="3"/>
        <v>0.8771929824561403</v>
      </c>
      <c r="AB10" s="713">
        <f t="shared" si="4"/>
        <v>0.8771929824561403</v>
      </c>
      <c r="AC10" s="713">
        <f t="shared" si="5"/>
        <v>0.8771929824561403</v>
      </c>
    </row>
    <row r="11" spans="1:29" ht="15.5">
      <c r="A11" s="387"/>
      <c r="B11" s="381" t="s">
        <v>2134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538"/>
      <c r="Q11" s="1477" t="str">
        <f t="shared" si="6"/>
        <v>容积率</v>
      </c>
      <c r="R11" s="710" t="s">
        <v>17</v>
      </c>
      <c r="S11" s="711" t="e">
        <f t="shared" si="0"/>
        <v>#N/A</v>
      </c>
      <c r="T11" s="710" t="s">
        <v>17</v>
      </c>
      <c r="U11" s="711" t="e">
        <f t="shared" si="1"/>
        <v>#N/A</v>
      </c>
      <c r="V11" s="710" t="s">
        <v>17</v>
      </c>
      <c r="W11" s="711" t="e">
        <f t="shared" si="2"/>
        <v>#N/A</v>
      </c>
      <c r="X11" s="712"/>
      <c r="Y11" s="3446"/>
      <c r="Z11" s="55" t="str">
        <f t="shared" si="7"/>
        <v>容积率</v>
      </c>
      <c r="AA11" s="713" t="e">
        <f t="shared" si="3"/>
        <v>#N/A</v>
      </c>
      <c r="AB11" s="713" t="e">
        <f t="shared" si="4"/>
        <v>#N/A</v>
      </c>
      <c r="AC11" s="713" t="e">
        <f t="shared" si="5"/>
        <v>#N/A</v>
      </c>
    </row>
    <row r="12" spans="1:29" s="113" customFormat="1" ht="15.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538"/>
      <c r="Q12" s="1477">
        <f t="shared" si="6"/>
        <v>111</v>
      </c>
      <c r="R12" s="710" t="s">
        <v>17</v>
      </c>
      <c r="S12" s="711">
        <f t="shared" si="0"/>
        <v>100</v>
      </c>
      <c r="T12" s="710" t="s">
        <v>17</v>
      </c>
      <c r="U12" s="711">
        <f t="shared" si="1"/>
        <v>100</v>
      </c>
      <c r="V12" s="710" t="s">
        <v>17</v>
      </c>
      <c r="W12" s="711">
        <f t="shared" si="2"/>
        <v>100</v>
      </c>
      <c r="X12" s="712"/>
      <c r="Y12" s="3446"/>
      <c r="Z12" s="55">
        <f t="shared" si="7"/>
        <v>111</v>
      </c>
      <c r="AA12" s="713">
        <f>D12/F12</f>
        <v>1</v>
      </c>
      <c r="AB12" s="713">
        <f>D12/H12</f>
        <v>1</v>
      </c>
      <c r="AC12" s="713">
        <f>D12/J12</f>
        <v>1</v>
      </c>
    </row>
    <row r="13" spans="1:29" ht="15.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538"/>
      <c r="Q13" s="1477">
        <f t="shared" si="6"/>
        <v>111</v>
      </c>
      <c r="R13" s="710" t="s">
        <v>17</v>
      </c>
      <c r="S13" s="711">
        <f t="shared" si="0"/>
        <v>100</v>
      </c>
      <c r="T13" s="710" t="s">
        <v>17</v>
      </c>
      <c r="U13" s="711">
        <f t="shared" si="1"/>
        <v>100</v>
      </c>
      <c r="V13" s="710" t="s">
        <v>17</v>
      </c>
      <c r="W13" s="711">
        <f t="shared" si="2"/>
        <v>100</v>
      </c>
      <c r="X13" s="712"/>
      <c r="Y13" s="3446"/>
      <c r="Z13" s="55">
        <f t="shared" si="7"/>
        <v>111</v>
      </c>
      <c r="AA13" s="713">
        <f t="shared" si="3"/>
        <v>1</v>
      </c>
      <c r="AB13" s="713">
        <f t="shared" si="4"/>
        <v>1</v>
      </c>
      <c r="AC13" s="713">
        <f t="shared" si="5"/>
        <v>1</v>
      </c>
    </row>
    <row r="14" spans="1:29" ht="16"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538"/>
      <c r="Q14" s="1477">
        <f t="shared" si="6"/>
        <v>111</v>
      </c>
      <c r="R14" s="710" t="s">
        <v>17</v>
      </c>
      <c r="S14" s="711">
        <f t="shared" si="0"/>
        <v>100</v>
      </c>
      <c r="T14" s="710" t="s">
        <v>17</v>
      </c>
      <c r="U14" s="711">
        <f t="shared" si="1"/>
        <v>100</v>
      </c>
      <c r="V14" s="710" t="s">
        <v>17</v>
      </c>
      <c r="W14" s="711">
        <f t="shared" si="2"/>
        <v>100</v>
      </c>
      <c r="X14" s="712"/>
      <c r="Y14" s="3446"/>
      <c r="Z14" s="55">
        <f t="shared" si="7"/>
        <v>111</v>
      </c>
      <c r="AA14" s="713">
        <f t="shared" si="3"/>
        <v>1</v>
      </c>
      <c r="AB14" s="713">
        <f t="shared" si="4"/>
        <v>1</v>
      </c>
      <c r="AC14" s="713">
        <f t="shared" si="5"/>
        <v>1</v>
      </c>
    </row>
    <row r="15" spans="1:29" ht="70">
      <c r="A15" s="399" t="s">
        <v>2135</v>
      </c>
      <c r="B15" s="585" t="s">
        <v>2373</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545" t="s">
        <v>2136</v>
      </c>
      <c r="Q15" s="1486" t="str">
        <f t="shared" si="6"/>
        <v>产业集聚程度</v>
      </c>
      <c r="R15" s="714" t="s">
        <v>17</v>
      </c>
      <c r="S15" s="715">
        <f t="shared" si="0"/>
        <v>100</v>
      </c>
      <c r="T15" s="714" t="s">
        <v>17</v>
      </c>
      <c r="U15" s="715">
        <f t="shared" si="1"/>
        <v>100</v>
      </c>
      <c r="V15" s="714" t="s">
        <v>17</v>
      </c>
      <c r="W15" s="715">
        <f t="shared" si="2"/>
        <v>100</v>
      </c>
      <c r="X15" s="1489"/>
      <c r="Y15" s="3545" t="s">
        <v>2136</v>
      </c>
      <c r="Z15" s="1490" t="str">
        <f t="shared" si="7"/>
        <v>产业集聚程度</v>
      </c>
      <c r="AA15" s="1487">
        <f t="shared" si="3"/>
        <v>1</v>
      </c>
      <c r="AB15" s="1487">
        <f t="shared" si="4"/>
        <v>1</v>
      </c>
      <c r="AC15" s="1487">
        <f t="shared" si="5"/>
        <v>1</v>
      </c>
    </row>
    <row r="16" spans="1:29" ht="15.5">
      <c r="A16" s="387"/>
      <c r="B16" s="586"/>
      <c r="C16" s="406"/>
      <c r="D16" s="407"/>
      <c r="E16" s="2039"/>
      <c r="F16" s="407"/>
      <c r="G16" s="2039"/>
      <c r="H16" s="409"/>
      <c r="I16" s="2039"/>
      <c r="J16" s="407"/>
      <c r="K16" s="628"/>
      <c r="L16" s="2896"/>
      <c r="M16" s="2890"/>
      <c r="N16" s="2890"/>
      <c r="O16" s="2948"/>
      <c r="P16" s="3546"/>
      <c r="Q16" s="1486"/>
      <c r="R16" s="714"/>
      <c r="S16" s="715"/>
      <c r="T16" s="714"/>
      <c r="U16" s="715"/>
      <c r="V16" s="714"/>
      <c r="W16" s="715"/>
      <c r="X16" s="1489"/>
      <c r="Y16" s="3546"/>
      <c r="Z16" s="1490"/>
      <c r="AA16" s="1487">
        <v>1</v>
      </c>
      <c r="AB16" s="1487">
        <v>1</v>
      </c>
      <c r="AC16" s="1487">
        <v>1</v>
      </c>
    </row>
    <row r="17" spans="1:29" ht="98">
      <c r="A17" s="387"/>
      <c r="B17" s="587" t="s">
        <v>2285</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546"/>
      <c r="Q17" s="1486" t="str">
        <f>B17</f>
        <v>交通便捷度</v>
      </c>
      <c r="R17" s="714" t="s">
        <v>17</v>
      </c>
      <c r="S17" s="715">
        <f>F17</f>
        <v>100</v>
      </c>
      <c r="T17" s="714" t="s">
        <v>17</v>
      </c>
      <c r="U17" s="715">
        <f>H17</f>
        <v>100</v>
      </c>
      <c r="V17" s="714" t="s">
        <v>17</v>
      </c>
      <c r="W17" s="715">
        <f>J17</f>
        <v>100</v>
      </c>
      <c r="X17" s="1489"/>
      <c r="Y17" s="3546"/>
      <c r="Z17" s="1490" t="str">
        <f>Q17</f>
        <v>交通便捷度</v>
      </c>
      <c r="AA17" s="1487">
        <f t="shared" si="3"/>
        <v>1</v>
      </c>
      <c r="AB17" s="1487">
        <f t="shared" si="4"/>
        <v>1</v>
      </c>
      <c r="AC17" s="1487">
        <f t="shared" si="5"/>
        <v>1</v>
      </c>
    </row>
    <row r="18" spans="1:29" ht="15.5">
      <c r="A18" s="387"/>
      <c r="B18" s="588"/>
      <c r="C18" s="406"/>
      <c r="D18" s="407"/>
      <c r="E18" s="2033"/>
      <c r="F18" s="407"/>
      <c r="G18" s="2033"/>
      <c r="H18" s="407"/>
      <c r="I18" s="2032"/>
      <c r="J18" s="407"/>
      <c r="K18" s="628"/>
      <c r="L18" s="2896"/>
      <c r="M18" s="2890"/>
      <c r="N18" s="2890"/>
      <c r="O18" s="2948"/>
      <c r="P18" s="3546"/>
      <c r="Q18" s="1486"/>
      <c r="R18" s="714"/>
      <c r="S18" s="715"/>
      <c r="T18" s="714"/>
      <c r="U18" s="715"/>
      <c r="V18" s="714"/>
      <c r="W18" s="715"/>
      <c r="X18" s="1489"/>
      <c r="Y18" s="3546"/>
      <c r="Z18" s="1490"/>
      <c r="AA18" s="1487">
        <v>1</v>
      </c>
      <c r="AB18" s="1487">
        <v>1</v>
      </c>
      <c r="AC18" s="1487">
        <v>1</v>
      </c>
    </row>
    <row r="19" spans="1:29" ht="28">
      <c r="A19" s="387"/>
      <c r="B19" s="587" t="s">
        <v>2324</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546"/>
      <c r="Q19" s="1486" t="str">
        <f t="shared" ref="Q19:Q33" si="8">B19</f>
        <v>区域土地利用方向</v>
      </c>
      <c r="R19" s="714" t="s">
        <v>17</v>
      </c>
      <c r="S19" s="715">
        <f>F19</f>
        <v>100</v>
      </c>
      <c r="T19" s="714" t="s">
        <v>17</v>
      </c>
      <c r="U19" s="715">
        <f>H19</f>
        <v>100</v>
      </c>
      <c r="V19" s="714" t="s">
        <v>17</v>
      </c>
      <c r="W19" s="715">
        <f>J19</f>
        <v>100</v>
      </c>
      <c r="X19" s="1489"/>
      <c r="Y19" s="3546"/>
      <c r="Z19" s="1490" t="str">
        <f>Q19</f>
        <v>区域土地利用方向</v>
      </c>
      <c r="AA19" s="1487">
        <f t="shared" si="3"/>
        <v>1</v>
      </c>
      <c r="AB19" s="1487">
        <f t="shared" si="4"/>
        <v>1</v>
      </c>
      <c r="AC19" s="1487">
        <f t="shared" si="5"/>
        <v>1</v>
      </c>
    </row>
    <row r="20" spans="1:29" ht="15.5">
      <c r="A20" s="364"/>
      <c r="B20" s="588"/>
      <c r="C20" s="406"/>
      <c r="D20" s="407"/>
      <c r="E20" s="2033"/>
      <c r="F20" s="407"/>
      <c r="G20" s="2033"/>
      <c r="H20" s="407"/>
      <c r="I20" s="2033"/>
      <c r="J20" s="407"/>
      <c r="K20" s="750"/>
      <c r="L20" s="2896"/>
      <c r="M20" s="2890"/>
      <c r="N20" s="2890"/>
      <c r="O20" s="2948"/>
      <c r="P20" s="3546"/>
      <c r="Q20" s="1486"/>
      <c r="R20" s="714"/>
      <c r="S20" s="715"/>
      <c r="T20" s="714"/>
      <c r="U20" s="715"/>
      <c r="V20" s="714"/>
      <c r="W20" s="715"/>
      <c r="X20" s="1489"/>
      <c r="Y20" s="3546"/>
      <c r="Z20" s="1490"/>
      <c r="AA20" s="1487"/>
      <c r="AB20" s="1487"/>
      <c r="AC20" s="1487"/>
    </row>
    <row r="21" spans="1:29" ht="84">
      <c r="A21" s="364"/>
      <c r="B21" s="587" t="s">
        <v>2374</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546"/>
      <c r="Q21" s="1486" t="str">
        <f t="shared" si="8"/>
        <v>环境状况</v>
      </c>
      <c r="R21" s="714" t="s">
        <v>17</v>
      </c>
      <c r="S21" s="715">
        <f>F21</f>
        <v>100</v>
      </c>
      <c r="T21" s="714" t="s">
        <v>17</v>
      </c>
      <c r="U21" s="715">
        <f>H21</f>
        <v>100</v>
      </c>
      <c r="V21" s="714" t="s">
        <v>17</v>
      </c>
      <c r="W21" s="715">
        <f>J21</f>
        <v>100</v>
      </c>
      <c r="X21" s="1489"/>
      <c r="Y21" s="3546"/>
      <c r="Z21" s="1490" t="str">
        <f>Q21</f>
        <v>环境状况</v>
      </c>
      <c r="AA21" s="1487">
        <f t="shared" si="3"/>
        <v>1</v>
      </c>
      <c r="AB21" s="1487">
        <f t="shared" si="4"/>
        <v>1</v>
      </c>
      <c r="AC21" s="1487">
        <f t="shared" si="5"/>
        <v>1</v>
      </c>
    </row>
    <row r="22" spans="1:29" ht="15.5">
      <c r="A22" s="364"/>
      <c r="B22" s="588"/>
      <c r="C22" s="406"/>
      <c r="D22" s="407"/>
      <c r="E22" s="2039"/>
      <c r="F22" s="407"/>
      <c r="G22" s="2039"/>
      <c r="H22" s="407"/>
      <c r="I22" s="406"/>
      <c r="J22" s="407"/>
      <c r="K22" s="628"/>
      <c r="L22" s="2896"/>
      <c r="M22" s="2890"/>
      <c r="N22" s="2890"/>
      <c r="O22" s="2948"/>
      <c r="P22" s="3546"/>
      <c r="Q22" s="1486"/>
      <c r="R22" s="714"/>
      <c r="S22" s="715"/>
      <c r="T22" s="714"/>
      <c r="U22" s="715"/>
      <c r="V22" s="714"/>
      <c r="W22" s="715"/>
      <c r="X22" s="1489"/>
      <c r="Y22" s="3546"/>
      <c r="Z22" s="1490"/>
      <c r="AA22" s="1487">
        <v>1</v>
      </c>
      <c r="AB22" s="1487">
        <v>1</v>
      </c>
      <c r="AC22" s="1487">
        <v>1</v>
      </c>
    </row>
    <row r="23" spans="1:29" s="113" customFormat="1" ht="42">
      <c r="A23" s="605"/>
      <c r="B23" s="589" t="s">
        <v>2230</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546"/>
      <c r="Q23" s="1477" t="str">
        <f t="shared" si="8"/>
        <v>公共配套设施</v>
      </c>
      <c r="R23" s="710" t="s">
        <v>17</v>
      </c>
      <c r="S23" s="711">
        <f>F23</f>
        <v>100</v>
      </c>
      <c r="T23" s="710" t="s">
        <v>17</v>
      </c>
      <c r="U23" s="711">
        <f>H23</f>
        <v>100</v>
      </c>
      <c r="V23" s="710" t="s">
        <v>17</v>
      </c>
      <c r="W23" s="711">
        <f>J23</f>
        <v>100</v>
      </c>
      <c r="X23" s="712"/>
      <c r="Y23" s="3546"/>
      <c r="Z23" s="55" t="str">
        <f>Q23</f>
        <v>公共配套设施</v>
      </c>
      <c r="AA23" s="1487">
        <f>D23/F23</f>
        <v>1</v>
      </c>
      <c r="AB23" s="1487">
        <f>D23/H23</f>
        <v>1</v>
      </c>
      <c r="AC23" s="1487">
        <f>D23/J23</f>
        <v>1</v>
      </c>
    </row>
    <row r="24" spans="1:29" s="113" customFormat="1" ht="15.5">
      <c r="A24" s="605"/>
      <c r="B24" s="588"/>
      <c r="C24" s="2113"/>
      <c r="D24" s="407"/>
      <c r="E24" s="2039"/>
      <c r="F24" s="407"/>
      <c r="G24" s="2039"/>
      <c r="H24" s="407"/>
      <c r="I24" s="406"/>
      <c r="J24" s="407"/>
      <c r="K24" s="628"/>
      <c r="L24" s="2891"/>
      <c r="M24" s="2892"/>
      <c r="N24" s="2892"/>
      <c r="O24" s="2946"/>
      <c r="P24" s="3546"/>
      <c r="Q24" s="1477"/>
      <c r="R24" s="710"/>
      <c r="S24" s="711"/>
      <c r="T24" s="710"/>
      <c r="U24" s="711"/>
      <c r="V24" s="710"/>
      <c r="W24" s="711"/>
      <c r="X24" s="712"/>
      <c r="Y24" s="3546"/>
      <c r="Z24" s="55"/>
      <c r="AA24" s="713">
        <v>1</v>
      </c>
      <c r="AB24" s="713">
        <v>1</v>
      </c>
      <c r="AC24" s="713">
        <v>1</v>
      </c>
    </row>
    <row r="25" spans="1:29" s="113" customFormat="1" ht="42">
      <c r="A25" s="605"/>
      <c r="B25" s="589" t="s">
        <v>2231</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546"/>
      <c r="Q25" s="1477" t="str">
        <f t="shared" ref="Q25" si="9">B25</f>
        <v>基础设施水平</v>
      </c>
      <c r="R25" s="710" t="s">
        <v>17</v>
      </c>
      <c r="S25" s="711">
        <f>F25</f>
        <v>100</v>
      </c>
      <c r="T25" s="710" t="s">
        <v>17</v>
      </c>
      <c r="U25" s="711">
        <f>H25</f>
        <v>100</v>
      </c>
      <c r="V25" s="710" t="s">
        <v>17</v>
      </c>
      <c r="W25" s="711">
        <f>J25</f>
        <v>100</v>
      </c>
      <c r="X25" s="712"/>
      <c r="Y25" s="3546"/>
      <c r="Z25" s="55" t="str">
        <f>Q25</f>
        <v>基础设施水平</v>
      </c>
      <c r="AA25" s="1487">
        <f>D25/F25</f>
        <v>1</v>
      </c>
      <c r="AB25" s="1487">
        <f>D25/H25</f>
        <v>1</v>
      </c>
      <c r="AC25" s="1487">
        <f>D25/J25</f>
        <v>1</v>
      </c>
    </row>
    <row r="26" spans="1:29" s="113" customFormat="1" ht="15.5">
      <c r="A26" s="605"/>
      <c r="B26" s="588"/>
      <c r="C26" s="2113"/>
      <c r="D26" s="407"/>
      <c r="E26" s="2114"/>
      <c r="F26" s="407"/>
      <c r="G26" s="2114"/>
      <c r="H26" s="407"/>
      <c r="I26" s="2114"/>
      <c r="J26" s="407"/>
      <c r="K26" s="628"/>
      <c r="L26" s="2891"/>
      <c r="M26" s="2892"/>
      <c r="N26" s="2892"/>
      <c r="O26" s="2946"/>
      <c r="P26" s="3546"/>
      <c r="Q26" s="1477"/>
      <c r="R26" s="710"/>
      <c r="S26" s="711"/>
      <c r="T26" s="710"/>
      <c r="U26" s="711"/>
      <c r="V26" s="710"/>
      <c r="W26" s="711"/>
      <c r="X26" s="712"/>
      <c r="Y26" s="3546"/>
      <c r="Z26" s="55"/>
      <c r="AA26" s="713">
        <v>1</v>
      </c>
      <c r="AB26" s="713">
        <v>1</v>
      </c>
      <c r="AC26" s="713">
        <v>1</v>
      </c>
    </row>
    <row r="27" spans="1:29" ht="15.5">
      <c r="A27" s="387"/>
      <c r="B27" s="588" t="s">
        <v>2232</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546"/>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46"/>
      <c r="Z27" s="1490" t="str">
        <f t="shared" ref="Z27:Z40" si="13">Q27</f>
        <v>临街状况</v>
      </c>
      <c r="AA27" s="1487">
        <f t="shared" si="3"/>
        <v>1</v>
      </c>
      <c r="AB27" s="1487">
        <f t="shared" si="4"/>
        <v>1</v>
      </c>
      <c r="AC27" s="1487">
        <f t="shared" si="5"/>
        <v>1</v>
      </c>
    </row>
    <row r="28" spans="1:29" ht="28">
      <c r="A28" s="387"/>
      <c r="B28" s="589" t="s">
        <v>2267</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546"/>
      <c r="Q28" s="1486" t="str">
        <f t="shared" si="8"/>
        <v>毗邻道路的类型与等级</v>
      </c>
      <c r="R28" s="714" t="s">
        <v>17</v>
      </c>
      <c r="S28" s="715">
        <f t="shared" si="10"/>
        <v>100</v>
      </c>
      <c r="T28" s="714" t="s">
        <v>17</v>
      </c>
      <c r="U28" s="715">
        <f t="shared" si="11"/>
        <v>100</v>
      </c>
      <c r="V28" s="714" t="s">
        <v>17</v>
      </c>
      <c r="W28" s="715">
        <f t="shared" si="12"/>
        <v>100</v>
      </c>
      <c r="X28" s="1489"/>
      <c r="Y28" s="3546"/>
      <c r="Z28" s="1490" t="str">
        <f t="shared" si="13"/>
        <v>毗邻道路的类型与等级</v>
      </c>
      <c r="AA28" s="1487">
        <f t="shared" si="3"/>
        <v>1</v>
      </c>
      <c r="AB28" s="1487">
        <f t="shared" si="4"/>
        <v>1</v>
      </c>
      <c r="AC28" s="1487">
        <f t="shared" si="5"/>
        <v>1</v>
      </c>
    </row>
    <row r="29" spans="1:29" ht="15.5">
      <c r="A29" s="387"/>
      <c r="B29" s="588"/>
      <c r="C29" s="406"/>
      <c r="D29" s="407"/>
      <c r="E29" s="2039"/>
      <c r="F29" s="407"/>
      <c r="G29" s="2039"/>
      <c r="H29" s="407"/>
      <c r="I29" s="2039"/>
      <c r="J29" s="407"/>
      <c r="K29" s="570"/>
      <c r="L29" s="2896"/>
      <c r="M29" s="2890"/>
      <c r="N29" s="2890"/>
      <c r="O29" s="2948"/>
      <c r="P29" s="3546"/>
      <c r="Q29" s="1486"/>
      <c r="R29" s="714"/>
      <c r="S29" s="715"/>
      <c r="T29" s="714"/>
      <c r="U29" s="715"/>
      <c r="V29" s="714"/>
      <c r="W29" s="715"/>
      <c r="X29" s="1489"/>
      <c r="Y29" s="3546"/>
      <c r="Z29" s="1490"/>
      <c r="AA29" s="1487">
        <v>1</v>
      </c>
      <c r="AB29" s="1487">
        <v>1</v>
      </c>
      <c r="AC29" s="1487">
        <v>1</v>
      </c>
    </row>
    <row r="30" spans="1:29" ht="15.5">
      <c r="A30" s="387"/>
      <c r="B30" s="610" t="s">
        <v>2326</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546"/>
      <c r="Q30" s="1486" t="str">
        <f t="shared" si="8"/>
        <v>土地级别</v>
      </c>
      <c r="R30" s="714" t="s">
        <v>17</v>
      </c>
      <c r="S30" s="715">
        <f t="shared" si="10"/>
        <v>100</v>
      </c>
      <c r="T30" s="714" t="s">
        <v>17</v>
      </c>
      <c r="U30" s="715">
        <f t="shared" si="11"/>
        <v>100</v>
      </c>
      <c r="V30" s="714" t="s">
        <v>17</v>
      </c>
      <c r="W30" s="715">
        <f t="shared" si="12"/>
        <v>100</v>
      </c>
      <c r="X30" s="1489"/>
      <c r="Y30" s="3546"/>
      <c r="Z30" s="1490" t="str">
        <f t="shared" si="13"/>
        <v>土地级别</v>
      </c>
      <c r="AA30" s="1487">
        <f t="shared" si="3"/>
        <v>1</v>
      </c>
      <c r="AB30" s="1487">
        <f t="shared" si="4"/>
        <v>1</v>
      </c>
      <c r="AC30" s="1487">
        <f t="shared" si="5"/>
        <v>1</v>
      </c>
    </row>
    <row r="31" spans="1:29" ht="15.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546"/>
      <c r="Q31" s="1486">
        <f t="shared" si="8"/>
        <v>111</v>
      </c>
      <c r="R31" s="714" t="s">
        <v>17</v>
      </c>
      <c r="S31" s="715">
        <f t="shared" si="10"/>
        <v>100</v>
      </c>
      <c r="T31" s="714" t="s">
        <v>17</v>
      </c>
      <c r="U31" s="715">
        <f t="shared" si="11"/>
        <v>100</v>
      </c>
      <c r="V31" s="714" t="s">
        <v>17</v>
      </c>
      <c r="W31" s="715">
        <f t="shared" si="12"/>
        <v>100</v>
      </c>
      <c r="X31" s="1489"/>
      <c r="Y31" s="3546"/>
      <c r="Z31" s="1490">
        <f t="shared" si="13"/>
        <v>111</v>
      </c>
      <c r="AA31" s="1487">
        <f t="shared" si="3"/>
        <v>1</v>
      </c>
      <c r="AB31" s="1487">
        <f t="shared" si="4"/>
        <v>1</v>
      </c>
      <c r="AC31" s="1487">
        <f t="shared" si="5"/>
        <v>1</v>
      </c>
    </row>
    <row r="32" spans="1:29" ht="15.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626" t="s">
        <v>2141</v>
      </c>
      <c r="Q32" s="1486">
        <f t="shared" si="8"/>
        <v>111</v>
      </c>
      <c r="R32" s="714" t="s">
        <v>17</v>
      </c>
      <c r="S32" s="715">
        <f t="shared" si="10"/>
        <v>100</v>
      </c>
      <c r="T32" s="714" t="s">
        <v>17</v>
      </c>
      <c r="U32" s="715">
        <f t="shared" si="11"/>
        <v>100</v>
      </c>
      <c r="V32" s="714" t="s">
        <v>17</v>
      </c>
      <c r="W32" s="715">
        <f t="shared" si="12"/>
        <v>100</v>
      </c>
      <c r="X32" s="1489"/>
      <c r="Y32" s="3550" t="s">
        <v>2141</v>
      </c>
      <c r="Z32" s="1490">
        <f t="shared" si="13"/>
        <v>111</v>
      </c>
      <c r="AA32" s="1487">
        <f t="shared" si="3"/>
        <v>1</v>
      </c>
      <c r="AB32" s="1487">
        <f t="shared" si="4"/>
        <v>1</v>
      </c>
      <c r="AC32" s="1487">
        <f t="shared" si="5"/>
        <v>1</v>
      </c>
    </row>
    <row r="33" spans="1:31" s="430" customFormat="1" ht="16"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550"/>
      <c r="Q33" s="1486">
        <f t="shared" si="8"/>
        <v>111</v>
      </c>
      <c r="R33" s="717" t="s">
        <v>17</v>
      </c>
      <c r="S33" s="718">
        <f t="shared" si="10"/>
        <v>100</v>
      </c>
      <c r="T33" s="717" t="s">
        <v>17</v>
      </c>
      <c r="U33" s="718">
        <f t="shared" si="11"/>
        <v>100</v>
      </c>
      <c r="V33" s="717" t="s">
        <v>17</v>
      </c>
      <c r="W33" s="718">
        <f t="shared" si="12"/>
        <v>100</v>
      </c>
      <c r="X33" s="719"/>
      <c r="Y33" s="3550"/>
      <c r="Z33" s="720">
        <f t="shared" si="13"/>
        <v>111</v>
      </c>
      <c r="AA33" s="1487">
        <f t="shared" si="3"/>
        <v>1</v>
      </c>
      <c r="AB33" s="1487">
        <f t="shared" si="4"/>
        <v>1</v>
      </c>
      <c r="AC33" s="1487">
        <f t="shared" si="5"/>
        <v>1</v>
      </c>
    </row>
    <row r="34" spans="1:31" ht="15.5">
      <c r="A34" s="399" t="s">
        <v>2139</v>
      </c>
      <c r="B34" s="415" t="s">
        <v>2327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550"/>
      <c r="Q34" s="1486" t="str">
        <f>B34</f>
        <v>宗地面积</v>
      </c>
      <c r="R34" s="714" t="s">
        <v>17</v>
      </c>
      <c r="S34" s="715" t="e">
        <f t="shared" si="10"/>
        <v>#N/A</v>
      </c>
      <c r="T34" s="714" t="s">
        <v>17</v>
      </c>
      <c r="U34" s="715" t="e">
        <f t="shared" si="11"/>
        <v>#N/A</v>
      </c>
      <c r="V34" s="714" t="s">
        <v>17</v>
      </c>
      <c r="W34" s="715" t="e">
        <f t="shared" si="12"/>
        <v>#N/A</v>
      </c>
      <c r="X34" s="1489"/>
      <c r="Y34" s="3550"/>
      <c r="Z34" s="1490" t="str">
        <f t="shared" si="13"/>
        <v>宗地面积</v>
      </c>
      <c r="AA34" s="1487" t="e">
        <f t="shared" si="3"/>
        <v>#N/A</v>
      </c>
      <c r="AB34" s="1487" t="e">
        <f t="shared" si="4"/>
        <v>#N/A</v>
      </c>
      <c r="AC34" s="1487" t="e">
        <f t="shared" si="5"/>
        <v>#N/A</v>
      </c>
    </row>
    <row r="35" spans="1:31" ht="15.5">
      <c r="A35" s="431"/>
      <c r="B35" s="381" t="s">
        <v>2328</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6"/>
      <c r="M35" s="2890"/>
      <c r="N35" s="2890"/>
      <c r="O35" s="2948"/>
      <c r="P35" s="3550"/>
      <c r="Q35" s="1486" t="str">
        <f t="shared" ref="Q35:Q40" si="14">B35</f>
        <v>宗地形状</v>
      </c>
      <c r="R35" s="714" t="s">
        <v>17</v>
      </c>
      <c r="S35" s="715">
        <f t="shared" si="10"/>
        <v>100</v>
      </c>
      <c r="T35" s="714" t="s">
        <v>17</v>
      </c>
      <c r="U35" s="715">
        <f t="shared" si="11"/>
        <v>100</v>
      </c>
      <c r="V35" s="714" t="s">
        <v>17</v>
      </c>
      <c r="W35" s="715">
        <f t="shared" si="12"/>
        <v>100</v>
      </c>
      <c r="X35" s="1489"/>
      <c r="Y35" s="3550"/>
      <c r="Z35" s="1490" t="str">
        <f t="shared" si="13"/>
        <v>宗地形状</v>
      </c>
      <c r="AA35" s="1487">
        <f t="shared" si="3"/>
        <v>1</v>
      </c>
      <c r="AB35" s="1487">
        <f t="shared" si="4"/>
        <v>1</v>
      </c>
      <c r="AC35" s="1487">
        <f t="shared" si="5"/>
        <v>1</v>
      </c>
    </row>
    <row r="36" spans="1:31" s="113" customFormat="1" ht="15.5">
      <c r="A36" s="432"/>
      <c r="B36" s="381" t="s">
        <v>2330</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1"/>
      <c r="M36" s="2892"/>
      <c r="N36" s="2892"/>
      <c r="O36" s="2946"/>
      <c r="P36" s="3550"/>
      <c r="Q36" s="1486" t="str">
        <f t="shared" si="14"/>
        <v>宗地开发程度</v>
      </c>
      <c r="R36" s="710" t="s">
        <v>17</v>
      </c>
      <c r="S36" s="711">
        <f t="shared" si="10"/>
        <v>100</v>
      </c>
      <c r="T36" s="710" t="s">
        <v>17</v>
      </c>
      <c r="U36" s="711">
        <f t="shared" si="11"/>
        <v>100</v>
      </c>
      <c r="V36" s="710" t="s">
        <v>17</v>
      </c>
      <c r="W36" s="711">
        <f t="shared" si="12"/>
        <v>100</v>
      </c>
      <c r="X36" s="712"/>
      <c r="Y36" s="3550"/>
      <c r="Z36" s="55" t="str">
        <f t="shared" si="13"/>
        <v>宗地开发程度</v>
      </c>
      <c r="AA36" s="713">
        <f t="shared" si="3"/>
        <v>1</v>
      </c>
      <c r="AB36" s="713">
        <f t="shared" si="4"/>
        <v>1</v>
      </c>
      <c r="AC36" s="713">
        <f t="shared" si="5"/>
        <v>1</v>
      </c>
    </row>
    <row r="37" spans="1:31" ht="15.5">
      <c r="A37" s="431"/>
      <c r="B37" s="381" t="s">
        <v>2331</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6"/>
      <c r="M37" s="2890"/>
      <c r="N37" s="2890"/>
      <c r="O37" s="2948"/>
      <c r="P37" s="3550" t="s">
        <v>2141</v>
      </c>
      <c r="Q37" s="1486" t="str">
        <f t="shared" si="14"/>
        <v>工程地质条件</v>
      </c>
      <c r="R37" s="714" t="s">
        <v>17</v>
      </c>
      <c r="S37" s="715">
        <f t="shared" si="10"/>
        <v>100</v>
      </c>
      <c r="T37" s="714" t="s">
        <v>17</v>
      </c>
      <c r="U37" s="715">
        <f t="shared" si="11"/>
        <v>100</v>
      </c>
      <c r="V37" s="714" t="s">
        <v>17</v>
      </c>
      <c r="W37" s="715">
        <f t="shared" si="12"/>
        <v>100</v>
      </c>
      <c r="X37" s="1489"/>
      <c r="Y37" s="3550" t="s">
        <v>2141</v>
      </c>
      <c r="Z37" s="1490" t="str">
        <f t="shared" si="13"/>
        <v>工程地质条件</v>
      </c>
      <c r="AA37" s="1487">
        <f t="shared" si="3"/>
        <v>1</v>
      </c>
      <c r="AB37" s="1487">
        <f t="shared" si="4"/>
        <v>1</v>
      </c>
      <c r="AC37" s="1487">
        <f t="shared" si="5"/>
        <v>1</v>
      </c>
    </row>
    <row r="38" spans="1:31" ht="15.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550"/>
      <c r="Q38" s="1486">
        <f t="shared" si="14"/>
        <v>111</v>
      </c>
      <c r="R38" s="714" t="s">
        <v>17</v>
      </c>
      <c r="S38" s="715">
        <f t="shared" si="10"/>
        <v>100</v>
      </c>
      <c r="T38" s="714" t="s">
        <v>17</v>
      </c>
      <c r="U38" s="715">
        <f t="shared" si="11"/>
        <v>100</v>
      </c>
      <c r="V38" s="714" t="s">
        <v>17</v>
      </c>
      <c r="W38" s="715">
        <f t="shared" si="12"/>
        <v>100</v>
      </c>
      <c r="X38" s="1489"/>
      <c r="Y38" s="3550"/>
      <c r="Z38" s="1490">
        <f t="shared" si="13"/>
        <v>111</v>
      </c>
      <c r="AA38" s="1487">
        <f t="shared" si="3"/>
        <v>1</v>
      </c>
      <c r="AB38" s="1487">
        <f t="shared" si="4"/>
        <v>1</v>
      </c>
      <c r="AC38" s="1487">
        <f t="shared" si="5"/>
        <v>1</v>
      </c>
    </row>
    <row r="39" spans="1:31" ht="15.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550"/>
      <c r="Q39" s="1486">
        <f t="shared" si="14"/>
        <v>111</v>
      </c>
      <c r="R39" s="714" t="s">
        <v>17</v>
      </c>
      <c r="S39" s="715">
        <f t="shared" si="10"/>
        <v>100</v>
      </c>
      <c r="T39" s="714" t="s">
        <v>17</v>
      </c>
      <c r="U39" s="715">
        <f t="shared" si="11"/>
        <v>100</v>
      </c>
      <c r="V39" s="714" t="s">
        <v>17</v>
      </c>
      <c r="W39" s="715">
        <f t="shared" si="12"/>
        <v>100</v>
      </c>
      <c r="X39" s="1489"/>
      <c r="Y39" s="3550"/>
      <c r="Z39" s="1490">
        <f t="shared" si="13"/>
        <v>111</v>
      </c>
      <c r="AA39" s="1487">
        <f t="shared" si="3"/>
        <v>1</v>
      </c>
      <c r="AB39" s="1487">
        <f t="shared" si="4"/>
        <v>1</v>
      </c>
      <c r="AC39" s="1487">
        <f t="shared" si="5"/>
        <v>1</v>
      </c>
    </row>
    <row r="40" spans="1:31" s="430" customFormat="1" ht="16"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550"/>
      <c r="Q40" s="1486">
        <f t="shared" si="14"/>
        <v>111</v>
      </c>
      <c r="R40" s="717" t="s">
        <v>17</v>
      </c>
      <c r="S40" s="718">
        <f t="shared" si="10"/>
        <v>100</v>
      </c>
      <c r="T40" s="717" t="s">
        <v>17</v>
      </c>
      <c r="U40" s="718">
        <f t="shared" si="11"/>
        <v>100</v>
      </c>
      <c r="V40" s="717" t="s">
        <v>17</v>
      </c>
      <c r="W40" s="718">
        <f t="shared" si="12"/>
        <v>100</v>
      </c>
      <c r="X40" s="719"/>
      <c r="Y40" s="3550"/>
      <c r="Z40" s="720">
        <f t="shared" si="13"/>
        <v>111</v>
      </c>
      <c r="AA40" s="1487">
        <f t="shared" si="3"/>
        <v>1</v>
      </c>
      <c r="AB40" s="1487">
        <f t="shared" si="4"/>
        <v>1</v>
      </c>
      <c r="AC40" s="1487">
        <f t="shared" si="5"/>
        <v>1</v>
      </c>
    </row>
    <row r="41" spans="1:31">
      <c r="A41" s="438" t="s">
        <v>2296</v>
      </c>
      <c r="B41" s="2117" t="s">
        <v>2375</v>
      </c>
      <c r="C41" s="638" t="s">
        <v>1</v>
      </c>
      <c r="D41" s="440"/>
      <c r="E41" s="441"/>
      <c r="F41" s="442"/>
      <c r="G41" s="443"/>
      <c r="H41" s="444"/>
      <c r="I41" s="441"/>
      <c r="J41" s="444"/>
      <c r="K41" s="723"/>
      <c r="L41" s="2898"/>
      <c r="M41" s="2890"/>
      <c r="N41" s="2890"/>
      <c r="O41" s="2899"/>
      <c r="P41" s="3538" t="str">
        <f>A41</f>
        <v>成交单价</v>
      </c>
      <c r="Q41" s="3538"/>
      <c r="R41" s="3572">
        <f>E41</f>
        <v>0</v>
      </c>
      <c r="S41" s="3572"/>
      <c r="T41" s="3572">
        <f>G41</f>
        <v>0</v>
      </c>
      <c r="U41" s="3572"/>
      <c r="V41" s="3572">
        <f>I41</f>
        <v>0</v>
      </c>
      <c r="W41" s="3572"/>
      <c r="X41" s="699"/>
      <c r="Y41" s="721"/>
      <c r="Z41" s="699"/>
      <c r="AA41" s="699"/>
      <c r="AB41" s="699"/>
      <c r="AC41" s="699"/>
    </row>
    <row r="42" spans="1:31" ht="14.5" thickBot="1">
      <c r="A42" s="445" t="s">
        <v>2245</v>
      </c>
      <c r="B42" s="639"/>
      <c r="C42" s="448" t="e">
        <f>R43</f>
        <v>#DIV/0!</v>
      </c>
      <c r="D42" s="2487" t="s">
        <v>2635</v>
      </c>
      <c r="E42" s="448" t="e">
        <f>R42</f>
        <v>#DIV/0!</v>
      </c>
      <c r="F42" s="2488"/>
      <c r="G42" s="447" t="e">
        <f>T42</f>
        <v>#DIV/0!</v>
      </c>
      <c r="H42" s="2488"/>
      <c r="I42" s="448" t="e">
        <f>V42</f>
        <v>#DIV/0!</v>
      </c>
      <c r="J42" s="2488"/>
      <c r="K42" s="2490">
        <f>F42+H42+J42</f>
        <v>0</v>
      </c>
      <c r="L42" s="2898"/>
      <c r="M42" s="2890"/>
      <c r="N42" s="2890"/>
      <c r="O42" s="2899"/>
      <c r="P42" s="3538" t="str">
        <f>A42</f>
        <v>比较价值（元/平方米）</v>
      </c>
      <c r="Q42" s="3538"/>
      <c r="R42" s="3628" t="e">
        <f>ROUND(PRODUCT(R41,AA7:AA40),0)</f>
        <v>#DIV/0!</v>
      </c>
      <c r="S42" s="3628"/>
      <c r="T42" s="3628" t="e">
        <f>ROUND(PRODUCT(T41,AB7:AB40),0)</f>
        <v>#DIV/0!</v>
      </c>
      <c r="U42" s="3628"/>
      <c r="V42" s="3628" t="e">
        <f>ROUND(PRODUCT(V41,AC7:AC40),0)</f>
        <v>#DIV/0!</v>
      </c>
      <c r="W42" s="3628"/>
      <c r="X42" s="699"/>
      <c r="Y42" s="699"/>
      <c r="Z42" s="699"/>
      <c r="AA42" s="699"/>
      <c r="AB42" s="699"/>
      <c r="AC42" s="699"/>
    </row>
    <row r="43" spans="1:31" ht="14.5" thickBot="1">
      <c r="A43" s="449" t="s">
        <v>2246</v>
      </c>
      <c r="B43" s="450"/>
      <c r="C43" s="451" t="e">
        <f>R43</f>
        <v>#DIV/0!</v>
      </c>
      <c r="D43" s="451"/>
      <c r="E43" s="451"/>
      <c r="F43" s="451"/>
      <c r="G43" s="451"/>
      <c r="H43" s="451"/>
      <c r="I43" s="451"/>
      <c r="J43" s="451"/>
      <c r="K43" s="724"/>
      <c r="L43" s="2898"/>
      <c r="M43" s="2890"/>
      <c r="N43" s="2890"/>
      <c r="O43" s="2899"/>
      <c r="P43" s="3615" t="str">
        <f>A43</f>
        <v>估价对象XX用房的比较价值（楼面单价，元/平方米）</v>
      </c>
      <c r="Q43" s="3616"/>
      <c r="R43" s="3629" t="e">
        <f>ROUND(IF(D42="简单平均",AVERAGE(R42:W42),R42*F42+T42*H42+V42*J42),0)</f>
        <v>#DIV/0!</v>
      </c>
      <c r="S43" s="3629"/>
      <c r="T43" s="3629"/>
      <c r="U43" s="3629"/>
      <c r="V43" s="3629"/>
      <c r="W43" s="3629"/>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4.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8">
      <c r="A50" s="640" t="s">
        <v>2334</v>
      </c>
      <c r="B50" s="641" t="s">
        <v>2335</v>
      </c>
      <c r="C50" s="2118" t="s">
        <v>2336</v>
      </c>
      <c r="D50" s="2119" t="s">
        <v>2337</v>
      </c>
      <c r="E50" s="642" t="s">
        <v>2338</v>
      </c>
      <c r="F50" s="643" t="s">
        <v>2339</v>
      </c>
      <c r="G50" s="3555" t="s">
        <v>2340</v>
      </c>
      <c r="H50" s="3630"/>
      <c r="I50" s="1490" t="s">
        <v>2376</v>
      </c>
      <c r="J50" s="1490">
        <f>项目基本情况!F35</f>
        <v>0</v>
      </c>
      <c r="K50" s="2121" t="s">
        <v>2342</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2343</v>
      </c>
      <c r="B51" s="645" t="e">
        <f>C43</f>
        <v>#DIV/0!</v>
      </c>
      <c r="C51" s="646">
        <v>1</v>
      </c>
      <c r="D51" s="1055">
        <v>1</v>
      </c>
      <c r="E51" s="646">
        <f>'数据-汇总表'!E8+'数据-汇总表'!E9</f>
        <v>74096.129999999976</v>
      </c>
      <c r="F51" s="647" t="e">
        <f t="shared" ref="F51:F60" si="15">ROUND(B51*E51/10000,0)</f>
        <v>#DIV/0!</v>
      </c>
      <c r="G51" s="3537"/>
      <c r="H51" s="3538"/>
      <c r="I51" s="859">
        <v>1</v>
      </c>
      <c r="J51" s="859">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2344</v>
      </c>
      <c r="B52" s="224" t="e">
        <f>ROUND($C$43*C52*D52,0)</f>
        <v>#DIV/0!</v>
      </c>
      <c r="C52" s="176">
        <f t="shared" ref="C52:C60" si="16">IF($C$50="北京市系数",I52,J52)</f>
        <v>0.7</v>
      </c>
      <c r="D52" s="1056">
        <v>0.25</v>
      </c>
      <c r="E52" s="650"/>
      <c r="F52" s="647" t="e">
        <f t="shared" si="15"/>
        <v>#DIV/0!</v>
      </c>
      <c r="G52" s="3234" t="s">
        <v>2345</v>
      </c>
      <c r="H52" s="998" t="str">
        <f>项目基本情况!B37</f>
        <v>一级</v>
      </c>
      <c r="I52" s="859">
        <f>SUMIF(修正!A57:A68,H52,修正!B57:B68)</f>
        <v>0.7</v>
      </c>
      <c r="J52" s="860"/>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2346</v>
      </c>
      <c r="B53" s="224" t="e">
        <f t="shared" ref="B53:B60" si="17">ROUND($C$43*C53*D53,0)</f>
        <v>#DIV/0!</v>
      </c>
      <c r="C53" s="176">
        <f t="shared" si="16"/>
        <v>0.4</v>
      </c>
      <c r="D53" s="1056">
        <v>0.25</v>
      </c>
      <c r="E53" s="650"/>
      <c r="F53" s="647" t="e">
        <f t="shared" si="15"/>
        <v>#DIV/0!</v>
      </c>
      <c r="G53" s="3235"/>
      <c r="H53" s="998" t="str">
        <f>项目基本情况!B37</f>
        <v>一级</v>
      </c>
      <c r="I53" s="859">
        <f>SUMIF(修正!A57:A68,H53,修正!C57:C68)</f>
        <v>0.4</v>
      </c>
      <c r="J53" s="860"/>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2347</v>
      </c>
      <c r="B54" s="224" t="e">
        <f t="shared" si="17"/>
        <v>#DIV/0!</v>
      </c>
      <c r="C54" s="176">
        <f t="shared" si="16"/>
        <v>0.3</v>
      </c>
      <c r="D54" s="1056">
        <v>0.25</v>
      </c>
      <c r="E54" s="650"/>
      <c r="F54" s="647" t="e">
        <f t="shared" si="15"/>
        <v>#DIV/0!</v>
      </c>
      <c r="G54" s="3235"/>
      <c r="H54" s="998" t="str">
        <f>项目基本情况!B37</f>
        <v>一级</v>
      </c>
      <c r="I54" s="859">
        <f>SUMIF(修正!A57:A68,H54,修正!D57:D68)</f>
        <v>0.3</v>
      </c>
      <c r="J54" s="860"/>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6"/>
      <c r="E55" s="650"/>
      <c r="F55" s="647"/>
      <c r="G55" s="3236"/>
      <c r="H55" s="998"/>
      <c r="I55" s="859"/>
      <c r="J55" s="860"/>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2348</v>
      </c>
      <c r="B56" s="224" t="e">
        <f t="shared" si="17"/>
        <v>#DIV/0!</v>
      </c>
      <c r="C56" s="176">
        <f t="shared" si="16"/>
        <v>0.3</v>
      </c>
      <c r="D56" s="1056">
        <v>0.25</v>
      </c>
      <c r="E56" s="223">
        <f>'数据-汇总表'!E11</f>
        <v>0</v>
      </c>
      <c r="F56" s="647" t="e">
        <f t="shared" si="15"/>
        <v>#DIV/0!</v>
      </c>
      <c r="G56" s="2122" t="s">
        <v>2349</v>
      </c>
      <c r="H56" s="998" t="str">
        <f>项目基本情况!C37</f>
        <v>一级</v>
      </c>
      <c r="I56" s="859">
        <f>SUMIF(修正!A57:A68,H56,修正!E57:E68)</f>
        <v>0.3</v>
      </c>
      <c r="J56" s="860"/>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2350</v>
      </c>
      <c r="B57" s="224" t="e">
        <f t="shared" si="17"/>
        <v>#DIV/0!</v>
      </c>
      <c r="C57" s="176">
        <f t="shared" si="16"/>
        <v>0.3</v>
      </c>
      <c r="D57" s="1056">
        <v>0.25</v>
      </c>
      <c r="E57" s="223">
        <f>'数据-汇总表'!E12</f>
        <v>2640.82</v>
      </c>
      <c r="F57" s="647" t="e">
        <f t="shared" si="15"/>
        <v>#DIV/0!</v>
      </c>
      <c r="G57" s="1003" t="s">
        <v>2351</v>
      </c>
      <c r="H57" s="998" t="str">
        <f>IF(G57="商业",项目基本情况!B37,IF(G57="办公",项目基本情况!C37,IF(G57="住宅",项目基本情况!D37,项目基本情况!E37)))</f>
        <v>一级</v>
      </c>
      <c r="I57" s="859">
        <f>SUMIF(修正!A57:A68,H57,修正!F57:F68)</f>
        <v>0.3</v>
      </c>
      <c r="J57" s="860"/>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2352</v>
      </c>
      <c r="B58" s="224" t="e">
        <f t="shared" si="17"/>
        <v>#DIV/0!</v>
      </c>
      <c r="C58" s="176">
        <f t="shared" si="16"/>
        <v>0</v>
      </c>
      <c r="D58" s="1056">
        <v>0.25</v>
      </c>
      <c r="E58" s="223">
        <f>'数据-汇总表'!E13</f>
        <v>18842.53</v>
      </c>
      <c r="F58" s="647" t="e">
        <f t="shared" si="15"/>
        <v>#DIV/0!</v>
      </c>
      <c r="G58" s="1003" t="s">
        <v>2353</v>
      </c>
      <c r="H58" s="998">
        <f>IF(G58="商业",项目基本情况!B37,IF(G58="办公",项目基本情况!C37,IF(G58="住宅",项目基本情况!D37,项目基本情况!E37)))</f>
        <v>0</v>
      </c>
      <c r="I58" s="859">
        <f>SUMIF(修正!A57:A68,H58,修正!G57:G68)</f>
        <v>0</v>
      </c>
      <c r="J58" s="860"/>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2354</v>
      </c>
      <c r="B59" s="224" t="e">
        <f t="shared" si="17"/>
        <v>#DIV/0!</v>
      </c>
      <c r="C59" s="176">
        <f t="shared" si="16"/>
        <v>0.2</v>
      </c>
      <c r="D59" s="1056">
        <v>0.25</v>
      </c>
      <c r="E59" s="223">
        <f>'数据-汇总表'!E14</f>
        <v>0</v>
      </c>
      <c r="F59" s="647" t="e">
        <f t="shared" si="15"/>
        <v>#DIV/0!</v>
      </c>
      <c r="G59" s="2122" t="s">
        <v>2345</v>
      </c>
      <c r="H59" s="998" t="str">
        <f>项目基本情况!B37</f>
        <v>一级</v>
      </c>
      <c r="I59" s="859">
        <f>SUMIF(修正!A57:A68,H59,修正!G57:G68)</f>
        <v>0.2</v>
      </c>
      <c r="J59" s="860"/>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4.5" thickBot="1">
      <c r="A60" s="649" t="s">
        <v>2355</v>
      </c>
      <c r="B60" s="224" t="e">
        <f t="shared" si="17"/>
        <v>#DIV/0!</v>
      </c>
      <c r="C60" s="176">
        <f t="shared" si="16"/>
        <v>0.2</v>
      </c>
      <c r="D60" s="1056">
        <v>0.25</v>
      </c>
      <c r="E60" s="223">
        <f>'数据-汇总表'!E15</f>
        <v>0</v>
      </c>
      <c r="F60" s="647" t="e">
        <f t="shared" si="15"/>
        <v>#DIV/0!</v>
      </c>
      <c r="G60" s="2123" t="s">
        <v>2349</v>
      </c>
      <c r="H60" s="1008" t="str">
        <f>项目基本情况!C37</f>
        <v>一级</v>
      </c>
      <c r="I60" s="859">
        <f>SUMIF(修正!A57:A68,H60,修正!G57:G68)</f>
        <v>0.2</v>
      </c>
      <c r="J60" s="860"/>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4.5" thickBot="1">
      <c r="A61" s="651" t="s">
        <v>2356</v>
      </c>
      <c r="B61" s="652" t="s">
        <v>28</v>
      </c>
      <c r="C61" s="652" t="s">
        <v>29</v>
      </c>
      <c r="D61" s="652" t="s">
        <v>816</v>
      </c>
      <c r="E61" s="652">
        <f>IF(B41="楼面地价",SUM(E51:E60),'数据-汇总表'!D3)</f>
        <v>5676.41</v>
      </c>
      <c r="F61" s="653" t="e">
        <f>IF(B41="楼面地价",SUM(F51:F60),ROUND(C43*E61/10000,0))</f>
        <v>#DIV/0!</v>
      </c>
      <c r="G61" s="1050"/>
      <c r="H61" s="1050"/>
      <c r="I61" s="1050"/>
      <c r="J61" s="1050"/>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8"/>
      <c r="B62" s="1040"/>
      <c r="C62" s="1042"/>
      <c r="D62" s="1038"/>
      <c r="E62" s="1038"/>
      <c r="F62" s="1038"/>
      <c r="G62" s="1038"/>
      <c r="H62" s="1038"/>
      <c r="I62" s="1038"/>
      <c r="J62" s="1038"/>
      <c r="K62" s="999"/>
      <c r="L62" s="1000"/>
      <c r="M62" s="1038"/>
      <c r="N62" s="1038"/>
      <c r="O62" s="1038"/>
      <c r="P62" s="2899"/>
      <c r="Q62" s="2899"/>
      <c r="R62" s="2899"/>
      <c r="S62" s="2899"/>
      <c r="T62" s="2899"/>
      <c r="U62" s="2899"/>
      <c r="V62" s="2899"/>
      <c r="W62" s="2899"/>
      <c r="X62" s="2899"/>
      <c r="Y62" s="2899"/>
      <c r="Z62" s="2899"/>
      <c r="AA62" s="2899"/>
      <c r="AB62" s="2899"/>
      <c r="AC62" s="2899"/>
      <c r="AD62" s="2899"/>
      <c r="AE62" s="2899"/>
    </row>
    <row r="63" spans="1:31">
      <c r="A63" s="1038"/>
      <c r="B63" s="104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9"/>
      <c r="Q63" s="2899"/>
      <c r="R63" s="2899"/>
      <c r="S63" s="2899"/>
      <c r="T63" s="2899"/>
      <c r="U63" s="2899"/>
      <c r="V63" s="2899"/>
      <c r="W63" s="2899"/>
      <c r="X63" s="2899"/>
      <c r="Y63" s="2899"/>
      <c r="Z63" s="2899"/>
      <c r="AA63" s="2899"/>
      <c r="AB63" s="2899"/>
      <c r="AC63" s="2899"/>
      <c r="AD63" s="2899"/>
      <c r="AE63" s="2899"/>
    </row>
    <row r="64" spans="1:31" ht="21.5" thickBot="1">
      <c r="A64" s="703" t="s">
        <v>2250</v>
      </c>
      <c r="B64" s="699"/>
      <c r="C64" s="704"/>
      <c r="D64" s="704"/>
      <c r="E64" s="704"/>
      <c r="F64" s="705"/>
      <c r="G64" s="705"/>
      <c r="H64" s="704"/>
      <c r="I64" s="704"/>
      <c r="J64" s="704"/>
      <c r="K64" s="706"/>
      <c r="L64" s="707"/>
      <c r="M64" s="704"/>
      <c r="N64" s="704"/>
      <c r="O64" s="1051"/>
      <c r="P64" s="2943"/>
      <c r="Q64" s="2913"/>
      <c r="R64" s="2899"/>
      <c r="S64" s="2899"/>
      <c r="T64" s="2899"/>
      <c r="U64" s="2899"/>
      <c r="V64" s="2899"/>
      <c r="W64" s="2899"/>
      <c r="X64" s="2899"/>
      <c r="Y64" s="2899"/>
      <c r="Z64" s="2899"/>
      <c r="AA64" s="2899"/>
      <c r="AB64" s="2899"/>
      <c r="AC64" s="2899"/>
      <c r="AD64" s="2899"/>
      <c r="AE64" s="2899"/>
    </row>
    <row r="65" spans="1:31" s="465" customFormat="1">
      <c r="A65" s="2124" t="s">
        <v>2357</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9" t="s">
        <v>2377</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3"/>
      <c r="Q66" s="2834"/>
      <c r="R66" s="2834"/>
      <c r="S66" s="2834"/>
      <c r="T66" s="2834"/>
      <c r="U66" s="2834"/>
      <c r="V66" s="2834"/>
      <c r="W66" s="2834"/>
      <c r="X66" s="2834"/>
      <c r="Y66" s="2834"/>
      <c r="Z66" s="2834"/>
      <c r="AA66" s="2834"/>
      <c r="AB66" s="2834"/>
      <c r="AC66" s="2834"/>
      <c r="AD66" s="2834"/>
      <c r="AE66" s="2834"/>
    </row>
    <row r="67" spans="1:31" s="113" customFormat="1" ht="14.5" thickBot="1">
      <c r="A67" s="472" t="s">
        <v>2161</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c r="A68" s="478" t="s">
        <v>2126</v>
      </c>
      <c r="B68" s="467"/>
      <c r="C68" s="479" t="s">
        <v>2228</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4.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2164</v>
      </c>
      <c r="B70" s="485" t="s">
        <v>2130</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4.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8.5" thickTop="1">
      <c r="A72" s="491"/>
      <c r="B72" s="495" t="s">
        <v>2133</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4.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4.5" thickTop="1">
      <c r="A74" s="491"/>
      <c r="B74" s="503" t="s">
        <v>2134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4.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4.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4.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4.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4.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4.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2135</v>
      </c>
      <c r="B83" s="485" t="s">
        <v>2281</v>
      </c>
      <c r="C83" s="530" t="s">
        <v>2173</v>
      </c>
      <c r="D83" s="530" t="s">
        <v>2174</v>
      </c>
      <c r="E83" s="530" t="s">
        <v>2175</v>
      </c>
      <c r="F83" s="530" t="s">
        <v>2176</v>
      </c>
      <c r="G83" s="530" t="s">
        <v>2177</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4.5" thickTop="1">
      <c r="A85" s="491"/>
      <c r="B85" s="495" t="s">
        <v>2178</v>
      </c>
      <c r="C85" s="535" t="s">
        <v>2173</v>
      </c>
      <c r="D85" s="535" t="s">
        <v>2174</v>
      </c>
      <c r="E85" s="535" t="s">
        <v>2175</v>
      </c>
      <c r="F85" s="535" t="s">
        <v>2176</v>
      </c>
      <c r="G85" s="535" t="s">
        <v>2177</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28.5" thickTop="1">
      <c r="A87" s="536"/>
      <c r="B87" s="495" t="s">
        <v>2360</v>
      </c>
      <c r="C87" s="530" t="s">
        <v>2173</v>
      </c>
      <c r="D87" s="530" t="s">
        <v>2174</v>
      </c>
      <c r="E87" s="530" t="s">
        <v>2175</v>
      </c>
      <c r="F87" s="530" t="s">
        <v>2176</v>
      </c>
      <c r="G87" s="530" t="s">
        <v>2177</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8.5" thickTop="1">
      <c r="A89" s="536"/>
      <c r="B89" s="495" t="s">
        <v>2361</v>
      </c>
      <c r="C89" s="530" t="s">
        <v>2173</v>
      </c>
      <c r="D89" s="530" t="s">
        <v>2174</v>
      </c>
      <c r="E89" s="530" t="s">
        <v>2175</v>
      </c>
      <c r="F89" s="530" t="s">
        <v>2176</v>
      </c>
      <c r="G89" s="530" t="s">
        <v>2177</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4.5" thickTop="1">
      <c r="A91" s="510"/>
      <c r="B91" s="495" t="s">
        <v>2230</v>
      </c>
      <c r="C91" s="530" t="s">
        <v>2173</v>
      </c>
      <c r="D91" s="530" t="s">
        <v>2174</v>
      </c>
      <c r="E91" s="530" t="s">
        <v>2175</v>
      </c>
      <c r="F91" s="530" t="s">
        <v>2176</v>
      </c>
      <c r="G91" s="530" t="s">
        <v>2177</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4.5" thickTop="1">
      <c r="A93" s="510"/>
      <c r="B93" s="503" t="s">
        <v>2378</v>
      </c>
      <c r="C93" s="616" t="s">
        <v>2251</v>
      </c>
      <c r="D93" s="616" t="s">
        <v>2252</v>
      </c>
      <c r="E93" s="616" t="s">
        <v>2253</v>
      </c>
      <c r="F93" s="616" t="s">
        <v>2254</v>
      </c>
      <c r="G93" s="616" t="s">
        <v>2255</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6"/>
      <c r="N94" s="2929"/>
      <c r="O94" s="2929"/>
      <c r="P94" s="2953"/>
      <c r="Q94" s="2920"/>
      <c r="R94" s="2921"/>
      <c r="S94" s="2921"/>
      <c r="T94" s="2921"/>
      <c r="U94" s="2921"/>
      <c r="V94" s="2921"/>
      <c r="W94" s="2921"/>
      <c r="X94" s="2921"/>
      <c r="Y94" s="2921"/>
      <c r="Z94" s="2921"/>
      <c r="AA94" s="2921"/>
      <c r="AB94" s="2921"/>
      <c r="AC94" s="2921"/>
      <c r="AD94" s="2921"/>
      <c r="AE94" s="2921"/>
    </row>
    <row r="95" spans="1:31" ht="14.5" thickTop="1">
      <c r="A95" s="491"/>
      <c r="B95" s="495" t="str">
        <f>B27</f>
        <v>临街状况</v>
      </c>
      <c r="C95" s="496" t="s">
        <v>2362</v>
      </c>
      <c r="D95" s="496" t="s">
        <v>2363</v>
      </c>
      <c r="E95" s="496" t="s">
        <v>2364</v>
      </c>
      <c r="F95" s="496" t="s">
        <v>2365</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8.5" thickTop="1">
      <c r="A97" s="491"/>
      <c r="B97" s="495" t="s">
        <v>2267</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4.5" thickTop="1">
      <c r="A99" s="491"/>
      <c r="B99" s="495" t="s">
        <v>2326</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4.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4.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4.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4.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4.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4.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2139</v>
      </c>
      <c r="B107" s="485" t="s">
        <v>2366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4.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4.5" thickTop="1">
      <c r="A110" s="556"/>
      <c r="B110" s="495" t="s">
        <v>2367</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4.5" thickTop="1">
      <c r="A112" s="550"/>
      <c r="B112" s="495" t="s">
        <v>2369</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4.5" thickTop="1">
      <c r="A114" s="556"/>
      <c r="B114" s="495" t="s">
        <v>2370</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4.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4.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4.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4.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4.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4.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3000-000000000000}">
      <formula1>单价内涵</formula1>
    </dataValidation>
    <dataValidation type="list" allowBlank="1" showInputMessage="1" showErrorMessage="1" sqref="C22 E22 G22 I22" xr:uid="{00000000-0002-0000-3000-000001000000}">
      <formula1>环境</formula1>
    </dataValidation>
    <dataValidation type="list" allowBlank="1" showInputMessage="1" showErrorMessage="1" sqref="E18 C18 G18 I18" xr:uid="{00000000-0002-0000-3000-000002000000}">
      <formula1>交通便捷度</formula1>
    </dataValidation>
    <dataValidation type="list" allowBlank="1" showInputMessage="1" showErrorMessage="1" sqref="E24 C24 G24 I24" xr:uid="{00000000-0002-0000-3000-000003000000}">
      <formula1>公共配套设施</formula1>
    </dataValidation>
    <dataValidation type="list" allowBlank="1" showInputMessage="1" showErrorMessage="1" sqref="C8 E8 G8 I8" xr:uid="{00000000-0002-0000-3000-000004000000}">
      <formula1>套工交易情况</formula1>
    </dataValidation>
    <dataValidation type="list" allowBlank="1" showInputMessage="1" showErrorMessage="1" sqref="C9 E9 G9 I9" xr:uid="{00000000-0002-0000-3000-000005000000}">
      <formula1>套工用途</formula1>
    </dataValidation>
    <dataValidation type="list" allowBlank="1" showInputMessage="1" showErrorMessage="1" sqref="I30 E30 G30" xr:uid="{00000000-0002-0000-3000-000006000000}">
      <formula1>套工土地级别</formula1>
    </dataValidation>
    <dataValidation type="list" allowBlank="1" showInputMessage="1" showErrorMessage="1" sqref="C27 E27 G27 I27" xr:uid="{00000000-0002-0000-3000-000007000000}">
      <formula1>临街状况</formula1>
    </dataValidation>
    <dataValidation type="list" allowBlank="1" showInputMessage="1" showErrorMessage="1" sqref="E20 G20 I20 C20" xr:uid="{00000000-0002-0000-3000-000008000000}">
      <formula1>区域土地利用方向</formula1>
    </dataValidation>
    <dataValidation type="list" allowBlank="1" showInputMessage="1" showErrorMessage="1" sqref="C50" xr:uid="{00000000-0002-0000-3000-000009000000}">
      <formula1>"北京市系数,其他省市系数"</formula1>
    </dataValidation>
    <dataValidation type="list" allowBlank="1" showInputMessage="1" showErrorMessage="1" sqref="C16 E16 G16 I16" xr:uid="{00000000-0002-0000-3000-00000A000000}">
      <formula1>产业集聚程度</formula1>
    </dataValidation>
    <dataValidation type="list" allowBlank="1" showInputMessage="1" showErrorMessage="1" sqref="C29 E29 G29 I29" xr:uid="{00000000-0002-0000-3000-00000B000000}">
      <formula1>套工道路等级</formula1>
    </dataValidation>
    <dataValidation type="list" allowBlank="1" showInputMessage="1" showErrorMessage="1" sqref="C35 E35 G35 I35" xr:uid="{00000000-0002-0000-3000-00000C000000}">
      <formula1>套工宗地形状</formula1>
    </dataValidation>
    <dataValidation type="list" allowBlank="1" showInputMessage="1" showErrorMessage="1" sqref="C36 E36 G36 I36" xr:uid="{00000000-0002-0000-3000-00000D000000}">
      <formula1>套工宗地开发程度</formula1>
    </dataValidation>
    <dataValidation type="list" allowBlank="1" showInputMessage="1" showErrorMessage="1" sqref="C37 E37 G37 I37" xr:uid="{00000000-0002-0000-3000-00000E000000}">
      <formula1>套工地质条件</formula1>
    </dataValidation>
    <dataValidation type="list" allowBlank="1" showInputMessage="1" showErrorMessage="1" sqref="G58" xr:uid="{00000000-0002-0000-3000-00000F000000}">
      <formula1>"住宅,工业"</formula1>
    </dataValidation>
    <dataValidation type="list" allowBlank="1" showInputMessage="1" showErrorMessage="1" sqref="G57" xr:uid="{00000000-0002-0000-3000-000010000000}">
      <formula1>"商业,办公,住宅,工业"</formula1>
    </dataValidation>
    <dataValidation type="list" allowBlank="1" showInputMessage="1" showErrorMessage="1" sqref="D52:D60" xr:uid="{00000000-0002-0000-3000-000011000000}">
      <formula1>"25%,1"</formula1>
    </dataValidation>
    <dataValidation type="list" allowBlank="1" showInputMessage="1" showErrorMessage="1" sqref="C26 E26 G26 I26" xr:uid="{00000000-0002-0000-3000-000012000000}">
      <formula1>基础设施水平</formula1>
    </dataValidation>
    <dataValidation type="list" allowBlank="1" showInputMessage="1" showErrorMessage="1" sqref="D42" xr:uid="{00000000-0002-0000-3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2" customWidth="1"/>
    <col min="2" max="9" width="12.08984375" style="1612" customWidth="1"/>
    <col min="10" max="16384" width="9" style="1612"/>
  </cols>
  <sheetData>
    <row r="1" spans="1:9" ht="18.5" thickBot="1">
      <c r="A1" s="3349" t="str">
        <f>IF(项目基本情况!B9="房地产市场价值","估价结果一览表","结果表-2")</f>
        <v>结果表-2</v>
      </c>
      <c r="B1" s="3349"/>
      <c r="C1" s="3349"/>
      <c r="D1" s="3349"/>
      <c r="E1" s="3349"/>
      <c r="F1" s="3349"/>
      <c r="G1" s="3349"/>
      <c r="H1" s="3349"/>
      <c r="I1" s="3349"/>
    </row>
    <row r="2" spans="1:9" ht="30" customHeight="1" thickTop="1">
      <c r="A2" s="3350" t="s">
        <v>1361</v>
      </c>
      <c r="B2" s="3350" t="s">
        <v>1362</v>
      </c>
      <c r="C2" s="3350" t="s">
        <v>1363</v>
      </c>
      <c r="D2" s="3350" t="str">
        <f>结果表!D116</f>
        <v>出让国有建设用地使用权价值</v>
      </c>
      <c r="E2" s="3350"/>
      <c r="F2" s="3350" t="str">
        <f>结果表!F116</f>
        <v>在建建筑物价值</v>
      </c>
      <c r="G2" s="3350"/>
      <c r="H2" s="3350" t="str">
        <f>IF(项目基本情况!B9="房地产市场价值","房地产市场价值","房地产价值")</f>
        <v>房地产价值</v>
      </c>
      <c r="I2" s="3350"/>
    </row>
    <row r="3" spans="1:9" ht="16">
      <c r="A3" s="3344"/>
      <c r="B3" s="3344"/>
      <c r="C3" s="3344"/>
      <c r="D3" s="943" t="s">
        <v>1358</v>
      </c>
      <c r="E3" s="943" t="s">
        <v>1364</v>
      </c>
      <c r="F3" s="943" t="s">
        <v>1358</v>
      </c>
      <c r="G3" s="943" t="s">
        <v>1359</v>
      </c>
      <c r="H3" s="943" t="s">
        <v>1358</v>
      </c>
      <c r="I3" s="943" t="s">
        <v>1359</v>
      </c>
    </row>
    <row r="4" spans="1:9" ht="31">
      <c r="A4" s="1640" t="str">
        <f>项目基本情况!S2</f>
        <v>北京市朝阳区朝阳门南大街10号房地产</v>
      </c>
      <c r="B4" s="943">
        <f>项目基本情况!C17</f>
        <v>98604.219999999987</v>
      </c>
      <c r="C4" s="943">
        <f>项目基本情况!C18</f>
        <v>5676.41</v>
      </c>
      <c r="D4" s="943" t="e">
        <f ca="1">结果表!D118</f>
        <v>#REF!</v>
      </c>
      <c r="E4" s="943" t="e">
        <f ca="1">结果表!E118</f>
        <v>#REF!</v>
      </c>
      <c r="F4" s="943" t="e">
        <f ca="1">结果表!F118</f>
        <v>#REF!</v>
      </c>
      <c r="G4" s="943" t="e">
        <f ca="1">结果表!G118</f>
        <v>#REF!</v>
      </c>
      <c r="H4" s="943" t="e">
        <f ca="1">结果表!H118</f>
        <v>#REF!</v>
      </c>
      <c r="I4" s="943" t="e">
        <f ca="1">结果表!I118</f>
        <v>#REF!</v>
      </c>
    </row>
    <row r="5" spans="1:9" ht="30" customHeight="1">
      <c r="A5" s="3344" t="s">
        <v>1360</v>
      </c>
      <c r="B5" s="3344"/>
      <c r="C5" s="3344"/>
      <c r="D5" s="3345" t="e">
        <f ca="1">结果表!D119</f>
        <v>#REF!</v>
      </c>
      <c r="E5" s="3345"/>
      <c r="F5" s="3345" t="e">
        <f ca="1">结果表!F119</f>
        <v>#REF!</v>
      </c>
      <c r="G5" s="3345"/>
      <c r="H5" s="3345" t="e">
        <f ca="1">结果表!H119</f>
        <v>#REF!</v>
      </c>
      <c r="I5" s="3345"/>
    </row>
    <row r="6" spans="1:9" ht="15.5">
      <c r="A6" s="3343" t="str">
        <f>结果表!A120</f>
        <v>估价师知悉的法定优先受偿款</v>
      </c>
      <c r="B6" s="3343"/>
      <c r="C6" s="3343"/>
      <c r="D6" s="3343">
        <f>结果表!D120</f>
        <v>0</v>
      </c>
      <c r="E6" s="3343"/>
      <c r="F6" s="3343"/>
      <c r="G6" s="3343"/>
      <c r="H6" s="3343"/>
      <c r="I6" s="3343"/>
    </row>
    <row r="7" spans="1:9" ht="15.5">
      <c r="A7" s="3344" t="s">
        <v>1360</v>
      </c>
      <c r="B7" s="3344"/>
      <c r="C7" s="3344"/>
      <c r="D7" s="3346" t="str">
        <f>结果表!D121</f>
        <v>零元整</v>
      </c>
      <c r="E7" s="3347"/>
      <c r="F7" s="3347"/>
      <c r="G7" s="3347"/>
      <c r="H7" s="3347"/>
      <c r="I7" s="3348"/>
    </row>
    <row r="8" spans="1:9" ht="15.5">
      <c r="A8" s="3343" t="str">
        <f>结果表!A122</f>
        <v>房地产抵押价值</v>
      </c>
      <c r="B8" s="3343"/>
      <c r="C8" s="3343"/>
      <c r="D8" s="3343" t="e">
        <f ca="1">结果表!D122</f>
        <v>#REF!</v>
      </c>
      <c r="E8" s="3343"/>
      <c r="F8" s="3343"/>
      <c r="G8" s="3343"/>
      <c r="H8" s="3343"/>
      <c r="I8" s="3343"/>
    </row>
    <row r="9" spans="1:9" ht="15.5">
      <c r="A9" s="3344" t="s">
        <v>1360</v>
      </c>
      <c r="B9" s="3344"/>
      <c r="C9" s="3344"/>
      <c r="D9" s="3345" t="e">
        <f ca="1">结果表!D123</f>
        <v>#REF!</v>
      </c>
      <c r="E9" s="3345"/>
      <c r="F9" s="3345"/>
      <c r="G9" s="3345"/>
      <c r="H9" s="3345"/>
      <c r="I9" s="3345"/>
    </row>
    <row r="10" spans="1:9" ht="15.5">
      <c r="A10" s="3343" t="str">
        <f>结果表!A124</f>
        <v/>
      </c>
      <c r="B10" s="3343"/>
      <c r="C10" s="3343"/>
      <c r="D10" s="3343" t="str">
        <f>结果表!D124</f>
        <v>——</v>
      </c>
      <c r="E10" s="3343"/>
      <c r="F10" s="3343"/>
      <c r="G10" s="3343"/>
      <c r="H10" s="3343"/>
      <c r="I10" s="3343"/>
    </row>
    <row r="11" spans="1:9" ht="15.5">
      <c r="A11" s="3344" t="s">
        <v>1360</v>
      </c>
      <c r="B11" s="3344"/>
      <c r="C11" s="3344"/>
      <c r="D11" s="3345" t="e">
        <f>结果表!D125</f>
        <v>#VALUE!</v>
      </c>
      <c r="E11" s="3345"/>
      <c r="F11" s="3345"/>
      <c r="G11" s="3345"/>
      <c r="H11" s="3345"/>
      <c r="I11" s="3345"/>
    </row>
    <row r="12" spans="1:9" ht="15.5">
      <c r="A12" s="3343" t="str">
        <f>结果表!A126</f>
        <v/>
      </c>
      <c r="B12" s="3343"/>
      <c r="C12" s="3343"/>
      <c r="D12" s="3343" t="str">
        <f>结果表!D126</f>
        <v>——</v>
      </c>
      <c r="E12" s="3343"/>
      <c r="F12" s="3343"/>
      <c r="G12" s="3343"/>
      <c r="H12" s="3343"/>
      <c r="I12" s="3343"/>
    </row>
    <row r="13" spans="1:9" ht="16" thickBot="1">
      <c r="A13" s="3340" t="s">
        <v>1360</v>
      </c>
      <c r="B13" s="3340"/>
      <c r="C13" s="3340"/>
      <c r="D13" s="3341" t="e">
        <f>结果表!D127</f>
        <v>#VALUE!</v>
      </c>
      <c r="E13" s="3341"/>
      <c r="F13" s="3341"/>
      <c r="G13" s="3341"/>
      <c r="H13" s="3341"/>
      <c r="I13" s="3341"/>
    </row>
    <row r="14" spans="1:9" ht="14.5" thickTop="1">
      <c r="A14" s="3342" t="s">
        <v>1365</v>
      </c>
      <c r="B14" s="3342"/>
      <c r="C14" s="3342"/>
      <c r="D14" s="3342"/>
      <c r="E14" s="3342"/>
      <c r="F14" s="3342"/>
      <c r="G14" s="3342"/>
      <c r="H14" s="3342"/>
      <c r="I14" s="3342"/>
    </row>
    <row r="16" spans="1:9" ht="17.5">
      <c r="A16" s="1641" t="s">
        <v>1348</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99" customWidth="1"/>
    <col min="2" max="2" width="19.08984375" style="2302" customWidth="1"/>
    <col min="3" max="4" width="12" style="2133"/>
    <col min="5" max="5" width="14.6328125" style="2133" customWidth="1"/>
    <col min="6" max="8" width="12" style="2133"/>
    <col min="9" max="9" width="12.08984375" style="2133" bestFit="1" customWidth="1"/>
    <col min="10" max="10" width="12" style="2133"/>
    <col min="11" max="11" width="8.08984375" style="2194" customWidth="1"/>
    <col min="12" max="12" width="12" style="2133"/>
    <col min="13" max="13" width="8.453125" style="2133" customWidth="1"/>
    <col min="14" max="14" width="9.90625" style="2133" customWidth="1"/>
    <col min="15" max="25" width="12" style="2133"/>
    <col min="26" max="26" width="9.36328125" style="2199" customWidth="1"/>
    <col min="27" max="32" width="9.36328125" style="1234" customWidth="1"/>
    <col min="33" max="36" width="9.36328125" style="2199" customWidth="1"/>
    <col min="37" max="38" width="9.36328125" style="2133" customWidth="1"/>
    <col min="39" max="16384" width="12" style="2133"/>
  </cols>
  <sheetData>
    <row r="1" spans="1:36" ht="30">
      <c r="A1" s="202" t="s">
        <v>2379</v>
      </c>
      <c r="B1" s="203"/>
      <c r="C1" s="207" t="s">
        <v>2380</v>
      </c>
      <c r="D1" s="348">
        <f>SUM(D29:D30,D33:D39)</f>
        <v>0</v>
      </c>
      <c r="E1" s="2130"/>
      <c r="F1" s="2130"/>
      <c r="G1" s="2130"/>
      <c r="H1" s="2130"/>
      <c r="I1" s="2130"/>
      <c r="J1" s="2130"/>
      <c r="K1" s="1232"/>
      <c r="L1" s="2131" t="s">
        <v>2381</v>
      </c>
      <c r="M1" s="974">
        <f>SUMPRODUCT((区片价!B5:B9=I2)*(区片价!C3:F3=E2)*(区片价!C5:F9))</f>
        <v>0</v>
      </c>
      <c r="N1" s="977">
        <f>SUMPRODUCT((因素修正幅度!B5:B9=I2)*(因素修正幅度!C3:F3=E2)*(因素修正幅度!C5:F9))</f>
        <v>0</v>
      </c>
      <c r="O1" s="2132"/>
      <c r="P1" s="2132"/>
      <c r="Q1" s="1232"/>
      <c r="R1" s="1326" t="s">
        <v>2382</v>
      </c>
      <c r="S1" s="1326" t="s">
        <v>2383</v>
      </c>
      <c r="T1" s="1326" t="s">
        <v>2384</v>
      </c>
      <c r="U1" s="1326" t="s">
        <v>2385</v>
      </c>
      <c r="V1" s="1326" t="s">
        <v>2386</v>
      </c>
      <c r="W1" s="1330"/>
      <c r="X1" s="1330"/>
      <c r="Y1" s="1330"/>
      <c r="Z1" s="1330"/>
      <c r="AA1" s="1330"/>
      <c r="AB1" s="1330"/>
      <c r="AC1" s="1331"/>
      <c r="AD1" s="1332"/>
      <c r="AE1" s="1332"/>
      <c r="AF1" s="1332"/>
      <c r="AG1" s="1332"/>
      <c r="AH1" s="1332"/>
      <c r="AI1" s="1332"/>
      <c r="AJ1" s="1333"/>
    </row>
    <row r="2" spans="1:36" ht="15.5">
      <c r="A2" s="207" t="s">
        <v>2387</v>
      </c>
      <c r="B2" s="210" t="e">
        <f>C26</f>
        <v>#DIV/0!</v>
      </c>
      <c r="C2" s="2134" t="s">
        <v>2388</v>
      </c>
      <c r="D2" s="2135" t="s">
        <v>2389</v>
      </c>
      <c r="E2" s="2136"/>
      <c r="F2" s="2135" t="s">
        <v>2390</v>
      </c>
      <c r="G2" s="2137">
        <f>IF(E2="商业",项目基本情况!B37,IF(E2="办公",项目基本情况!C37,IF(E2="住宅",项目基本情况!D37,项目基本情况!E37)))</f>
        <v>0</v>
      </c>
      <c r="H2" s="2135" t="s">
        <v>2391</v>
      </c>
      <c r="I2" s="2137">
        <f>IF(E2="商业",项目基本情况!B38,IF(E2="办公",项目基本情况!C38,IF(E2="住宅",项目基本情况!D38,项目基本情况!E38)))</f>
        <v>0</v>
      </c>
      <c r="J2" s="2138"/>
      <c r="K2" s="1232"/>
      <c r="L2" s="2139" t="s">
        <v>2392</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5">
      <c r="A3" s="209" t="s">
        <v>2393</v>
      </c>
      <c r="B3" s="210" t="e">
        <f>ROUND(B2*10000/D1,0)</f>
        <v>#DIV/0!</v>
      </c>
      <c r="C3" s="2134" t="s">
        <v>2394</v>
      </c>
      <c r="D3" s="2135" t="s">
        <v>2395</v>
      </c>
      <c r="E3" s="2140"/>
      <c r="F3" s="2141" t="s">
        <v>2396</v>
      </c>
      <c r="G3" s="836">
        <f>IF(F3="宗地容积率",'数据-汇总表'!I4,IF(F3="估价对象容积率",'数据-汇总表'!I6,'数据-汇总表'!I7))</f>
        <v>13.23</v>
      </c>
      <c r="H3" s="175" t="s">
        <v>2397</v>
      </c>
      <c r="I3" s="861"/>
      <c r="J3" s="2138" t="s">
        <v>2398</v>
      </c>
      <c r="K3" s="1232"/>
      <c r="L3" s="2139" t="s">
        <v>2399</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5">
      <c r="A4" s="3638"/>
      <c r="B4" s="3639"/>
      <c r="C4" s="3639"/>
      <c r="D4" s="3640"/>
      <c r="E4" s="3640"/>
      <c r="F4" s="3640"/>
      <c r="G4" s="3640"/>
      <c r="H4" s="3640"/>
      <c r="I4" s="3640"/>
      <c r="J4" s="3641"/>
      <c r="K4" s="1232"/>
      <c r="L4" s="2139" t="s">
        <v>2400</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6" thickBot="1">
      <c r="A5" s="2142" t="s">
        <v>626</v>
      </c>
      <c r="B5" s="2143" t="s">
        <v>2401</v>
      </c>
      <c r="C5" s="837" t="e">
        <f>ROUND(IF(E2="商业",C6*C7+C16,(IF(E2="住宅",C6*C12+C16,C6+C16))),0)</f>
        <v>#DIV/0!</v>
      </c>
      <c r="D5" s="1473" t="e">
        <f>ROUND(C6+C16,0)</f>
        <v>#DIV/0!</v>
      </c>
      <c r="E5" s="1473"/>
      <c r="F5" s="2144"/>
      <c r="G5" s="2145"/>
      <c r="H5" s="2145"/>
      <c r="I5" s="2145"/>
      <c r="J5" s="2146"/>
      <c r="K5" s="2147"/>
      <c r="L5" s="2139" t="s">
        <v>2402</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6" thickBot="1">
      <c r="A6" s="2152" t="s">
        <v>2403</v>
      </c>
      <c r="B6" s="2153" t="s">
        <v>2404</v>
      </c>
      <c r="C6" s="838">
        <f>SUMIF(L1:L12,G2,M1:M12)</f>
        <v>0</v>
      </c>
      <c r="D6" s="2154" t="s">
        <v>2405</v>
      </c>
      <c r="E6" s="2155"/>
      <c r="F6" s="2155"/>
      <c r="G6" s="2156"/>
      <c r="H6" s="2156"/>
      <c r="I6" s="2156"/>
      <c r="J6" s="2157"/>
      <c r="K6" s="1518"/>
      <c r="L6" s="2139" t="s">
        <v>2406</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6">
      <c r="A7" s="3642" t="str">
        <f>IF(E2="商业",IF(C8="不临58条商业街","",2),"")</f>
        <v/>
      </c>
      <c r="B7" s="2158" t="s">
        <v>2407</v>
      </c>
      <c r="C7" s="839" t="e">
        <f>IF(C8="不临58条商业街",1,ROUND(1+(1.6*E8+1.2*E9+0.8*E10+0.4*E11)*C9,4))</f>
        <v>#DIV/0!</v>
      </c>
      <c r="D7" s="2159" t="s">
        <v>2408</v>
      </c>
      <c r="E7" s="862"/>
      <c r="F7" s="2160"/>
      <c r="G7" s="2161"/>
      <c r="H7" s="2161"/>
      <c r="I7" s="2161"/>
      <c r="J7" s="2162"/>
      <c r="K7" s="1518"/>
      <c r="L7" s="2139" t="s">
        <v>2409</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2410</v>
      </c>
      <c r="X7" s="1328">
        <f>G2</f>
        <v>0</v>
      </c>
      <c r="Y7" s="1328" t="s">
        <v>2411</v>
      </c>
      <c r="Z7" s="1329">
        <f>G3</f>
        <v>13.23</v>
      </c>
      <c r="AA7" s="1330"/>
      <c r="AB7" s="1330"/>
      <c r="AC7" s="1331"/>
      <c r="AD7" s="1332"/>
      <c r="AE7" s="1332"/>
      <c r="AF7" s="1332"/>
      <c r="AG7" s="1332"/>
      <c r="AH7" s="1332"/>
      <c r="AI7" s="1332"/>
      <c r="AJ7" s="1333"/>
    </row>
    <row r="8" spans="1:36" ht="15.5">
      <c r="A8" s="3643"/>
      <c r="B8" s="175" t="s">
        <v>2412</v>
      </c>
      <c r="C8" s="2163"/>
      <c r="D8" s="840" t="s">
        <v>139</v>
      </c>
      <c r="E8" s="841" t="e">
        <f>ROUND(C11/E7,4)</f>
        <v>#DIV/0!</v>
      </c>
      <c r="F8" s="2164" t="s">
        <v>2413</v>
      </c>
      <c r="G8" s="2165"/>
      <c r="H8" s="2165"/>
      <c r="I8" s="2165"/>
      <c r="J8" s="2166"/>
      <c r="K8" s="1232"/>
      <c r="L8" s="2139" t="s">
        <v>2414</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35" t="s">
        <v>2415</v>
      </c>
      <c r="X8" s="3636"/>
      <c r="Y8" s="1334" t="s">
        <v>2416</v>
      </c>
      <c r="Z8" s="1334" t="s">
        <v>2417</v>
      </c>
      <c r="AA8" s="1334" t="s">
        <v>2418</v>
      </c>
      <c r="AB8" s="1334" t="s">
        <v>2419</v>
      </c>
      <c r="AC8" s="1334" t="s">
        <v>2420</v>
      </c>
      <c r="AD8" s="1334" t="s">
        <v>2421</v>
      </c>
      <c r="AE8" s="1334" t="s">
        <v>2422</v>
      </c>
      <c r="AF8" s="1334" t="s">
        <v>2423</v>
      </c>
      <c r="AG8" s="1334" t="s">
        <v>2424</v>
      </c>
      <c r="AH8" s="1334" t="s">
        <v>2425</v>
      </c>
      <c r="AI8" s="1334" t="s">
        <v>2426</v>
      </c>
      <c r="AJ8" s="1334" t="s">
        <v>2427</v>
      </c>
    </row>
    <row r="9" spans="1:36" ht="15.5">
      <c r="A9" s="3643"/>
      <c r="B9" s="175" t="s">
        <v>2428</v>
      </c>
      <c r="C9" s="842">
        <f>SUMIF(修正!C71:C138,C8,修正!E71:E138)</f>
        <v>0</v>
      </c>
      <c r="D9" s="176" t="s">
        <v>140</v>
      </c>
      <c r="E9" s="176" t="e">
        <f>ROUND(C11/E7,4)</f>
        <v>#DIV/0!</v>
      </c>
      <c r="F9" s="2164" t="s">
        <v>2429</v>
      </c>
      <c r="G9" s="2165"/>
      <c r="H9" s="2165"/>
      <c r="I9" s="2165"/>
      <c r="J9" s="2166"/>
      <c r="K9" s="1232"/>
      <c r="L9" s="2139" t="s">
        <v>2430</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37" t="s">
        <v>2431</v>
      </c>
      <c r="X9" s="1335" t="s">
        <v>2432</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5">
      <c r="A10" s="3643"/>
      <c r="B10" s="175" t="s">
        <v>2433</v>
      </c>
      <c r="C10" s="176">
        <f>SUMIF(修正!C71:C138,C8,修正!F71:F138)</f>
        <v>0</v>
      </c>
      <c r="D10" s="176" t="s">
        <v>141</v>
      </c>
      <c r="E10" s="176" t="e">
        <f>ROUND(C11/E7,4)</f>
        <v>#DIV/0!</v>
      </c>
      <c r="F10" s="2164" t="s">
        <v>2434</v>
      </c>
      <c r="G10" s="2165"/>
      <c r="H10" s="2165"/>
      <c r="I10" s="2165"/>
      <c r="J10" s="2166"/>
      <c r="K10" s="1232"/>
      <c r="L10" s="2139" t="s">
        <v>2435</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37"/>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6" thickBot="1">
      <c r="A11" s="3643"/>
      <c r="B11" s="2167" t="s">
        <v>2436</v>
      </c>
      <c r="C11" s="843">
        <f>C10/4</f>
        <v>0</v>
      </c>
      <c r="D11" s="843" t="s">
        <v>142</v>
      </c>
      <c r="E11" s="843" t="e">
        <f>ROUND(C11/E7,4)</f>
        <v>#DIV/0!</v>
      </c>
      <c r="F11" s="2168" t="s">
        <v>2437</v>
      </c>
      <c r="G11" s="2169"/>
      <c r="H11" s="2169"/>
      <c r="I11" s="2169"/>
      <c r="J11" s="2170"/>
      <c r="K11" s="1232"/>
      <c r="L11" s="2139" t="s">
        <v>2438</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37" t="s">
        <v>2439</v>
      </c>
      <c r="X11" s="1338" t="s">
        <v>2440</v>
      </c>
      <c r="Y11" s="1339">
        <f>$G$3</f>
        <v>13.23</v>
      </c>
      <c r="Z11" s="1339">
        <f t="shared" ref="Z11:AJ11" si="3">$G$3</f>
        <v>13.23</v>
      </c>
      <c r="AA11" s="1339">
        <f t="shared" si="3"/>
        <v>13.23</v>
      </c>
      <c r="AB11" s="1339">
        <f t="shared" si="3"/>
        <v>13.23</v>
      </c>
      <c r="AC11" s="1339">
        <f t="shared" si="3"/>
        <v>13.23</v>
      </c>
      <c r="AD11" s="1339">
        <f t="shared" si="3"/>
        <v>13.23</v>
      </c>
      <c r="AE11" s="1339">
        <f t="shared" si="3"/>
        <v>13.23</v>
      </c>
      <c r="AF11" s="1339">
        <f t="shared" si="3"/>
        <v>13.23</v>
      </c>
      <c r="AG11" s="1339">
        <f t="shared" si="3"/>
        <v>13.23</v>
      </c>
      <c r="AH11" s="1339">
        <f t="shared" si="3"/>
        <v>13.23</v>
      </c>
      <c r="AI11" s="1339">
        <f t="shared" si="3"/>
        <v>13.23</v>
      </c>
      <c r="AJ11" s="1339">
        <f t="shared" si="3"/>
        <v>13.23</v>
      </c>
    </row>
    <row r="12" spans="1:36" ht="26.5" thickBot="1">
      <c r="A12" s="3642" t="s">
        <v>2441</v>
      </c>
      <c r="B12" s="2171" t="s">
        <v>2442</v>
      </c>
      <c r="C12" s="839">
        <f>ROUND(C15*D15*E15*F15*G15*H15*I15*J15,4)</f>
        <v>1</v>
      </c>
      <c r="D12" s="2172" t="s">
        <v>2443</v>
      </c>
      <c r="E12" s="2173"/>
      <c r="F12" s="2173"/>
      <c r="G12" s="2174"/>
      <c r="H12" s="2174"/>
      <c r="I12" s="2174"/>
      <c r="J12" s="2175"/>
      <c r="K12" s="1232"/>
      <c r="L12" s="2176" t="s">
        <v>2444</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37"/>
      <c r="X12" s="1340" t="s">
        <v>2445</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6">
      <c r="A13" s="3644"/>
      <c r="B13" s="2177" t="s">
        <v>2446</v>
      </c>
      <c r="C13" s="2178" t="s">
        <v>2447</v>
      </c>
      <c r="D13" s="1484" t="s">
        <v>2448</v>
      </c>
      <c r="E13" s="1484" t="s">
        <v>2449</v>
      </c>
      <c r="F13" s="30" t="s">
        <v>2450</v>
      </c>
      <c r="G13" s="2179" t="s">
        <v>2451</v>
      </c>
      <c r="H13" s="2179" t="s">
        <v>2451</v>
      </c>
      <c r="I13" s="2179" t="s">
        <v>2451</v>
      </c>
      <c r="J13" s="2180" t="s">
        <v>2451</v>
      </c>
      <c r="K13" s="1232"/>
      <c r="L13" s="1232"/>
      <c r="M13" s="1232"/>
      <c r="N13" s="1232"/>
      <c r="O13" s="1232"/>
      <c r="P13" s="1232"/>
      <c r="Q13" s="1232"/>
      <c r="R13" s="1326">
        <v>12</v>
      </c>
      <c r="S13" s="1327"/>
      <c r="T13" s="1326" t="e">
        <f t="shared" si="0"/>
        <v>#DIV/0!</v>
      </c>
      <c r="U13" s="1327"/>
      <c r="V13" s="1326" t="e">
        <f t="shared" si="1"/>
        <v>#DIV/0!</v>
      </c>
      <c r="W13" s="3637"/>
      <c r="X13" s="1340"/>
      <c r="Y13" s="1337">
        <f>(-0.163*(Y12^2)-0.59*Y12+7617)*(10^(-4))/Y11</f>
        <v>5.7573696145124718E-2</v>
      </c>
      <c r="Z13" s="1337">
        <f t="shared" ref="Z13:AJ13" si="5">(-0.163*(Z12^2)-0.59*Z12+7617)*(10^(-4))/Z11</f>
        <v>5.7573696145124718E-2</v>
      </c>
      <c r="AA13" s="1337">
        <f t="shared" si="5"/>
        <v>5.7573696145124718E-2</v>
      </c>
      <c r="AB13" s="1337">
        <f t="shared" si="5"/>
        <v>5.7573696145124718E-2</v>
      </c>
      <c r="AC13" s="1337">
        <f t="shared" si="5"/>
        <v>5.7573696145124718E-2</v>
      </c>
      <c r="AD13" s="1337">
        <f t="shared" si="5"/>
        <v>5.7573696145124718E-2</v>
      </c>
      <c r="AE13" s="1337">
        <f t="shared" si="5"/>
        <v>5.7573696145124718E-2</v>
      </c>
      <c r="AF13" s="1337">
        <f t="shared" si="5"/>
        <v>5.7573696145124718E-2</v>
      </c>
      <c r="AG13" s="1337">
        <f t="shared" si="5"/>
        <v>5.7573696145124718E-2</v>
      </c>
      <c r="AH13" s="1337">
        <f t="shared" si="5"/>
        <v>5.7573696145124718E-2</v>
      </c>
      <c r="AI13" s="1337">
        <f t="shared" si="5"/>
        <v>5.7573696145124718E-2</v>
      </c>
      <c r="AJ13" s="1337">
        <f t="shared" si="5"/>
        <v>5.7573696145124718E-2</v>
      </c>
    </row>
    <row r="14" spans="1:36" ht="15.5">
      <c r="A14" s="3644"/>
      <c r="B14" s="2181"/>
      <c r="C14" s="2182"/>
      <c r="D14" s="2183"/>
      <c r="E14" s="2183"/>
      <c r="F14" s="2184"/>
      <c r="G14" s="2185" t="s">
        <v>2452</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5"/>
      <c r="AE14" s="2965"/>
      <c r="AF14" s="2965"/>
      <c r="AG14" s="2965"/>
      <c r="AH14" s="2965"/>
      <c r="AI14" s="2965"/>
      <c r="AJ14" s="2966"/>
    </row>
    <row r="15" spans="1:36" ht="16" thickBot="1">
      <c r="A15" s="3645"/>
      <c r="B15" s="2189" t="s">
        <v>2453</v>
      </c>
      <c r="C15" s="193">
        <f>IF(C14="有",1.1,1)</f>
        <v>1</v>
      </c>
      <c r="D15" s="193">
        <f>IF(D14="有",1.1,1)</f>
        <v>1</v>
      </c>
      <c r="E15" s="193">
        <f>IF(E14="有",1.1,1)</f>
        <v>1</v>
      </c>
      <c r="F15" s="193">
        <f>IF(F14="500米范围内",1.2,IF(F14="500-1000米",1.1,1))</f>
        <v>1</v>
      </c>
      <c r="G15" s="863">
        <v>1</v>
      </c>
      <c r="H15" s="863">
        <v>1</v>
      </c>
      <c r="I15" s="863">
        <v>1</v>
      </c>
      <c r="J15" s="864">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5"/>
      <c r="AE15" s="2965"/>
      <c r="AF15" s="2965"/>
      <c r="AG15" s="2965"/>
      <c r="AH15" s="2965"/>
      <c r="AI15" s="2965"/>
      <c r="AJ15" s="2966"/>
    </row>
    <row r="16" spans="1:36" ht="24.65" customHeight="1">
      <c r="A16" s="3642" t="s">
        <v>2458</v>
      </c>
      <c r="B16" s="2158" t="s">
        <v>2459</v>
      </c>
      <c r="C16" s="2320" t="e">
        <f>ROUND(IF(F17="与级别开发程度一致",0,(G17-E17)/C17),0)</f>
        <v>#DIV/0!</v>
      </c>
      <c r="D16" s="3658" t="s">
        <v>2463</v>
      </c>
      <c r="E16" s="3659"/>
      <c r="F16" s="3658" t="s">
        <v>2460</v>
      </c>
      <c r="G16" s="3659"/>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5"/>
      <c r="AE16" s="2965"/>
      <c r="AF16" s="2965"/>
      <c r="AG16" s="2965"/>
      <c r="AH16" s="2965"/>
      <c r="AI16" s="2965"/>
      <c r="AJ16" s="2966"/>
    </row>
    <row r="17" spans="1:37" ht="13.5" thickBot="1">
      <c r="A17" s="3646"/>
      <c r="B17" s="2331" t="s">
        <v>2462</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4.5" thickBot="1">
      <c r="A18" s="2325" t="s">
        <v>627</v>
      </c>
      <c r="B18" s="2326" t="s">
        <v>2465</v>
      </c>
      <c r="C18" s="2327">
        <f>SUMIF(修正!C20:C51,E3,修正!E20:E51)</f>
        <v>0</v>
      </c>
      <c r="D18" s="2328"/>
      <c r="E18" s="2329"/>
      <c r="F18" s="2329"/>
      <c r="G18" s="2329"/>
      <c r="H18" s="2329"/>
      <c r="I18" s="2329"/>
      <c r="J18" s="2330"/>
      <c r="K18" s="1239"/>
      <c r="L18" s="2964"/>
      <c r="M18" s="2964"/>
      <c r="N18" s="2964"/>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4"/>
    </row>
    <row r="19" spans="1:37" s="2151" customFormat="1" ht="28.5" thickBot="1">
      <c r="A19" s="2195" t="s">
        <v>628</v>
      </c>
      <c r="B19" s="2196" t="s">
        <v>2466</v>
      </c>
      <c r="C19" s="844" t="e">
        <f>ROUND(IF(H19="按公示增长率计算",SUMPRODUCT((地价!A3:A37=YEAR(G19)&amp;"-"&amp;ROUNDUP(MONTH(G19)/3,0))*(地价!X2:AB2=E2)*(地价!X3:AB37)),IF(H19="地价指数",M20/M19,(1+I19)^O19)),4)</f>
        <v>#VALUE!</v>
      </c>
      <c r="D19" s="2200" t="s">
        <v>2467</v>
      </c>
      <c r="E19" s="845">
        <v>41640</v>
      </c>
      <c r="F19" s="2200" t="s">
        <v>2468</v>
      </c>
      <c r="G19" s="846">
        <f>'数据-取费表'!B2</f>
        <v>44691</v>
      </c>
      <c r="H19" s="2201"/>
      <c r="I19" s="847" t="str">
        <f>IF(H19="季度增幅（自定义）",SUMIF(N21:N24,E2,O21:O24),"")</f>
        <v/>
      </c>
      <c r="J19" s="2198"/>
      <c r="K19" s="1239"/>
      <c r="L19" s="2202" t="s">
        <v>2469</v>
      </c>
      <c r="M19" s="1448">
        <f>ROUND(SUMIF(地价!B2:F2,E2,地价!B37:F37),0)</f>
        <v>0</v>
      </c>
      <c r="N19" s="2203" t="s">
        <v>2470</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7"/>
      <c r="AH19" s="2289"/>
      <c r="AI19" s="2968"/>
      <c r="AJ19" s="2968"/>
      <c r="AK19" s="2204"/>
    </row>
    <row r="20" spans="1:37" s="2151" customFormat="1" ht="28.5" thickBot="1">
      <c r="A20" s="2205" t="s">
        <v>629</v>
      </c>
      <c r="B20" s="2206" t="s">
        <v>2471</v>
      </c>
      <c r="C20" s="849" t="e">
        <f>ROUND(POWER(1+G20,J20-I20)*(POWER(1+G20,I20)-1)/(POWER(1+G20,J20)-1),4)</f>
        <v>#DIV/0!</v>
      </c>
      <c r="D20" s="2207" t="s">
        <v>2472</v>
      </c>
      <c r="E20" s="1455">
        <f>存贷款利率!E20/100</f>
        <v>4.3499999999999997E-2</v>
      </c>
      <c r="F20" s="2207" t="s">
        <v>2464</v>
      </c>
      <c r="G20" s="853">
        <f>SUMIF(M26:P26,E2,M28:P28)</f>
        <v>0</v>
      </c>
      <c r="H20" s="2207" t="s">
        <v>2473</v>
      </c>
      <c r="I20" s="854" t="e">
        <f>SUMIF('数据-取费表'!C6:C15,E2,'数据-取费表'!F6:F15)/COUNTIF('数据-取费表'!C6:C15,E2)</f>
        <v>#DIV/0!</v>
      </c>
      <c r="J20" s="855">
        <f>IF(E2="住宅",70,IF(E2="商业",40,50))</f>
        <v>50</v>
      </c>
      <c r="K20" s="1239"/>
      <c r="L20" s="2208" t="s">
        <v>2474</v>
      </c>
      <c r="M20" s="1449">
        <f>ROUND(SUMPRODUCT((地价!A4:A37=YEAR(G19)&amp;"-"&amp;ROUNDUP(MONTH(G19)/3,0))*(地价!B2:F2=E2)*(地价!B4:F37)),0)</f>
        <v>0</v>
      </c>
      <c r="N20" s="2209" t="s">
        <v>2475</v>
      </c>
      <c r="O20" s="2210" t="s">
        <v>2476</v>
      </c>
      <c r="P20" s="2211" t="s">
        <v>2477</v>
      </c>
      <c r="Q20" s="2964"/>
      <c r="R20" s="1238"/>
      <c r="S20" s="1238"/>
      <c r="T20" s="1233"/>
      <c r="U20" s="1233"/>
      <c r="V20" s="1233"/>
      <c r="W20" s="1232"/>
      <c r="X20" s="1232"/>
      <c r="Y20" s="1232"/>
      <c r="Z20" s="1239"/>
      <c r="AA20" s="1239"/>
      <c r="AB20" s="1239"/>
      <c r="AC20" s="1239"/>
      <c r="AD20" s="1239"/>
      <c r="AE20" s="1239"/>
      <c r="AF20" s="1239"/>
      <c r="AG20" s="2964"/>
      <c r="AH20" s="2964"/>
      <c r="AI20" s="2964"/>
      <c r="AJ20" s="2964"/>
    </row>
    <row r="21" spans="1:37" s="2151" customFormat="1" ht="14">
      <c r="A21" s="2212" t="s">
        <v>630</v>
      </c>
      <c r="B21" s="2213" t="s">
        <v>2478</v>
      </c>
      <c r="C21" s="856">
        <f>IF(B21="容积率修正",IF(G3&lt;=10,D22,J22),C23)</f>
        <v>0</v>
      </c>
      <c r="D21" s="2214"/>
      <c r="E21" s="2214"/>
      <c r="F21" s="2214"/>
      <c r="G21" s="2214"/>
      <c r="H21" s="2214"/>
      <c r="I21" s="2214"/>
      <c r="J21" s="2215"/>
      <c r="K21" s="1239"/>
      <c r="L21" s="2964"/>
      <c r="M21" s="2964"/>
      <c r="N21" s="2216" t="s">
        <v>2479</v>
      </c>
      <c r="O21" s="1287"/>
      <c r="P21" s="1288">
        <f>SUMPRODUCT((地价!A3:A37=YEAR(G19)&amp;"-"&amp;ROUNDUP(MONTH(G19)/3,0))*(地价!AD2:AH2=N21)*(地价!AD3:AH37))</f>
        <v>0</v>
      </c>
      <c r="Q21" s="2964"/>
      <c r="R21" s="1238"/>
      <c r="S21" s="1238"/>
      <c r="T21" s="1233"/>
      <c r="U21" s="1233"/>
      <c r="V21" s="1233"/>
      <c r="W21" s="1232"/>
      <c r="X21" s="1232"/>
      <c r="Y21" s="1232"/>
      <c r="Z21" s="1239"/>
      <c r="AA21" s="1239"/>
      <c r="AB21" s="1239"/>
      <c r="AC21" s="1239"/>
      <c r="AD21" s="1239"/>
      <c r="AE21" s="1239"/>
      <c r="AF21" s="1239"/>
      <c r="AG21" s="2964"/>
      <c r="AH21" s="2964"/>
      <c r="AI21" s="2964"/>
      <c r="AJ21" s="2964"/>
    </row>
    <row r="22" spans="1:37" s="2151" customFormat="1" ht="14.5">
      <c r="A22" s="2090" t="s">
        <v>2480</v>
      </c>
      <c r="B22" s="2217" t="s">
        <v>2481</v>
      </c>
      <c r="C22" s="1486" t="s">
        <v>2482</v>
      </c>
      <c r="D22" s="1486" t="str">
        <f>IF(E22=G22,F22,IF(G3&lt;=10,ROUND(F22+(H22-F22)*(G3-E22)/(G22-E22),4),"——"))</f>
        <v>——</v>
      </c>
      <c r="E22" s="836">
        <f>ROUNDDOWN(G3,1)</f>
        <v>13.2</v>
      </c>
      <c r="F22" s="148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36">
        <f>ROUNDUP(G3,1)</f>
        <v>13.299999999999999</v>
      </c>
      <c r="H22" s="148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486" t="s">
        <v>155</v>
      </c>
      <c r="J22" s="857">
        <f>IF(G3&gt;10,D113,"——")</f>
        <v>0</v>
      </c>
      <c r="K22" s="1239"/>
      <c r="L22" s="2964"/>
      <c r="M22" s="2964"/>
      <c r="N22" s="2216" t="s">
        <v>2483</v>
      </c>
      <c r="O22" s="1287"/>
      <c r="P22" s="1288">
        <f>SUMPRODUCT((地价!A3:A37=YEAR(G19)&amp;"-"&amp;ROUNDUP(MONTH(G19)/3,0))*(地价!AD2:AH2=N22)*(地价!AD3:AH37))</f>
        <v>0</v>
      </c>
      <c r="Q22" s="2964"/>
      <c r="R22" s="1238"/>
      <c r="S22" s="1238"/>
      <c r="T22" s="1233"/>
      <c r="U22" s="1233"/>
      <c r="V22" s="1233"/>
      <c r="W22" s="1232"/>
      <c r="X22" s="1232"/>
      <c r="Y22" s="1232"/>
      <c r="Z22" s="1239"/>
      <c r="AA22" s="1239"/>
      <c r="AB22" s="1239"/>
      <c r="AC22" s="1239"/>
      <c r="AD22" s="1239"/>
      <c r="AE22" s="1239"/>
      <c r="AF22" s="1239"/>
      <c r="AG22" s="2964"/>
      <c r="AH22" s="2964"/>
      <c r="AI22" s="2964"/>
      <c r="AJ22" s="2964"/>
    </row>
    <row r="23" spans="1:37" ht="28.5" thickBot="1">
      <c r="A23" s="2090" t="s">
        <v>2484</v>
      </c>
      <c r="B23" s="2218" t="s">
        <v>2485</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2486</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4.5" thickBot="1">
      <c r="A24" s="2205" t="s">
        <v>631</v>
      </c>
      <c r="B24" s="2196" t="s">
        <v>2487</v>
      </c>
      <c r="C24" s="844">
        <f>SUMIF(A45:A88,E2,B45:B88)</f>
        <v>0</v>
      </c>
      <c r="D24" s="2197"/>
      <c r="E24" s="2224"/>
      <c r="F24" s="2224"/>
      <c r="G24" s="2224"/>
      <c r="H24" s="2224"/>
      <c r="I24" s="2224"/>
      <c r="J24" s="2225"/>
      <c r="K24" s="1239"/>
      <c r="L24" s="2964"/>
      <c r="M24" s="2964"/>
      <c r="N24" s="2226" t="s">
        <v>2488</v>
      </c>
      <c r="O24" s="1289"/>
      <c r="P24" s="1290">
        <f>SUMPRODUCT((地价!A3:A37=YEAR(G19)&amp;"-"&amp;ROUNDUP(MONTH(G19)/3,0))*(地价!AD2:AH2=N24)*(地价!AD3:AH37))</f>
        <v>0</v>
      </c>
      <c r="Q24" s="2964"/>
      <c r="R24" s="1238"/>
      <c r="S24" s="1238"/>
      <c r="T24" s="1233"/>
      <c r="U24" s="1233"/>
      <c r="V24" s="1233"/>
      <c r="W24" s="1232"/>
      <c r="X24" s="1232"/>
      <c r="Y24" s="1232"/>
      <c r="Z24" s="1239"/>
      <c r="AA24" s="1239"/>
      <c r="AB24" s="1239"/>
      <c r="AC24" s="1239"/>
      <c r="AD24" s="1239"/>
      <c r="AE24" s="1239"/>
      <c r="AF24" s="1239"/>
      <c r="AG24" s="2964"/>
      <c r="AH24" s="2964"/>
      <c r="AI24" s="2964"/>
      <c r="AJ24" s="2964"/>
    </row>
    <row r="25" spans="1:37" ht="14.5" thickBot="1">
      <c r="A25" s="2205" t="s">
        <v>632</v>
      </c>
      <c r="B25" s="2227" t="s">
        <v>2489</v>
      </c>
      <c r="C25" s="850"/>
      <c r="D25" s="2161"/>
      <c r="E25" s="2161"/>
      <c r="F25" s="2228"/>
      <c r="G25" s="2161"/>
      <c r="H25" s="2161"/>
      <c r="I25" s="2161"/>
      <c r="J25" s="2162"/>
      <c r="K25" s="1232"/>
      <c r="L25" s="2132"/>
      <c r="M25" s="2132"/>
      <c r="N25" s="2959" t="s">
        <v>2490</v>
      </c>
      <c r="O25" s="2960"/>
      <c r="P25" s="2961">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4">
      <c r="A26" s="2229"/>
      <c r="B26" s="2217" t="s">
        <v>2491</v>
      </c>
      <c r="C26" s="2491" t="e">
        <f>IF(B21="容积率修正",E29+SUM(E33:E39),SUM(V2:V16)+SUM(E33:E39))</f>
        <v>#DIV/0!</v>
      </c>
      <c r="D26" s="2230"/>
      <c r="E26" s="2186"/>
      <c r="F26" s="2231"/>
      <c r="G26" s="2186"/>
      <c r="H26" s="2186"/>
      <c r="I26" s="2186"/>
      <c r="J26" s="2232"/>
      <c r="K26" s="1232"/>
      <c r="L26" s="2962" t="s">
        <v>2389</v>
      </c>
      <c r="M26" s="2159" t="s">
        <v>2454</v>
      </c>
      <c r="N26" s="2159" t="s">
        <v>2455</v>
      </c>
      <c r="O26" s="2159" t="s">
        <v>2456</v>
      </c>
      <c r="P26" s="2963" t="s">
        <v>2457</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4.5" thickBot="1">
      <c r="A27" s="2229"/>
      <c r="B27" s="2233" t="s">
        <v>2492</v>
      </c>
      <c r="C27" s="851" t="e">
        <f>E30+SUM(I33:I39)</f>
        <v>#DIV/0!</v>
      </c>
      <c r="D27" s="2234"/>
      <c r="E27" s="2235"/>
      <c r="F27" s="2236"/>
      <c r="G27" s="2235"/>
      <c r="H27" s="2235"/>
      <c r="I27" s="2235"/>
      <c r="J27" s="2237"/>
      <c r="K27" s="1232"/>
      <c r="L27" s="2192" t="s">
        <v>2461</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4.5" thickBot="1">
      <c r="A28" s="2238"/>
      <c r="B28" s="2239" t="s">
        <v>2493</v>
      </c>
      <c r="C28" s="2240" t="s">
        <v>2494</v>
      </c>
      <c r="D28" s="2240" t="s">
        <v>2495</v>
      </c>
      <c r="E28" s="2241" t="s">
        <v>2496</v>
      </c>
      <c r="F28" s="2242"/>
      <c r="G28" s="2174"/>
      <c r="H28" s="2174"/>
      <c r="I28" s="2174"/>
      <c r="J28" s="2175"/>
      <c r="K28" s="1232"/>
      <c r="L28" s="2193" t="s">
        <v>2464</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2497</v>
      </c>
      <c r="C29" s="180" t="e">
        <f>ROUND(C5*C18*C19*C20*C21*C24,0)</f>
        <v>#DIV/0!</v>
      </c>
      <c r="D29" s="2245"/>
      <c r="E29" s="859" t="e">
        <f>ROUND(C29*D29/10000,0)</f>
        <v>#DIV/0!</v>
      </c>
      <c r="F29" s="2246" t="s">
        <v>2498</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6.5" thickBot="1">
      <c r="A30" s="2249"/>
      <c r="B30" s="2250" t="s">
        <v>2499</v>
      </c>
      <c r="C30" s="193" t="e">
        <f>ROUND(IF(E2="工业",C29*M39,C29*M38),0)</f>
        <v>#DIV/0!</v>
      </c>
      <c r="D30" s="2251"/>
      <c r="E30" s="859" t="e">
        <f>ROUND(C30*D30/10000,0)</f>
        <v>#DIV/0!</v>
      </c>
      <c r="F30" s="2252" t="s">
        <v>2500</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
      <c r="A31" s="2255"/>
      <c r="B31" s="2256" t="s">
        <v>2501</v>
      </c>
      <c r="C31" s="2257" t="s">
        <v>2502</v>
      </c>
      <c r="D31" s="2174"/>
      <c r="E31" s="2257"/>
      <c r="F31" s="2257"/>
      <c r="G31" s="2172" t="s">
        <v>2503</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6">
      <c r="A32" s="2243"/>
      <c r="B32" s="2259"/>
      <c r="C32" s="458" t="s">
        <v>2494</v>
      </c>
      <c r="D32" s="455" t="s">
        <v>2495</v>
      </c>
      <c r="E32" s="455" t="s">
        <v>2496</v>
      </c>
      <c r="F32" s="348" t="s">
        <v>2504</v>
      </c>
      <c r="G32" s="2260" t="s">
        <v>2494</v>
      </c>
      <c r="H32" s="2260" t="s">
        <v>2495</v>
      </c>
      <c r="I32" s="2260" t="s">
        <v>2496</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655"/>
      <c r="B33" s="2261" t="s">
        <v>2505</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660" t="s">
        <v>2807</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
      <c r="A34" s="3656"/>
      <c r="B34" s="2178" t="s">
        <v>2506</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56"/>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ht="13">
      <c r="A35" s="3656"/>
      <c r="B35" s="2178" t="s">
        <v>2507</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656"/>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657"/>
      <c r="B36" s="2178" t="s">
        <v>2508</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657"/>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ht="13">
      <c r="A37" s="2263"/>
      <c r="B37" s="2178" t="s">
        <v>2509</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2"/>
      <c r="L37" s="2264" t="s">
        <v>2510</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ht="13">
      <c r="A38" s="2263"/>
      <c r="B38" s="2178" t="s">
        <v>2511</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2"/>
      <c r="L38" s="1555" t="s">
        <v>2512</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2513</v>
      </c>
      <c r="C39" s="193" t="e">
        <f>ROUND(D5*C19*C41*C24*F39,0)</f>
        <v>#DIV/0!</v>
      </c>
      <c r="D39" s="2251"/>
      <c r="E39" s="193" t="e">
        <f t="shared" si="7"/>
        <v>#DIV/0!</v>
      </c>
      <c r="F39" s="852">
        <f>SUMIF(修正!A57:A68,G2,修正!G57:G68)</f>
        <v>0</v>
      </c>
      <c r="G39" s="193" t="e">
        <f>ROUND(IF(E2="工业",C39*$M$39,C39*$M$38),0)</f>
        <v>#DIV/0!</v>
      </c>
      <c r="H39" s="193">
        <f t="shared" si="8"/>
        <v>0</v>
      </c>
      <c r="I39" s="193" t="e">
        <f t="shared" si="9"/>
        <v>#DIV/0!</v>
      </c>
      <c r="J39" s="2268"/>
      <c r="K39" s="1232"/>
      <c r="L39" s="2269" t="s">
        <v>2457</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ht="26">
      <c r="A41" s="1233"/>
      <c r="B41" s="2319" t="s">
        <v>2618</v>
      </c>
      <c r="C41" s="348" t="e">
        <f>ROUND(POWER(1+E41,H41-G41)*(POWER(1+E41,G41)-1)/(POWER(1+E41,H41)-1),4)</f>
        <v>#DIV/0!</v>
      </c>
      <c r="D41" s="176" t="s">
        <v>2464</v>
      </c>
      <c r="E41" s="2318">
        <f>G20</f>
        <v>0</v>
      </c>
      <c r="F41" s="176" t="s">
        <v>2473</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4.5" thickBot="1">
      <c r="A45" s="2272" t="s">
        <v>2514</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4">
      <c r="A46" s="2274" t="s">
        <v>2515</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6">
      <c r="A47" s="2278" t="s">
        <v>2516</v>
      </c>
      <c r="B47" s="1485" t="s">
        <v>2517</v>
      </c>
      <c r="C47" s="1485" t="s">
        <v>2518</v>
      </c>
      <c r="D47" s="1485" t="s">
        <v>2519</v>
      </c>
      <c r="E47" s="757" t="s">
        <v>2520</v>
      </c>
      <c r="F47" s="2279" t="s">
        <v>2521</v>
      </c>
      <c r="G47" s="1485" t="s">
        <v>574</v>
      </c>
      <c r="H47" s="2280" t="s">
        <v>2522</v>
      </c>
      <c r="I47" s="1485" t="s">
        <v>2523</v>
      </c>
      <c r="J47" s="560" t="s">
        <v>2173</v>
      </c>
      <c r="K47" s="560" t="s">
        <v>2174</v>
      </c>
      <c r="L47" s="560" t="s">
        <v>2175</v>
      </c>
      <c r="M47" s="560" t="s">
        <v>2176</v>
      </c>
      <c r="N47" s="560" t="s">
        <v>2177</v>
      </c>
      <c r="AA47" s="1233"/>
      <c r="AB47" s="1233"/>
      <c r="AC47" s="1233"/>
      <c r="AD47" s="1233"/>
      <c r="AE47" s="1233"/>
      <c r="AF47" s="1233"/>
      <c r="AG47" s="1233"/>
      <c r="AH47" s="1233"/>
      <c r="AI47" s="1233"/>
      <c r="AJ47" s="1233"/>
      <c r="AK47" s="1233"/>
    </row>
    <row r="48" spans="1:37" s="1232" customFormat="1" ht="50">
      <c r="A48" s="2278" t="s">
        <v>2524</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0">
      <c r="A49" s="2278" t="s">
        <v>2525</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6">
      <c r="A50" s="2278" t="s">
        <v>2526</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52">
      <c r="A51" s="2278" t="s">
        <v>2527</v>
      </c>
      <c r="B51" s="2283" t="s">
        <v>2528</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6">
      <c r="A52" s="2278" t="s">
        <v>2529</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6">
      <c r="A53" s="2278" t="s">
        <v>2530</v>
      </c>
      <c r="B53" s="2284" t="s">
        <v>2531</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6">
      <c r="A54" s="2285" t="s">
        <v>2532</v>
      </c>
      <c r="B54" s="1446"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6">
      <c r="A55" s="2285" t="s">
        <v>2533</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8" thickBot="1">
      <c r="A56" s="2286" t="s">
        <v>2534</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c r="A57" s="2274" t="s">
        <v>2535</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6">
      <c r="A58" s="2278" t="s">
        <v>2516</v>
      </c>
      <c r="B58" s="1485"/>
      <c r="C58" s="1485" t="s">
        <v>2518</v>
      </c>
      <c r="D58" s="1485" t="s">
        <v>2519</v>
      </c>
      <c r="E58" s="757" t="s">
        <v>2520</v>
      </c>
      <c r="F58" s="2279" t="s">
        <v>2536</v>
      </c>
      <c r="G58" s="1485" t="s">
        <v>574</v>
      </c>
      <c r="H58" s="2280" t="s">
        <v>2522</v>
      </c>
      <c r="I58" s="1485" t="s">
        <v>2523</v>
      </c>
      <c r="J58" s="560" t="s">
        <v>2173</v>
      </c>
      <c r="K58" s="560" t="s">
        <v>2174</v>
      </c>
      <c r="L58" s="560" t="s">
        <v>2175</v>
      </c>
      <c r="M58" s="560" t="s">
        <v>2176</v>
      </c>
      <c r="N58" s="560" t="s">
        <v>2177</v>
      </c>
      <c r="AA58" s="1233"/>
      <c r="AB58" s="1233"/>
      <c r="AC58" s="1233"/>
      <c r="AD58" s="1233"/>
      <c r="AE58" s="1233"/>
      <c r="AF58" s="1233"/>
      <c r="AG58" s="1233"/>
      <c r="AH58" s="1233"/>
      <c r="AI58" s="1233"/>
      <c r="AJ58" s="1233"/>
      <c r="AK58" s="1233"/>
    </row>
    <row r="59" spans="1:37" s="1232" customFormat="1" ht="50">
      <c r="A59" s="2278" t="s">
        <v>2537</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0">
      <c r="A60" s="2278" t="s">
        <v>2525</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6">
      <c r="A61" s="2278" t="s">
        <v>2526</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52">
      <c r="A62" s="2278" t="s">
        <v>2527</v>
      </c>
      <c r="B62" s="2283" t="s">
        <v>2528</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6">
      <c r="A63" s="2278" t="s">
        <v>2529</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6">
      <c r="A64" s="2278" t="s">
        <v>2530</v>
      </c>
      <c r="B64" s="2284" t="s">
        <v>2531</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6">
      <c r="A65" s="2278" t="s">
        <v>2532</v>
      </c>
      <c r="B65" s="1446"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6">
      <c r="A66" s="2278" t="s">
        <v>2533</v>
      </c>
      <c r="B66" s="1446"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8" thickBot="1">
      <c r="A67" s="2286" t="s">
        <v>2534</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c r="A68" s="2274" t="s">
        <v>2538</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6">
      <c r="A69" s="2278" t="s">
        <v>2516</v>
      </c>
      <c r="B69" s="1485"/>
      <c r="C69" s="1485" t="s">
        <v>2518</v>
      </c>
      <c r="D69" s="1485" t="s">
        <v>2519</v>
      </c>
      <c r="E69" s="757" t="s">
        <v>2520</v>
      </c>
      <c r="F69" s="2279" t="s">
        <v>2536</v>
      </c>
      <c r="G69" s="1485" t="s">
        <v>574</v>
      </c>
      <c r="H69" s="2280" t="s">
        <v>2522</v>
      </c>
      <c r="I69" s="1485" t="s">
        <v>2523</v>
      </c>
      <c r="J69" s="560" t="s">
        <v>2173</v>
      </c>
      <c r="K69" s="560" t="s">
        <v>2174</v>
      </c>
      <c r="L69" s="560" t="s">
        <v>2175</v>
      </c>
      <c r="M69" s="560" t="s">
        <v>2176</v>
      </c>
      <c r="N69" s="560" t="s">
        <v>2177</v>
      </c>
      <c r="AA69" s="1233"/>
      <c r="AB69" s="1233"/>
      <c r="AC69" s="1233"/>
      <c r="AD69" s="1233"/>
      <c r="AE69" s="1233"/>
      <c r="AF69" s="1233"/>
      <c r="AG69" s="1233"/>
      <c r="AH69" s="1233"/>
      <c r="AI69" s="1233"/>
      <c r="AJ69" s="1233"/>
      <c r="AK69" s="1233"/>
    </row>
    <row r="70" spans="1:37" s="1232" customFormat="1" ht="62.5">
      <c r="A70" s="2278" t="s">
        <v>2539</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0">
      <c r="A71" s="2278" t="s">
        <v>2525</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6">
      <c r="A72" s="2278" t="s">
        <v>2526</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
      <c r="A73" s="2278" t="s">
        <v>2540</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6">
      <c r="A74" s="2278" t="s">
        <v>2532</v>
      </c>
      <c r="B74" s="1446"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6">
      <c r="A75" s="2278" t="s">
        <v>2533</v>
      </c>
      <c r="B75" s="1446"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6">
      <c r="A76" s="2278" t="s">
        <v>2530</v>
      </c>
      <c r="B76" s="2284" t="s">
        <v>2531</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7.5">
      <c r="A77" s="2278" t="s">
        <v>2534</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6.5" thickBot="1">
      <c r="A78" s="2286" t="s">
        <v>2541</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4">
      <c r="A79" s="2274" t="s">
        <v>2542</v>
      </c>
      <c r="B79" s="2275">
        <f>1+E81</f>
        <v>1</v>
      </c>
      <c r="C79" s="752"/>
      <c r="D79" s="752"/>
      <c r="E79" s="753"/>
      <c r="F79" s="2277"/>
      <c r="G79" s="6"/>
      <c r="H79" s="6"/>
      <c r="I79" s="6"/>
      <c r="J79" s="7"/>
      <c r="K79" s="7"/>
      <c r="L79" s="7"/>
      <c r="M79" s="7"/>
      <c r="N79" s="7"/>
      <c r="Z79" s="2133"/>
      <c r="AA79" s="2199"/>
      <c r="AG79" s="1234"/>
      <c r="AK79" s="2199"/>
    </row>
    <row r="80" spans="1:37" ht="26">
      <c r="A80" s="2278" t="s">
        <v>2516</v>
      </c>
      <c r="B80" s="1485"/>
      <c r="C80" s="1485" t="s">
        <v>2518</v>
      </c>
      <c r="D80" s="1485" t="s">
        <v>2519</v>
      </c>
      <c r="E80" s="757" t="s">
        <v>2520</v>
      </c>
      <c r="F80" s="2279" t="s">
        <v>2536</v>
      </c>
      <c r="G80" s="1485" t="s">
        <v>574</v>
      </c>
      <c r="H80" s="2280" t="s">
        <v>2522</v>
      </c>
      <c r="I80" s="1485" t="s">
        <v>2523</v>
      </c>
      <c r="J80" s="560" t="s">
        <v>2173</v>
      </c>
      <c r="K80" s="560" t="s">
        <v>2174</v>
      </c>
      <c r="L80" s="560" t="s">
        <v>2175</v>
      </c>
      <c r="M80" s="560" t="s">
        <v>2176</v>
      </c>
      <c r="N80" s="560" t="s">
        <v>2177</v>
      </c>
      <c r="Z80" s="2133"/>
      <c r="AA80" s="2199"/>
      <c r="AG80" s="1234"/>
      <c r="AK80" s="2199"/>
    </row>
    <row r="81" spans="1:37" ht="37.5">
      <c r="A81" s="2278" t="s">
        <v>2543</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0">
      <c r="A82" s="2278" t="s">
        <v>2525</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6">
      <c r="A83" s="2278" t="s">
        <v>2526</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
      <c r="A84" s="2278" t="s">
        <v>2540</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6">
      <c r="A85" s="2278" t="s">
        <v>2532</v>
      </c>
      <c r="B85" s="1446"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6">
      <c r="A86" s="2278" t="s">
        <v>2533</v>
      </c>
      <c r="B86" s="1446"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6">
      <c r="A87" s="2278" t="s">
        <v>2530</v>
      </c>
      <c r="B87" s="2284" t="s">
        <v>2544</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50.5" thickBot="1">
      <c r="A88" s="2286" t="s">
        <v>2545</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ht="13">
      <c r="A90" s="3647" t="s">
        <v>2546</v>
      </c>
      <c r="B90" s="3647"/>
      <c r="C90" s="3647"/>
      <c r="D90" s="3647"/>
      <c r="E90" s="3647"/>
      <c r="F90" s="3647"/>
      <c r="G90" s="3647"/>
      <c r="H90" s="3647"/>
      <c r="I90" s="3647"/>
      <c r="J90" s="3647"/>
      <c r="K90" s="2292"/>
      <c r="L90" s="2292"/>
      <c r="M90" s="2292"/>
      <c r="N90" s="2292"/>
    </row>
    <row r="91" spans="1:37" ht="13">
      <c r="A91" s="3649" t="s">
        <v>2547</v>
      </c>
      <c r="B91" s="3649" t="s">
        <v>2548</v>
      </c>
      <c r="C91" s="2246" t="s">
        <v>2549</v>
      </c>
      <c r="D91" s="2247"/>
      <c r="E91" s="2247"/>
      <c r="F91" s="2247"/>
      <c r="G91" s="2247"/>
      <c r="H91" s="2247"/>
      <c r="I91" s="2247"/>
      <c r="J91" s="2293"/>
      <c r="K91" s="2294"/>
      <c r="L91" s="2294"/>
      <c r="M91" s="2294"/>
      <c r="N91" s="2294"/>
    </row>
    <row r="92" spans="1:37" ht="13">
      <c r="A92" s="3649"/>
      <c r="B92" s="3649"/>
      <c r="C92" s="859" t="s">
        <v>2416</v>
      </c>
      <c r="D92" s="859" t="s">
        <v>2417</v>
      </c>
      <c r="E92" s="859" t="s">
        <v>2418</v>
      </c>
      <c r="F92" s="859" t="s">
        <v>2419</v>
      </c>
      <c r="G92" s="859" t="s">
        <v>2420</v>
      </c>
      <c r="H92" s="859" t="s">
        <v>2421</v>
      </c>
      <c r="I92" s="859" t="s">
        <v>2422</v>
      </c>
      <c r="J92" s="859" t="s">
        <v>2423</v>
      </c>
      <c r="K92" s="859" t="s">
        <v>2424</v>
      </c>
      <c r="L92" s="859" t="s">
        <v>2425</v>
      </c>
      <c r="M92" s="859" t="s">
        <v>2426</v>
      </c>
      <c r="N92" s="859" t="s">
        <v>2427</v>
      </c>
    </row>
    <row r="93" spans="1:37">
      <c r="A93" s="3650" t="s">
        <v>2550</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651"/>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651"/>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651"/>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651"/>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651"/>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ht="13">
      <c r="A99" s="3651"/>
      <c r="B99" s="2295" t="s">
        <v>2432</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652"/>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ht="13">
      <c r="A101" s="3650" t="s">
        <v>2551</v>
      </c>
      <c r="B101" s="2299" t="s">
        <v>2552</v>
      </c>
      <c r="C101" s="2300">
        <f>$G$3</f>
        <v>13.23</v>
      </c>
      <c r="D101" s="2300">
        <f t="shared" ref="D101:N101" si="31">$G$3</f>
        <v>13.23</v>
      </c>
      <c r="E101" s="2300">
        <f t="shared" si="31"/>
        <v>13.23</v>
      </c>
      <c r="F101" s="2300">
        <f t="shared" si="31"/>
        <v>13.23</v>
      </c>
      <c r="G101" s="2300">
        <f t="shared" si="31"/>
        <v>13.23</v>
      </c>
      <c r="H101" s="2300">
        <f t="shared" si="31"/>
        <v>13.23</v>
      </c>
      <c r="I101" s="2300">
        <f t="shared" si="31"/>
        <v>13.23</v>
      </c>
      <c r="J101" s="2300">
        <f t="shared" si="31"/>
        <v>13.23</v>
      </c>
      <c r="K101" s="2300">
        <f t="shared" si="31"/>
        <v>13.23</v>
      </c>
      <c r="L101" s="2300">
        <f t="shared" si="31"/>
        <v>13.23</v>
      </c>
      <c r="M101" s="2300">
        <f t="shared" si="31"/>
        <v>13.23</v>
      </c>
      <c r="N101" s="2300">
        <f t="shared" si="31"/>
        <v>13.23</v>
      </c>
    </row>
    <row r="102" spans="1:14">
      <c r="A102" s="3651"/>
      <c r="B102" s="2295">
        <v>1</v>
      </c>
      <c r="C102" s="2296">
        <f>1.9362/C101</f>
        <v>0.14634920634920634</v>
      </c>
      <c r="D102" s="2296">
        <f>1.9362/D101</f>
        <v>0.14634920634920634</v>
      </c>
      <c r="E102" s="2296">
        <f>1.8629/E101</f>
        <v>0.14080876795162509</v>
      </c>
      <c r="F102" s="2296">
        <f>1.8629/F101</f>
        <v>0.14080876795162509</v>
      </c>
      <c r="G102" s="2296">
        <f>1.8629/G101</f>
        <v>0.14080876795162509</v>
      </c>
      <c r="H102" s="2296">
        <f>1.8629/H101</f>
        <v>0.14080876795162509</v>
      </c>
      <c r="I102" s="2296">
        <f>1.8629/I101</f>
        <v>0.14080876795162509</v>
      </c>
      <c r="J102" s="2296">
        <f>1.942/J101</f>
        <v>0.14678760393046106</v>
      </c>
      <c r="K102" s="2296">
        <f>1.942/K101</f>
        <v>0.14678760393046106</v>
      </c>
      <c r="L102" s="2296">
        <f>1.942/L101</f>
        <v>0.14678760393046106</v>
      </c>
      <c r="M102" s="2296">
        <f>1.942/M101</f>
        <v>0.14678760393046106</v>
      </c>
      <c r="N102" s="2296">
        <f>1.942/N101</f>
        <v>0.14678760393046106</v>
      </c>
    </row>
    <row r="103" spans="1:14">
      <c r="A103" s="3651"/>
      <c r="B103" s="2295">
        <v>2</v>
      </c>
      <c r="C103" s="2296">
        <f>1.4198/C101</f>
        <v>0.1073167044595616</v>
      </c>
      <c r="D103" s="2296">
        <f>1.4198/D101</f>
        <v>0.1073167044595616</v>
      </c>
      <c r="E103" s="2296">
        <f>1.3372/E101</f>
        <v>0.10107331821617535</v>
      </c>
      <c r="F103" s="2296">
        <f>1.3372/F101</f>
        <v>0.10107331821617535</v>
      </c>
      <c r="G103" s="2296">
        <f>1.3372/G101</f>
        <v>0.10107331821617535</v>
      </c>
      <c r="H103" s="2296">
        <f>1.3372/H101</f>
        <v>0.10107331821617535</v>
      </c>
      <c r="I103" s="2296">
        <f>1.3372/I101</f>
        <v>0.10107331821617535</v>
      </c>
      <c r="J103" s="2296">
        <f>1.2799/J101</f>
        <v>9.6742252456538169E-2</v>
      </c>
      <c r="K103" s="2296">
        <f>1.2799/K101</f>
        <v>9.6742252456538169E-2</v>
      </c>
      <c r="L103" s="2296">
        <f>1.2799/L101</f>
        <v>9.6742252456538169E-2</v>
      </c>
      <c r="M103" s="2296">
        <f>1.2799/M101</f>
        <v>9.6742252456538169E-2</v>
      </c>
      <c r="N103" s="2296">
        <f>1.2799/N101</f>
        <v>9.6742252456538169E-2</v>
      </c>
    </row>
    <row r="104" spans="1:14">
      <c r="A104" s="3651"/>
      <c r="B104" s="2295">
        <v>3</v>
      </c>
      <c r="C104" s="2296">
        <f>1.1594/C101</f>
        <v>8.763416477702192E-2</v>
      </c>
      <c r="D104" s="2296">
        <f>1.1594/D101</f>
        <v>8.763416477702192E-2</v>
      </c>
      <c r="E104" s="2296">
        <f>1.0788/E101</f>
        <v>8.1541950113378683E-2</v>
      </c>
      <c r="F104" s="2296">
        <f>1.0788/F101</f>
        <v>8.1541950113378683E-2</v>
      </c>
      <c r="G104" s="2296">
        <f>1.0788/G101</f>
        <v>8.1541950113378683E-2</v>
      </c>
      <c r="H104" s="2296">
        <f>1.0788/H101</f>
        <v>8.1541950113378683E-2</v>
      </c>
      <c r="I104" s="2296">
        <f>1.0788/I101</f>
        <v>8.1541950113378683E-2</v>
      </c>
      <c r="J104" s="2296">
        <f>1.0072/J101</f>
        <v>7.6130007558578988E-2</v>
      </c>
      <c r="K104" s="2296">
        <f>1.0072/K101</f>
        <v>7.6130007558578988E-2</v>
      </c>
      <c r="L104" s="2296">
        <f>1.0072/L101</f>
        <v>7.6130007558578988E-2</v>
      </c>
      <c r="M104" s="2296">
        <f>1.0072/M101</f>
        <v>7.6130007558578988E-2</v>
      </c>
      <c r="N104" s="2296">
        <f>1.0072/N101</f>
        <v>7.6130007558578988E-2</v>
      </c>
    </row>
    <row r="105" spans="1:14">
      <c r="A105" s="3651"/>
      <c r="B105" s="2295">
        <v>4</v>
      </c>
      <c r="C105" s="2296">
        <f>0.9622/C101</f>
        <v>7.2728647014361297E-2</v>
      </c>
      <c r="D105" s="2296">
        <f>0.9622/D101</f>
        <v>7.2728647014361297E-2</v>
      </c>
      <c r="E105" s="2296">
        <f>0.8656/E101</f>
        <v>6.5427059712774002E-2</v>
      </c>
      <c r="F105" s="2296">
        <f>0.8656/F101</f>
        <v>6.5427059712774002E-2</v>
      </c>
      <c r="G105" s="2296">
        <f>0.8656/G101</f>
        <v>6.5427059712774002E-2</v>
      </c>
      <c r="H105" s="2296">
        <f>0.8656/H101</f>
        <v>6.5427059712774002E-2</v>
      </c>
      <c r="I105" s="2296">
        <f>0.8656/I101</f>
        <v>6.5427059712774002E-2</v>
      </c>
      <c r="J105" s="2296">
        <f>0.7525/J101</f>
        <v>5.6878306878306875E-2</v>
      </c>
      <c r="K105" s="2296">
        <f>0.7525/K101</f>
        <v>5.6878306878306875E-2</v>
      </c>
      <c r="L105" s="2296">
        <f>0.7525/L101</f>
        <v>5.6878306878306875E-2</v>
      </c>
      <c r="M105" s="2296">
        <f>0.7525/M101</f>
        <v>5.6878306878306875E-2</v>
      </c>
      <c r="N105" s="2296">
        <f>0.7525/N101</f>
        <v>5.6878306878306875E-2</v>
      </c>
    </row>
    <row r="106" spans="1:14">
      <c r="A106" s="3651"/>
      <c r="B106" s="2295">
        <v>5</v>
      </c>
      <c r="C106" s="2296">
        <f>0.8417/C101</f>
        <v>6.3620559334845048E-2</v>
      </c>
      <c r="D106" s="2296">
        <f>0.8417/D101</f>
        <v>6.3620559334845048E-2</v>
      </c>
      <c r="E106" s="2296">
        <f>0.7371/E101</f>
        <v>5.5714285714285709E-2</v>
      </c>
      <c r="F106" s="2296">
        <f>0.7371/F101</f>
        <v>5.5714285714285709E-2</v>
      </c>
      <c r="G106" s="2296">
        <f>0.7371/G101</f>
        <v>5.5714285714285709E-2</v>
      </c>
      <c r="H106" s="2296">
        <f>0.7371/H101</f>
        <v>5.5714285714285709E-2</v>
      </c>
      <c r="I106" s="2296">
        <f>0.7371/I101</f>
        <v>5.5714285714285709E-2</v>
      </c>
      <c r="J106" s="2296">
        <f>0.5659/J101</f>
        <v>4.2773998488284198E-2</v>
      </c>
      <c r="K106" s="2296">
        <f>0.5659/K101</f>
        <v>4.2773998488284198E-2</v>
      </c>
      <c r="L106" s="2296">
        <f>0.5659/L101</f>
        <v>4.2773998488284198E-2</v>
      </c>
      <c r="M106" s="2296">
        <f>0.5659/M101</f>
        <v>4.2773998488284198E-2</v>
      </c>
      <c r="N106" s="2296">
        <f>0.5659/N101</f>
        <v>4.2773998488284198E-2</v>
      </c>
    </row>
    <row r="107" spans="1:14">
      <c r="A107" s="3651"/>
      <c r="B107" s="2295">
        <v>6</v>
      </c>
      <c r="C107" s="2296">
        <f>0.7608/C101</f>
        <v>5.7505668934240362E-2</v>
      </c>
      <c r="D107" s="2296">
        <f>0.7608/D101</f>
        <v>5.7505668934240362E-2</v>
      </c>
      <c r="E107" s="2296">
        <f>0.6482/E101</f>
        <v>4.8994708994708994E-2</v>
      </c>
      <c r="F107" s="2296">
        <f>0.6482/F101</f>
        <v>4.8994708994708994E-2</v>
      </c>
      <c r="G107" s="2296">
        <f>0.6482/G101</f>
        <v>4.8994708994708994E-2</v>
      </c>
      <c r="H107" s="2296">
        <f>0.6482/H101</f>
        <v>4.8994708994708994E-2</v>
      </c>
      <c r="I107" s="2296">
        <f>0.6482/I101</f>
        <v>4.8994708994708994E-2</v>
      </c>
      <c r="J107" s="2296">
        <f>0.4525/J101</f>
        <v>3.4202569916855628E-2</v>
      </c>
      <c r="K107" s="2296">
        <f>0.4525/K101</f>
        <v>3.4202569916855628E-2</v>
      </c>
      <c r="L107" s="2296">
        <f>0.4525/L101</f>
        <v>3.4202569916855628E-2</v>
      </c>
      <c r="M107" s="2296">
        <f>0.4525/M101</f>
        <v>3.4202569916855628E-2</v>
      </c>
      <c r="N107" s="2296">
        <f>0.4525/N101</f>
        <v>3.4202569916855628E-2</v>
      </c>
    </row>
    <row r="108" spans="1:14">
      <c r="A108" s="3651"/>
      <c r="B108" s="3653" t="s">
        <v>2553</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652"/>
      <c r="B109" s="3654"/>
      <c r="C109" s="2298">
        <f>(-0.163*(C108^2)-0.59*C108+7617)*(10^(-4))/C101</f>
        <v>5.7573696145124718E-2</v>
      </c>
      <c r="D109" s="2298">
        <f>(-0.163*(D108^2)-0.59*D108+7617)*(10^(-4))/D101</f>
        <v>5.7573696145124718E-2</v>
      </c>
      <c r="E109" s="2298">
        <f>(-0.161*(E108^2)-7.509*E108+6533)*(10^(-4))/E101</f>
        <v>4.9380196523053664E-2</v>
      </c>
      <c r="F109" s="2298">
        <f>(-0.161*(F108^2)-7.509*F108+6533)*(10^(-4))/F101</f>
        <v>4.9380196523053664E-2</v>
      </c>
      <c r="G109" s="2298">
        <f>(-0.161*(G108^2)-7.509*G108+6533)*(10^(-4))/G101</f>
        <v>4.9380196523053664E-2</v>
      </c>
      <c r="H109" s="2298">
        <f>(-0.161*(H108^2)-7.509*H108+6533)*(10^(-4))/H101</f>
        <v>4.9380196523053664E-2</v>
      </c>
      <c r="I109" s="2298">
        <f>(-0.161*(I108^2)-7.509*I108+6533)*(10^(-4))/I101</f>
        <v>4.9380196523053664E-2</v>
      </c>
      <c r="J109" s="2298">
        <f>(-0.214*(J108^2)-21.991*J108+4665)*(10^(-4))/J101</f>
        <v>3.5260770975056692E-2</v>
      </c>
      <c r="K109" s="2298">
        <f>(-0.214*(K108^2)-21.991*K108+4665)*(10^(-4))/K101</f>
        <v>3.5260770975056692E-2</v>
      </c>
      <c r="L109" s="2298">
        <f>(-0.214*(L108^2)-21.991*L108+4665)*(10^(-4))/L101</f>
        <v>3.5260770975056692E-2</v>
      </c>
      <c r="M109" s="2298">
        <f>(-0.214*(M108^2)-21.991*M108+4665)*(10^(-4))/M101</f>
        <v>3.5260770975056692E-2</v>
      </c>
      <c r="N109" s="2298">
        <f>(-0.214*(N108^2)-21.991*N108+4665)*(10^(-4))/N101</f>
        <v>3.5260770975056692E-2</v>
      </c>
    </row>
    <row r="110" spans="1:14" ht="13">
      <c r="A110" s="3648" t="s">
        <v>2554</v>
      </c>
      <c r="B110" s="3648"/>
      <c r="C110" s="3648"/>
      <c r="D110" s="3648"/>
      <c r="E110" s="3648"/>
      <c r="F110" s="3648"/>
      <c r="G110" s="3648"/>
      <c r="H110" s="3648"/>
      <c r="I110" s="3648"/>
      <c r="J110" s="3648"/>
      <c r="K110" s="2301"/>
      <c r="L110" s="2301"/>
      <c r="M110" s="2301"/>
      <c r="N110" s="2301"/>
    </row>
    <row r="112" spans="1:14" ht="13" thickBot="1"/>
    <row r="113" spans="1:13" ht="26" thickBot="1">
      <c r="A113" s="823" t="s">
        <v>2555</v>
      </c>
      <c r="B113" s="1177">
        <f>G3</f>
        <v>13.23</v>
      </c>
      <c r="C113" s="824" t="s">
        <v>2556</v>
      </c>
      <c r="D113" s="825">
        <f>SUMPRODUCT((A115:A118=F113)*(B114:M114=H113)*B115:M118)</f>
        <v>0</v>
      </c>
      <c r="E113" s="2137" t="s">
        <v>2389</v>
      </c>
      <c r="F113" s="2303">
        <f>E2</f>
        <v>0</v>
      </c>
      <c r="G113" s="2137" t="s">
        <v>2390</v>
      </c>
      <c r="H113" s="2303">
        <f>G2</f>
        <v>0</v>
      </c>
      <c r="I113" s="2137"/>
      <c r="J113" s="2304"/>
      <c r="K113" s="2304"/>
      <c r="L113" s="2304"/>
      <c r="M113" s="2304"/>
    </row>
    <row r="114" spans="1:13" ht="13">
      <c r="A114" s="828"/>
      <c r="B114" s="2305" t="s">
        <v>2557</v>
      </c>
      <c r="C114" s="2305" t="s">
        <v>2558</v>
      </c>
      <c r="D114" s="2305" t="s">
        <v>2559</v>
      </c>
      <c r="E114" s="2306" t="s">
        <v>2560</v>
      </c>
      <c r="F114" s="2306" t="s">
        <v>2561</v>
      </c>
      <c r="G114" s="2306" t="s">
        <v>2562</v>
      </c>
      <c r="H114" s="2307" t="s">
        <v>2563</v>
      </c>
      <c r="I114" s="2307" t="s">
        <v>2564</v>
      </c>
      <c r="J114" s="2308" t="s">
        <v>2565</v>
      </c>
      <c r="K114" s="2308" t="s">
        <v>2566</v>
      </c>
      <c r="L114" s="2308" t="s">
        <v>2567</v>
      </c>
      <c r="M114" s="2309" t="s">
        <v>2568</v>
      </c>
    </row>
    <row r="115" spans="1:13" ht="13">
      <c r="A115" s="829" t="s">
        <v>2454</v>
      </c>
      <c r="B115" s="830">
        <f>ROUND(0.9335-0.0094*B113,4)</f>
        <v>0.80910000000000004</v>
      </c>
      <c r="C115" s="830">
        <f>B115</f>
        <v>0.80910000000000004</v>
      </c>
      <c r="D115" s="830">
        <f>ROUND(0.8331-0.0109*B113,4)</f>
        <v>0.68889999999999996</v>
      </c>
      <c r="E115" s="830">
        <f>D115</f>
        <v>0.68889999999999996</v>
      </c>
      <c r="F115" s="830">
        <f>E115</f>
        <v>0.68889999999999996</v>
      </c>
      <c r="G115" s="830">
        <f>F115</f>
        <v>0.68889999999999996</v>
      </c>
      <c r="H115" s="830">
        <f>G115</f>
        <v>0.68889999999999996</v>
      </c>
      <c r="I115" s="830">
        <f>ROUND(0.689-0.0155*B113,4)</f>
        <v>0.4839</v>
      </c>
      <c r="J115" s="830">
        <f t="shared" ref="J115:M118" si="33">I115</f>
        <v>0.4839</v>
      </c>
      <c r="K115" s="830">
        <f t="shared" si="33"/>
        <v>0.4839</v>
      </c>
      <c r="L115" s="830">
        <f t="shared" si="33"/>
        <v>0.4839</v>
      </c>
      <c r="M115" s="831">
        <f t="shared" si="33"/>
        <v>0.4839</v>
      </c>
    </row>
    <row r="116" spans="1:13" ht="13">
      <c r="A116" s="829" t="s">
        <v>2455</v>
      </c>
      <c r="B116" s="830">
        <f>ROUND(0.949-0.012*B113,4)</f>
        <v>0.79020000000000001</v>
      </c>
      <c r="C116" s="830">
        <f>B116</f>
        <v>0.79020000000000001</v>
      </c>
      <c r="D116" s="830">
        <f>ROUND(0.8567-0.013*B113,4)</f>
        <v>0.68469999999999998</v>
      </c>
      <c r="E116" s="830">
        <f t="shared" ref="E116:H117" si="34">D116</f>
        <v>0.68469999999999998</v>
      </c>
      <c r="F116" s="830">
        <f t="shared" si="34"/>
        <v>0.68469999999999998</v>
      </c>
      <c r="G116" s="830">
        <f t="shared" si="34"/>
        <v>0.68469999999999998</v>
      </c>
      <c r="H116" s="830">
        <f t="shared" si="34"/>
        <v>0.68469999999999998</v>
      </c>
      <c r="I116" s="830">
        <f>ROUND(0.7694-0.014*B113,4)</f>
        <v>0.58420000000000005</v>
      </c>
      <c r="J116" s="830">
        <f t="shared" si="33"/>
        <v>0.58420000000000005</v>
      </c>
      <c r="K116" s="830">
        <f t="shared" si="33"/>
        <v>0.58420000000000005</v>
      </c>
      <c r="L116" s="830">
        <f t="shared" si="33"/>
        <v>0.58420000000000005</v>
      </c>
      <c r="M116" s="831">
        <f t="shared" si="33"/>
        <v>0.58420000000000005</v>
      </c>
    </row>
    <row r="117" spans="1:13" ht="13">
      <c r="A117" s="829" t="s">
        <v>2456</v>
      </c>
      <c r="B117" s="830">
        <f>ROUND(0.8808-0.006*B113,4)</f>
        <v>0.8014</v>
      </c>
      <c r="C117" s="830">
        <f>B117</f>
        <v>0.8014</v>
      </c>
      <c r="D117" s="830">
        <f>ROUND(0.8748-0.008*B113,4)</f>
        <v>0.76900000000000002</v>
      </c>
      <c r="E117" s="830">
        <f t="shared" si="34"/>
        <v>0.76900000000000002</v>
      </c>
      <c r="F117" s="830">
        <f t="shared" si="34"/>
        <v>0.76900000000000002</v>
      </c>
      <c r="G117" s="830">
        <f t="shared" si="34"/>
        <v>0.76900000000000002</v>
      </c>
      <c r="H117" s="830">
        <f t="shared" si="34"/>
        <v>0.76900000000000002</v>
      </c>
      <c r="I117" s="830">
        <f>ROUND(0.7412-0.0095*B113,4)</f>
        <v>0.61550000000000005</v>
      </c>
      <c r="J117" s="830">
        <f t="shared" si="33"/>
        <v>0.61550000000000005</v>
      </c>
      <c r="K117" s="830">
        <f t="shared" si="33"/>
        <v>0.61550000000000005</v>
      </c>
      <c r="L117" s="830">
        <f t="shared" si="33"/>
        <v>0.61550000000000005</v>
      </c>
      <c r="M117" s="831">
        <f t="shared" si="33"/>
        <v>0.61550000000000005</v>
      </c>
    </row>
    <row r="118" spans="1:13" ht="13.5" thickBot="1">
      <c r="A118" s="670" t="s">
        <v>2457</v>
      </c>
      <c r="B118" s="832">
        <f>ROUND(0.7275-0.01*B113,4)</f>
        <v>0.59519999999999995</v>
      </c>
      <c r="C118" s="832">
        <f>B118</f>
        <v>0.59519999999999995</v>
      </c>
      <c r="D118" s="832">
        <f>ROUND(0.7043-0.012*B113,4)</f>
        <v>0.54549999999999998</v>
      </c>
      <c r="E118" s="832">
        <f>D118</f>
        <v>0.54549999999999998</v>
      </c>
      <c r="F118" s="832">
        <f>E118</f>
        <v>0.54549999999999998</v>
      </c>
      <c r="G118" s="832">
        <f>ROUND(0.6299-0.0122*B113,4)</f>
        <v>0.46850000000000003</v>
      </c>
      <c r="H118" s="832">
        <f>G118</f>
        <v>0.46850000000000003</v>
      </c>
      <c r="I118" s="832">
        <f>ROUND(0.5667-0.0136*B113,4)</f>
        <v>0.38679999999999998</v>
      </c>
      <c r="J118" s="832">
        <f t="shared" si="33"/>
        <v>0.38679999999999998</v>
      </c>
      <c r="K118" s="832">
        <f t="shared" si="33"/>
        <v>0.38679999999999998</v>
      </c>
      <c r="L118" s="832">
        <f t="shared" si="33"/>
        <v>0.38679999999999998</v>
      </c>
      <c r="M118" s="833">
        <f t="shared" si="33"/>
        <v>0.38679999999999998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3100-000000000000}">
      <formula1>"500米范围内,500-1000米,1000米以外"</formula1>
    </dataValidation>
    <dataValidation type="list" allowBlank="1" showInputMessage="1" showErrorMessage="1" sqref="C14:E14" xr:uid="{00000000-0002-0000-3100-000001000000}">
      <formula1>"有,无"</formula1>
    </dataValidation>
    <dataValidation type="list" allowBlank="1" showInputMessage="1" showErrorMessage="1" sqref="B21" xr:uid="{00000000-0002-0000-3100-000002000000}">
      <formula1>"容积率修正,楼层修正"</formula1>
    </dataValidation>
    <dataValidation type="list" allowBlank="1" showInputMessage="1" showErrorMessage="1" sqref="F17" xr:uid="{00000000-0002-0000-3100-000003000000}">
      <formula1>"与级别开发程度一致,与级别开发程度不一致"</formula1>
    </dataValidation>
    <dataValidation type="list" allowBlank="1" showInputMessage="1" showErrorMessage="1" sqref="E2" xr:uid="{00000000-0002-0000-3100-000004000000}">
      <formula1>"商业,办公,住宅,工业"</formula1>
    </dataValidation>
    <dataValidation type="list" allowBlank="1" showInputMessage="1" showErrorMessage="1" sqref="F3" xr:uid="{00000000-0002-0000-3100-000005000000}">
      <formula1>"宗地容积率,估价对象容积率,自定义容积率"</formula1>
    </dataValidation>
    <dataValidation type="list" allowBlank="1" showInputMessage="1" showErrorMessage="1" sqref="C8" xr:uid="{00000000-0002-0000-3100-000006000000}">
      <formula1>商业街名称</formula1>
    </dataValidation>
    <dataValidation type="list" allowBlank="1" showInputMessage="1" showErrorMessage="1" sqref="E3" xr:uid="{00000000-0002-0000-3100-000007000000}">
      <formula1>二级分类</formula1>
    </dataValidation>
    <dataValidation type="list" allowBlank="1" showInputMessage="1" showErrorMessage="1" sqref="C81:C88 C70:C78 C48:C56 C59:C67" xr:uid="{00000000-0002-0000-3100-000008000000}">
      <formula1>五等判定</formula1>
    </dataValidation>
    <dataValidation type="list" allowBlank="1" showInputMessage="1" showErrorMessage="1" sqref="H19" xr:uid="{00000000-0002-0000-3100-000009000000}">
      <formula1>"地价指数,季度增幅（自定义）,按公示增长率计算"</formula1>
    </dataValidation>
    <dataValidation type="list" allowBlank="1" showInputMessage="1" showErrorMessage="1" sqref="H16:O16" xr:uid="{00000000-0002-0000-3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38"/>
  <sheetViews>
    <sheetView zoomScale="70" zoomScaleNormal="70" workbookViewId="0">
      <selection sqref="A1:XFD1048576"/>
    </sheetView>
  </sheetViews>
  <sheetFormatPr defaultColWidth="14.36328125" defaultRowHeight="19.5" customHeight="1"/>
  <cols>
    <col min="1" max="1" width="14.36328125" style="754"/>
    <col min="2" max="9" width="14.36328125" style="800"/>
    <col min="10" max="16384" width="14.3632812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93" t="s">
        <v>2941</v>
      </c>
      <c r="B2" s="3194">
        <v>3.5</v>
      </c>
      <c r="C2" s="3194">
        <v>3.5</v>
      </c>
      <c r="D2" s="3195">
        <v>2.5</v>
      </c>
      <c r="E2" s="3195">
        <v>2.5</v>
      </c>
      <c r="F2" s="3195">
        <v>2.5</v>
      </c>
      <c r="G2" s="3195">
        <v>2.5</v>
      </c>
      <c r="H2" s="3195">
        <v>2.5</v>
      </c>
      <c r="I2" s="3194">
        <v>2</v>
      </c>
      <c r="J2" s="3194">
        <v>2</v>
      </c>
      <c r="K2" s="3194">
        <v>2</v>
      </c>
      <c r="L2" s="3194">
        <v>2</v>
      </c>
      <c r="M2" s="3196">
        <v>2</v>
      </c>
    </row>
    <row r="3" spans="1:13" ht="19.5" customHeight="1">
      <c r="A3" s="3197" t="s">
        <v>2942</v>
      </c>
      <c r="B3" s="3198">
        <v>3.5</v>
      </c>
      <c r="C3" s="3198">
        <v>3.5</v>
      </c>
      <c r="D3" s="3199">
        <v>2.5</v>
      </c>
      <c r="E3" s="3199">
        <v>2.5</v>
      </c>
      <c r="F3" s="3199">
        <v>2.5</v>
      </c>
      <c r="G3" s="3199">
        <v>2.5</v>
      </c>
      <c r="H3" s="3199">
        <v>2.5</v>
      </c>
      <c r="I3" s="3198">
        <v>2</v>
      </c>
      <c r="J3" s="3198">
        <v>2</v>
      </c>
      <c r="K3" s="3198">
        <v>2</v>
      </c>
      <c r="L3" s="3198">
        <v>2</v>
      </c>
      <c r="M3" s="3200">
        <v>2</v>
      </c>
    </row>
    <row r="4" spans="1:13" ht="19.5" customHeight="1">
      <c r="A4" s="3197" t="s">
        <v>2943</v>
      </c>
      <c r="B4" s="3199">
        <v>2.5</v>
      </c>
      <c r="C4" s="3199">
        <v>2.5</v>
      </c>
      <c r="D4" s="3199">
        <v>2.5</v>
      </c>
      <c r="E4" s="3199">
        <v>2.5</v>
      </c>
      <c r="F4" s="3199">
        <v>2.5</v>
      </c>
      <c r="G4" s="3199">
        <v>2.5</v>
      </c>
      <c r="H4" s="3199">
        <v>2.5</v>
      </c>
      <c r="I4" s="3198">
        <v>1.5</v>
      </c>
      <c r="J4" s="3198">
        <v>1.5</v>
      </c>
      <c r="K4" s="3198">
        <v>1.5</v>
      </c>
      <c r="L4" s="3198">
        <v>1.5</v>
      </c>
      <c r="M4" s="3200">
        <v>1.5</v>
      </c>
    </row>
    <row r="5" spans="1:13" ht="19.5" customHeight="1">
      <c r="A5" s="3201" t="s">
        <v>2944</v>
      </c>
      <c r="B5" s="3198">
        <v>1.5</v>
      </c>
      <c r="C5" s="3198">
        <v>1.5</v>
      </c>
      <c r="D5" s="3198">
        <v>1.5</v>
      </c>
      <c r="E5" s="3198">
        <v>1.5</v>
      </c>
      <c r="F5" s="3198">
        <v>1.5</v>
      </c>
      <c r="G5" s="3198">
        <v>1.2</v>
      </c>
      <c r="H5" s="3198">
        <v>1.2</v>
      </c>
      <c r="I5" s="3198">
        <v>1</v>
      </c>
      <c r="J5" s="3198">
        <v>1</v>
      </c>
      <c r="K5" s="3198">
        <v>1</v>
      </c>
      <c r="L5" s="3198">
        <v>1</v>
      </c>
      <c r="M5" s="3200">
        <v>1</v>
      </c>
    </row>
    <row r="6" spans="1:13" ht="19.5" customHeight="1">
      <c r="A6" s="3202" t="s">
        <v>2945</v>
      </c>
      <c r="B6" s="3203">
        <v>2.5</v>
      </c>
      <c r="C6" s="3203">
        <v>2.5</v>
      </c>
      <c r="D6" s="3203">
        <v>2</v>
      </c>
      <c r="E6" s="3203">
        <v>2</v>
      </c>
      <c r="F6" s="3203">
        <v>2</v>
      </c>
      <c r="G6" s="3203">
        <v>2</v>
      </c>
      <c r="H6" s="3203">
        <v>2</v>
      </c>
      <c r="I6" s="3204">
        <v>1.5</v>
      </c>
      <c r="J6" s="3204">
        <v>1.5</v>
      </c>
      <c r="K6" s="3204">
        <v>1.5</v>
      </c>
      <c r="L6" s="3204">
        <v>1.5</v>
      </c>
      <c r="M6" s="3205">
        <v>1.5</v>
      </c>
    </row>
    <row r="7" spans="1:13" ht="19.5" customHeight="1" thickBot="1">
      <c r="A7" s="3206" t="s">
        <v>2946</v>
      </c>
      <c r="B7" s="3207">
        <v>2.5</v>
      </c>
      <c r="C7" s="3207">
        <v>2.5</v>
      </c>
      <c r="D7" s="3207">
        <v>2</v>
      </c>
      <c r="E7" s="3207">
        <v>2</v>
      </c>
      <c r="F7" s="3207">
        <v>2</v>
      </c>
      <c r="G7" s="3207">
        <v>2</v>
      </c>
      <c r="H7" s="3207">
        <v>2</v>
      </c>
      <c r="I7" s="3208">
        <v>1.5</v>
      </c>
      <c r="J7" s="3208">
        <v>1.5</v>
      </c>
      <c r="K7" s="3208">
        <v>1.5</v>
      </c>
      <c r="L7" s="3208">
        <v>1.5</v>
      </c>
      <c r="M7" s="3209">
        <v>1.5</v>
      </c>
    </row>
    <row r="8" spans="1:13" ht="19.5" customHeight="1">
      <c r="A8" s="795" t="s">
        <v>546</v>
      </c>
      <c r="B8" s="3210">
        <v>80</v>
      </c>
      <c r="C8" s="3210">
        <v>80</v>
      </c>
      <c r="D8" s="3210">
        <v>70</v>
      </c>
      <c r="E8" s="3210">
        <v>70</v>
      </c>
      <c r="F8" s="3210">
        <v>70</v>
      </c>
      <c r="G8" s="3210">
        <v>70</v>
      </c>
      <c r="H8" s="3210">
        <v>70</v>
      </c>
      <c r="I8" s="3210">
        <v>60</v>
      </c>
      <c r="J8" s="3210">
        <v>60</v>
      </c>
      <c r="K8" s="3210">
        <v>60</v>
      </c>
      <c r="L8" s="3210">
        <v>60</v>
      </c>
      <c r="M8" s="3211">
        <v>60</v>
      </c>
    </row>
    <row r="9" spans="1:13" ht="19.5" customHeight="1">
      <c r="A9" s="755" t="s">
        <v>547</v>
      </c>
      <c r="B9" s="3212">
        <v>70</v>
      </c>
      <c r="C9" s="3212">
        <v>70</v>
      </c>
      <c r="D9" s="3212">
        <v>60</v>
      </c>
      <c r="E9" s="3212">
        <v>60</v>
      </c>
      <c r="F9" s="3212">
        <v>60</v>
      </c>
      <c r="G9" s="3212">
        <v>60</v>
      </c>
      <c r="H9" s="3212">
        <v>60</v>
      </c>
      <c r="I9" s="3212">
        <v>50</v>
      </c>
      <c r="J9" s="3212">
        <v>50</v>
      </c>
      <c r="K9" s="3212">
        <v>50</v>
      </c>
      <c r="L9" s="3212">
        <v>50</v>
      </c>
      <c r="M9" s="3213">
        <v>50</v>
      </c>
    </row>
    <row r="10" spans="1:13" ht="19.5" customHeight="1">
      <c r="A10" s="755" t="s">
        <v>548</v>
      </c>
      <c r="B10" s="3212">
        <v>20</v>
      </c>
      <c r="C10" s="3212">
        <v>20</v>
      </c>
      <c r="D10" s="3212">
        <v>15</v>
      </c>
      <c r="E10" s="3212">
        <v>15</v>
      </c>
      <c r="F10" s="3212">
        <v>15</v>
      </c>
      <c r="G10" s="3212">
        <v>15</v>
      </c>
      <c r="H10" s="3212">
        <v>15</v>
      </c>
      <c r="I10" s="3212">
        <v>10</v>
      </c>
      <c r="J10" s="3212">
        <v>10</v>
      </c>
      <c r="K10" s="3212">
        <v>10</v>
      </c>
      <c r="L10" s="3212">
        <v>10</v>
      </c>
      <c r="M10" s="3213">
        <v>10</v>
      </c>
    </row>
    <row r="11" spans="1:13" ht="19.5" customHeight="1">
      <c r="A11" s="755" t="s">
        <v>549</v>
      </c>
      <c r="B11" s="3212">
        <v>30</v>
      </c>
      <c r="C11" s="3212">
        <v>30</v>
      </c>
      <c r="D11" s="3212">
        <v>25</v>
      </c>
      <c r="E11" s="3212">
        <v>25</v>
      </c>
      <c r="F11" s="3212">
        <v>25</v>
      </c>
      <c r="G11" s="3212">
        <v>25</v>
      </c>
      <c r="H11" s="3212">
        <v>25</v>
      </c>
      <c r="I11" s="3212">
        <v>20</v>
      </c>
      <c r="J11" s="3212">
        <v>20</v>
      </c>
      <c r="K11" s="3212">
        <v>20</v>
      </c>
      <c r="L11" s="3212">
        <v>20</v>
      </c>
      <c r="M11" s="3213">
        <v>20</v>
      </c>
    </row>
    <row r="12" spans="1:13" ht="19.5" customHeight="1">
      <c r="A12" s="755" t="s">
        <v>550</v>
      </c>
      <c r="B12" s="3212">
        <v>45</v>
      </c>
      <c r="C12" s="3212">
        <v>45</v>
      </c>
      <c r="D12" s="3212">
        <v>40</v>
      </c>
      <c r="E12" s="3212">
        <v>40</v>
      </c>
      <c r="F12" s="3212">
        <v>40</v>
      </c>
      <c r="G12" s="3212">
        <v>40</v>
      </c>
      <c r="H12" s="3212">
        <v>40</v>
      </c>
      <c r="I12" s="3212">
        <v>35</v>
      </c>
      <c r="J12" s="3212">
        <v>35</v>
      </c>
      <c r="K12" s="3212">
        <v>35</v>
      </c>
      <c r="L12" s="3212">
        <v>35</v>
      </c>
      <c r="M12" s="3213">
        <v>35</v>
      </c>
    </row>
    <row r="13" spans="1:13" ht="19.5" customHeight="1">
      <c r="A13" s="755" t="s">
        <v>551</v>
      </c>
      <c r="B13" s="3212">
        <v>60</v>
      </c>
      <c r="C13" s="3212">
        <v>60</v>
      </c>
      <c r="D13" s="3212">
        <v>50</v>
      </c>
      <c r="E13" s="3212">
        <v>50</v>
      </c>
      <c r="F13" s="3212">
        <v>50</v>
      </c>
      <c r="G13" s="3212">
        <v>50</v>
      </c>
      <c r="H13" s="3212">
        <v>50</v>
      </c>
      <c r="I13" s="3212">
        <v>40</v>
      </c>
      <c r="J13" s="3212">
        <v>40</v>
      </c>
      <c r="K13" s="3212">
        <v>40</v>
      </c>
      <c r="L13" s="3212">
        <v>40</v>
      </c>
      <c r="M13" s="3213">
        <v>40</v>
      </c>
    </row>
    <row r="14" spans="1:13" ht="19.5" customHeight="1">
      <c r="A14" s="755" t="s">
        <v>552</v>
      </c>
      <c r="B14" s="3212">
        <v>50</v>
      </c>
      <c r="C14" s="3212">
        <v>50</v>
      </c>
      <c r="D14" s="3212">
        <v>40</v>
      </c>
      <c r="E14" s="3212">
        <v>40</v>
      </c>
      <c r="F14" s="3212">
        <v>40</v>
      </c>
      <c r="G14" s="3212">
        <v>40</v>
      </c>
      <c r="H14" s="3212">
        <v>40</v>
      </c>
      <c r="I14" s="3212">
        <v>30</v>
      </c>
      <c r="J14" s="3212">
        <v>30</v>
      </c>
      <c r="K14" s="3212">
        <v>30</v>
      </c>
      <c r="L14" s="3212">
        <v>30</v>
      </c>
      <c r="M14" s="3213">
        <v>30</v>
      </c>
    </row>
    <row r="15" spans="1:13" ht="19.5" customHeight="1">
      <c r="A15" s="796" t="s">
        <v>553</v>
      </c>
      <c r="B15" s="3214">
        <v>20</v>
      </c>
      <c r="C15" s="3214">
        <v>20</v>
      </c>
      <c r="D15" s="3214">
        <v>15</v>
      </c>
      <c r="E15" s="3214">
        <v>15</v>
      </c>
      <c r="F15" s="3214">
        <v>15</v>
      </c>
      <c r="G15" s="3214">
        <v>15</v>
      </c>
      <c r="H15" s="3214">
        <v>15</v>
      </c>
      <c r="I15" s="3214">
        <v>10</v>
      </c>
      <c r="J15" s="3214">
        <v>10</v>
      </c>
      <c r="K15" s="3214">
        <v>10</v>
      </c>
      <c r="L15" s="3214">
        <v>10</v>
      </c>
      <c r="M15" s="321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2620</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14" t="s">
        <v>2947</v>
      </c>
      <c r="B19" s="3216" t="s">
        <v>2948</v>
      </c>
      <c r="C19" s="3217" t="s">
        <v>2949</v>
      </c>
      <c r="D19" s="3218"/>
      <c r="E19" s="3212" t="s">
        <v>2950</v>
      </c>
      <c r="F19" s="802"/>
      <c r="G19" s="802"/>
    </row>
    <row r="20" spans="1:13" s="807" customFormat="1" ht="19.5" customHeight="1">
      <c r="A20" s="3670" t="s">
        <v>2951</v>
      </c>
      <c r="B20" s="3665" t="s">
        <v>2952</v>
      </c>
      <c r="C20" s="3219" t="s">
        <v>2953</v>
      </c>
      <c r="D20" s="3220"/>
      <c r="E20" s="3221">
        <v>1</v>
      </c>
      <c r="F20" s="3222" t="s">
        <v>2954</v>
      </c>
      <c r="G20" s="806"/>
      <c r="H20" s="800"/>
      <c r="I20" s="800"/>
    </row>
    <row r="21" spans="1:13" s="807" customFormat="1" ht="19.5" customHeight="1">
      <c r="A21" s="3671"/>
      <c r="B21" s="3664"/>
      <c r="C21" s="804" t="s">
        <v>2955</v>
      </c>
      <c r="D21" s="805"/>
      <c r="E21" s="3223">
        <v>1</v>
      </c>
      <c r="F21" s="3222" t="s">
        <v>2956</v>
      </c>
      <c r="G21" s="806"/>
      <c r="H21" s="800"/>
      <c r="I21" s="800"/>
    </row>
    <row r="22" spans="1:13" s="807" customFormat="1" ht="19.5" customHeight="1">
      <c r="A22" s="3671"/>
      <c r="B22" s="3664"/>
      <c r="C22" s="804" t="s">
        <v>2957</v>
      </c>
      <c r="D22" s="805"/>
      <c r="E22" s="3223">
        <v>0.9</v>
      </c>
      <c r="F22" s="3222" t="s">
        <v>2958</v>
      </c>
      <c r="G22" s="806"/>
      <c r="H22" s="800"/>
      <c r="I22" s="800"/>
    </row>
    <row r="23" spans="1:13" s="807" customFormat="1" ht="19.5" customHeight="1">
      <c r="A23" s="3671"/>
      <c r="B23" s="3664"/>
      <c r="C23" s="804" t="s">
        <v>2959</v>
      </c>
      <c r="D23" s="805"/>
      <c r="E23" s="3223">
        <v>0.9</v>
      </c>
      <c r="F23" s="3222" t="s">
        <v>2960</v>
      </c>
      <c r="G23" s="806"/>
      <c r="H23" s="800"/>
      <c r="I23" s="800"/>
    </row>
    <row r="24" spans="1:13" s="807" customFormat="1" ht="19.5" customHeight="1">
      <c r="A24" s="3671"/>
      <c r="B24" s="3664"/>
      <c r="C24" s="804" t="s">
        <v>2961</v>
      </c>
      <c r="D24" s="805"/>
      <c r="E24" s="3223">
        <v>0.8</v>
      </c>
      <c r="F24" s="3222" t="s">
        <v>2962</v>
      </c>
      <c r="G24" s="806"/>
      <c r="H24" s="800"/>
      <c r="I24" s="800"/>
    </row>
    <row r="25" spans="1:13" s="807" customFormat="1" ht="19.5" customHeight="1" thickBot="1">
      <c r="A25" s="3672"/>
      <c r="B25" s="3666"/>
      <c r="C25" s="3224" t="s">
        <v>2963</v>
      </c>
      <c r="D25" s="3225"/>
      <c r="E25" s="3226">
        <v>0.8</v>
      </c>
      <c r="F25" s="3222" t="s">
        <v>2964</v>
      </c>
      <c r="G25" s="806"/>
      <c r="H25" s="800"/>
      <c r="I25" s="800"/>
    </row>
    <row r="26" spans="1:13" s="807" customFormat="1" ht="19.5" customHeight="1" thickBot="1">
      <c r="A26" s="3227" t="s">
        <v>2965</v>
      </c>
      <c r="B26" s="3228" t="s">
        <v>2952</v>
      </c>
      <c r="C26" s="3229" t="s">
        <v>2966</v>
      </c>
      <c r="D26" s="3230"/>
      <c r="E26" s="3231">
        <v>1</v>
      </c>
      <c r="F26" s="3222" t="s">
        <v>2967</v>
      </c>
      <c r="G26" s="806"/>
      <c r="H26" s="800"/>
      <c r="I26" s="800"/>
    </row>
    <row r="27" spans="1:13" s="807" customFormat="1" ht="19.5" customHeight="1">
      <c r="A27" s="3667" t="s">
        <v>2968</v>
      </c>
      <c r="B27" s="3665" t="s">
        <v>2968</v>
      </c>
      <c r="C27" s="3219" t="s">
        <v>2969</v>
      </c>
      <c r="D27" s="3220"/>
      <c r="E27" s="3221">
        <v>1</v>
      </c>
      <c r="F27" s="3222" t="s">
        <v>2970</v>
      </c>
      <c r="G27" s="806"/>
      <c r="H27" s="800"/>
      <c r="I27" s="800"/>
    </row>
    <row r="28" spans="1:13" s="807" customFormat="1" ht="19.5" customHeight="1">
      <c r="A28" s="3668"/>
      <c r="B28" s="3664"/>
      <c r="C28" s="804" t="s">
        <v>2971</v>
      </c>
      <c r="D28" s="805"/>
      <c r="E28" s="3223">
        <v>1</v>
      </c>
      <c r="F28" s="3222" t="s">
        <v>2972</v>
      </c>
      <c r="G28" s="806"/>
      <c r="H28" s="800"/>
      <c r="I28" s="800"/>
    </row>
    <row r="29" spans="1:13" s="807" customFormat="1" ht="19.5" customHeight="1">
      <c r="A29" s="3668"/>
      <c r="B29" s="3664"/>
      <c r="C29" s="804" t="s">
        <v>2973</v>
      </c>
      <c r="D29" s="805"/>
      <c r="E29" s="3223">
        <v>0.8</v>
      </c>
      <c r="F29" s="3222" t="s">
        <v>2974</v>
      </c>
      <c r="G29" s="806"/>
      <c r="H29" s="800"/>
      <c r="I29" s="800"/>
    </row>
    <row r="30" spans="1:13" s="807" customFormat="1" ht="19.5" customHeight="1">
      <c r="A30" s="3668"/>
      <c r="B30" s="3664"/>
      <c r="C30" s="804" t="s">
        <v>2975</v>
      </c>
      <c r="D30" s="805"/>
      <c r="E30" s="3223">
        <v>0.8</v>
      </c>
      <c r="F30" s="3222" t="s">
        <v>2976</v>
      </c>
      <c r="G30" s="806"/>
      <c r="H30" s="800"/>
      <c r="I30" s="800"/>
    </row>
    <row r="31" spans="1:13" s="807" customFormat="1" ht="19.5" customHeight="1">
      <c r="A31" s="3668"/>
      <c r="B31" s="3664"/>
      <c r="C31" s="804" t="s">
        <v>2977</v>
      </c>
      <c r="D31" s="805"/>
      <c r="E31" s="3223">
        <v>0.8</v>
      </c>
      <c r="F31" s="3222" t="s">
        <v>2978</v>
      </c>
      <c r="G31" s="806"/>
      <c r="H31" s="800"/>
      <c r="I31" s="800"/>
    </row>
    <row r="32" spans="1:13" s="807" customFormat="1" ht="19.5" customHeight="1">
      <c r="A32" s="3668"/>
      <c r="B32" s="3664"/>
      <c r="C32" s="804" t="s">
        <v>2979</v>
      </c>
      <c r="D32" s="805"/>
      <c r="E32" s="3223">
        <v>0.7</v>
      </c>
      <c r="F32" s="3222" t="s">
        <v>2980</v>
      </c>
      <c r="G32" s="806"/>
      <c r="H32" s="800"/>
      <c r="I32" s="800"/>
    </row>
    <row r="33" spans="1:9" s="807" customFormat="1" ht="19.5" customHeight="1">
      <c r="A33" s="3668"/>
      <c r="B33" s="3664"/>
      <c r="C33" s="804" t="s">
        <v>2981</v>
      </c>
      <c r="D33" s="805"/>
      <c r="E33" s="3223">
        <v>0.8</v>
      </c>
      <c r="F33" s="3222" t="s">
        <v>2982</v>
      </c>
      <c r="G33" s="806"/>
      <c r="H33" s="800"/>
      <c r="I33" s="800"/>
    </row>
    <row r="34" spans="1:9" s="807" customFormat="1" ht="19.5" customHeight="1">
      <c r="A34" s="3668"/>
      <c r="B34" s="3664"/>
      <c r="C34" s="804" t="s">
        <v>2983</v>
      </c>
      <c r="D34" s="805"/>
      <c r="E34" s="3223">
        <v>0.6</v>
      </c>
      <c r="F34" s="3222" t="s">
        <v>2984</v>
      </c>
      <c r="G34" s="806"/>
      <c r="H34" s="800"/>
      <c r="I34" s="800"/>
    </row>
    <row r="35" spans="1:9" s="807" customFormat="1" ht="19.5" customHeight="1">
      <c r="A35" s="3668"/>
      <c r="B35" s="3664"/>
      <c r="C35" s="804" t="s">
        <v>2985</v>
      </c>
      <c r="D35" s="805"/>
      <c r="E35" s="3223">
        <v>0.2</v>
      </c>
      <c r="F35" s="3222" t="s">
        <v>2986</v>
      </c>
      <c r="G35" s="806"/>
      <c r="H35" s="800"/>
      <c r="I35" s="800"/>
    </row>
    <row r="36" spans="1:9" s="807" customFormat="1" ht="19.5" customHeight="1">
      <c r="A36" s="3668"/>
      <c r="B36" s="3664"/>
      <c r="C36" s="804" t="s">
        <v>2987</v>
      </c>
      <c r="D36" s="805"/>
      <c r="E36" s="3223">
        <v>0.2</v>
      </c>
      <c r="F36" s="3222" t="s">
        <v>2988</v>
      </c>
      <c r="G36" s="806"/>
      <c r="H36" s="800"/>
      <c r="I36" s="800"/>
    </row>
    <row r="37" spans="1:9" s="807" customFormat="1" ht="19.5" customHeight="1">
      <c r="A37" s="3668"/>
      <c r="B37" s="3662" t="s">
        <v>2989</v>
      </c>
      <c r="C37" s="804" t="s">
        <v>2990</v>
      </c>
      <c r="D37" s="805"/>
      <c r="E37" s="3223">
        <v>0.6</v>
      </c>
      <c r="F37" s="3222" t="s">
        <v>2991</v>
      </c>
      <c r="G37" s="806"/>
      <c r="H37" s="800"/>
      <c r="I37" s="800"/>
    </row>
    <row r="38" spans="1:9" s="807" customFormat="1" ht="19.5" customHeight="1">
      <c r="A38" s="3668"/>
      <c r="B38" s="3664"/>
      <c r="C38" s="804" t="s">
        <v>2992</v>
      </c>
      <c r="D38" s="805"/>
      <c r="E38" s="3223">
        <v>0.6</v>
      </c>
      <c r="F38" s="3222" t="s">
        <v>2993</v>
      </c>
      <c r="G38" s="806"/>
      <c r="H38" s="800"/>
      <c r="I38" s="800"/>
    </row>
    <row r="39" spans="1:9" s="807" customFormat="1" ht="19.5" customHeight="1" thickBot="1">
      <c r="A39" s="3669"/>
      <c r="B39" s="3666"/>
      <c r="C39" s="3224" t="s">
        <v>2994</v>
      </c>
      <c r="D39" s="3225"/>
      <c r="E39" s="3226">
        <v>0.6</v>
      </c>
      <c r="F39" s="3222" t="s">
        <v>2995</v>
      </c>
      <c r="G39" s="806"/>
      <c r="H39" s="800"/>
      <c r="I39" s="800"/>
    </row>
    <row r="40" spans="1:9" s="807" customFormat="1" ht="19.5" customHeight="1" thickBot="1">
      <c r="A40" s="3227" t="s">
        <v>2996</v>
      </c>
      <c r="B40" s="3228" t="s">
        <v>2996</v>
      </c>
      <c r="C40" s="3229" t="s">
        <v>2997</v>
      </c>
      <c r="D40" s="3230"/>
      <c r="E40" s="3231">
        <v>1</v>
      </c>
      <c r="F40" s="3222" t="s">
        <v>2998</v>
      </c>
      <c r="G40" s="806"/>
      <c r="H40" s="800"/>
      <c r="I40" s="800"/>
    </row>
    <row r="41" spans="1:9" s="807" customFormat="1" ht="19.5" customHeight="1">
      <c r="A41" s="3670" t="s">
        <v>2999</v>
      </c>
      <c r="B41" s="3665" t="s">
        <v>3000</v>
      </c>
      <c r="C41" s="3219" t="s">
        <v>3001</v>
      </c>
      <c r="D41" s="3220"/>
      <c r="E41" s="3221">
        <v>1</v>
      </c>
      <c r="F41" s="3222" t="s">
        <v>3002</v>
      </c>
      <c r="G41" s="806"/>
      <c r="H41" s="800"/>
      <c r="I41" s="800"/>
    </row>
    <row r="42" spans="1:9" s="807" customFormat="1" ht="19.5" customHeight="1">
      <c r="A42" s="3671"/>
      <c r="B42" s="3664"/>
      <c r="C42" s="804" t="s">
        <v>3003</v>
      </c>
      <c r="D42" s="805"/>
      <c r="E42" s="3223">
        <v>1</v>
      </c>
      <c r="F42" s="3222" t="s">
        <v>3004</v>
      </c>
      <c r="G42" s="806"/>
      <c r="H42" s="800"/>
      <c r="I42" s="800"/>
    </row>
    <row r="43" spans="1:9" s="807" customFormat="1" ht="19.5" customHeight="1">
      <c r="A43" s="3671"/>
      <c r="B43" s="3663"/>
      <c r="C43" s="804" t="s">
        <v>3005</v>
      </c>
      <c r="D43" s="805"/>
      <c r="E43" s="3223">
        <v>1.5</v>
      </c>
      <c r="F43" s="3222" t="s">
        <v>3006</v>
      </c>
      <c r="G43" s="806"/>
      <c r="H43" s="800"/>
      <c r="I43" s="800"/>
    </row>
    <row r="44" spans="1:9" s="807" customFormat="1" ht="19.5" customHeight="1">
      <c r="A44" s="3671"/>
      <c r="B44" s="3232" t="s">
        <v>2968</v>
      </c>
      <c r="C44" s="804" t="s">
        <v>3007</v>
      </c>
      <c r="D44" s="805"/>
      <c r="E44" s="3223">
        <v>2</v>
      </c>
      <c r="F44" s="3222" t="s">
        <v>3008</v>
      </c>
      <c r="G44" s="806"/>
      <c r="H44" s="800"/>
      <c r="I44" s="800"/>
    </row>
    <row r="45" spans="1:9" s="807" customFormat="1" ht="19.5" customHeight="1">
      <c r="A45" s="3671"/>
      <c r="B45" s="3662" t="s">
        <v>3009</v>
      </c>
      <c r="C45" s="804" t="s">
        <v>3010</v>
      </c>
      <c r="D45" s="805"/>
      <c r="E45" s="3223">
        <v>1</v>
      </c>
      <c r="F45" s="3222" t="s">
        <v>3011</v>
      </c>
      <c r="G45" s="806"/>
      <c r="H45" s="800"/>
      <c r="I45" s="800"/>
    </row>
    <row r="46" spans="1:9" s="807" customFormat="1" ht="19.5" customHeight="1">
      <c r="A46" s="3671"/>
      <c r="B46" s="3664"/>
      <c r="C46" s="804" t="s">
        <v>3012</v>
      </c>
      <c r="D46" s="805"/>
      <c r="E46" s="3223">
        <v>1</v>
      </c>
      <c r="F46" s="3222" t="s">
        <v>3013</v>
      </c>
      <c r="G46" s="806"/>
      <c r="H46" s="800"/>
      <c r="I46" s="800"/>
    </row>
    <row r="47" spans="1:9" s="807" customFormat="1" ht="19.5" customHeight="1">
      <c r="A47" s="3671"/>
      <c r="B47" s="3664"/>
      <c r="C47" s="804" t="s">
        <v>3014</v>
      </c>
      <c r="D47" s="805"/>
      <c r="E47" s="3223">
        <v>1</v>
      </c>
      <c r="F47" s="3222" t="s">
        <v>3015</v>
      </c>
      <c r="G47" s="806"/>
      <c r="H47" s="800"/>
      <c r="I47" s="800"/>
    </row>
    <row r="48" spans="1:9" s="807" customFormat="1" ht="19.5" customHeight="1">
      <c r="A48" s="3671"/>
      <c r="B48" s="3664"/>
      <c r="C48" s="804" t="s">
        <v>3016</v>
      </c>
      <c r="D48" s="805"/>
      <c r="E48" s="3223">
        <v>1</v>
      </c>
      <c r="F48" s="3222" t="s">
        <v>3017</v>
      </c>
      <c r="G48" s="806"/>
      <c r="H48" s="800"/>
      <c r="I48" s="800"/>
    </row>
    <row r="49" spans="1:9" s="807" customFormat="1" ht="19.5" customHeight="1">
      <c r="A49" s="3671"/>
      <c r="B49" s="3664"/>
      <c r="C49" s="804" t="s">
        <v>3018</v>
      </c>
      <c r="D49" s="805"/>
      <c r="E49" s="3223">
        <v>1</v>
      </c>
      <c r="F49" s="3222" t="s">
        <v>3019</v>
      </c>
      <c r="G49" s="806"/>
      <c r="H49" s="800"/>
      <c r="I49" s="800"/>
    </row>
    <row r="50" spans="1:9" s="807" customFormat="1" ht="19.5" customHeight="1">
      <c r="A50" s="3671"/>
      <c r="B50" s="3664"/>
      <c r="C50" s="804" t="s">
        <v>3020</v>
      </c>
      <c r="D50" s="805"/>
      <c r="E50" s="3223">
        <v>1</v>
      </c>
      <c r="F50" s="3222" t="s">
        <v>3021</v>
      </c>
      <c r="G50" s="806"/>
      <c r="H50" s="800"/>
      <c r="I50" s="800"/>
    </row>
    <row r="51" spans="1:9" s="807" customFormat="1" ht="19.5" customHeight="1" thickBot="1">
      <c r="A51" s="3672"/>
      <c r="B51" s="3666"/>
      <c r="C51" s="3224" t="s">
        <v>3022</v>
      </c>
      <c r="D51" s="3225"/>
      <c r="E51" s="3226">
        <v>1</v>
      </c>
      <c r="F51" s="3222"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12">
        <v>0.7</v>
      </c>
      <c r="C57" s="3212">
        <v>0.4</v>
      </c>
      <c r="D57" s="3212">
        <v>0.3</v>
      </c>
      <c r="E57" s="3218">
        <v>0.3</v>
      </c>
      <c r="F57" s="3212">
        <v>0.3</v>
      </c>
      <c r="G57" s="3212">
        <v>0.2</v>
      </c>
      <c r="I57" s="754"/>
    </row>
    <row r="58" spans="1:9" ht="19.5" customHeight="1">
      <c r="A58" s="813" t="s">
        <v>158</v>
      </c>
      <c r="B58" s="3212">
        <v>0.7</v>
      </c>
      <c r="C58" s="3212">
        <v>0.4</v>
      </c>
      <c r="D58" s="3212">
        <v>0.3</v>
      </c>
      <c r="E58" s="3212">
        <v>0.3</v>
      </c>
      <c r="F58" s="3212">
        <v>0.3</v>
      </c>
      <c r="G58" s="3212">
        <v>0.2</v>
      </c>
      <c r="I58" s="754"/>
    </row>
    <row r="59" spans="1:9" ht="19.5" customHeight="1">
      <c r="A59" s="813" t="s">
        <v>159</v>
      </c>
      <c r="B59" s="3212">
        <v>0.6</v>
      </c>
      <c r="C59" s="3212">
        <v>0.3</v>
      </c>
      <c r="D59" s="3212">
        <v>0.25</v>
      </c>
      <c r="E59" s="3212">
        <v>0.25</v>
      </c>
      <c r="F59" s="3212">
        <v>0.25</v>
      </c>
      <c r="G59" s="3212">
        <v>0.15</v>
      </c>
      <c r="I59" s="754"/>
    </row>
    <row r="60" spans="1:9" ht="19.5" customHeight="1">
      <c r="A60" s="813" t="s">
        <v>160</v>
      </c>
      <c r="B60" s="3212">
        <v>0.6</v>
      </c>
      <c r="C60" s="3212">
        <v>0.3</v>
      </c>
      <c r="D60" s="3212">
        <v>0.25</v>
      </c>
      <c r="E60" s="3212">
        <v>0.25</v>
      </c>
      <c r="F60" s="3212">
        <v>0.25</v>
      </c>
      <c r="G60" s="3212">
        <v>0.15</v>
      </c>
      <c r="I60" s="754"/>
    </row>
    <row r="61" spans="1:9" s="800" customFormat="1" ht="19.5" customHeight="1">
      <c r="A61" s="813" t="s">
        <v>161</v>
      </c>
      <c r="B61" s="3212">
        <v>0.6</v>
      </c>
      <c r="C61" s="3212">
        <v>0.3</v>
      </c>
      <c r="D61" s="3212">
        <v>0.25</v>
      </c>
      <c r="E61" s="3212">
        <v>0.25</v>
      </c>
      <c r="F61" s="3212">
        <v>0.25</v>
      </c>
      <c r="G61" s="3212">
        <v>0.15</v>
      </c>
    </row>
    <row r="62" spans="1:9" s="800" customFormat="1" ht="19.5" customHeight="1">
      <c r="A62" s="813" t="s">
        <v>162</v>
      </c>
      <c r="B62" s="3212">
        <v>0.6</v>
      </c>
      <c r="C62" s="3212">
        <v>0.3</v>
      </c>
      <c r="D62" s="3212">
        <v>0.25</v>
      </c>
      <c r="E62" s="3212">
        <v>0.25</v>
      </c>
      <c r="F62" s="3212">
        <v>0.25</v>
      </c>
      <c r="G62" s="3212">
        <v>0.15</v>
      </c>
    </row>
    <row r="63" spans="1:9" s="800" customFormat="1" ht="19.5" customHeight="1">
      <c r="A63" s="813" t="s">
        <v>163</v>
      </c>
      <c r="B63" s="3212">
        <v>0.6</v>
      </c>
      <c r="C63" s="3212">
        <v>0.3</v>
      </c>
      <c r="D63" s="3212">
        <v>0.25</v>
      </c>
      <c r="E63" s="3212">
        <v>0.25</v>
      </c>
      <c r="F63" s="3212">
        <v>0.25</v>
      </c>
      <c r="G63" s="3212">
        <v>0.15</v>
      </c>
    </row>
    <row r="64" spans="1:9" s="800" customFormat="1" ht="19.5" customHeight="1">
      <c r="A64" s="813" t="s">
        <v>164</v>
      </c>
      <c r="B64" s="3212">
        <v>0.5</v>
      </c>
      <c r="C64" s="3212">
        <v>0.2</v>
      </c>
      <c r="D64" s="3212">
        <v>0.2</v>
      </c>
      <c r="E64" s="3212">
        <v>0.2</v>
      </c>
      <c r="F64" s="3212">
        <v>0.2</v>
      </c>
      <c r="G64" s="3212">
        <v>0.1</v>
      </c>
    </row>
    <row r="65" spans="1:7" s="800" customFormat="1" ht="19.5" customHeight="1">
      <c r="A65" s="813" t="s">
        <v>165</v>
      </c>
      <c r="B65" s="3212">
        <v>0.5</v>
      </c>
      <c r="C65" s="3212">
        <v>0.2</v>
      </c>
      <c r="D65" s="3212">
        <v>0.2</v>
      </c>
      <c r="E65" s="3212">
        <v>0.2</v>
      </c>
      <c r="F65" s="3212">
        <v>0.2</v>
      </c>
      <c r="G65" s="3212">
        <v>0.1</v>
      </c>
    </row>
    <row r="66" spans="1:7" s="800" customFormat="1" ht="19.5" customHeight="1">
      <c r="A66" s="813" t="s">
        <v>166</v>
      </c>
      <c r="B66" s="3212">
        <v>0.5</v>
      </c>
      <c r="C66" s="3212">
        <v>0.2</v>
      </c>
      <c r="D66" s="3212">
        <v>0.2</v>
      </c>
      <c r="E66" s="3212">
        <v>0.2</v>
      </c>
      <c r="F66" s="3212">
        <v>0.2</v>
      </c>
      <c r="G66" s="3212">
        <v>0.1</v>
      </c>
    </row>
    <row r="67" spans="1:7" s="800" customFormat="1" ht="19.5" customHeight="1">
      <c r="A67" s="813" t="s">
        <v>167</v>
      </c>
      <c r="B67" s="3212">
        <v>0.5</v>
      </c>
      <c r="C67" s="3212">
        <v>0.2</v>
      </c>
      <c r="D67" s="3212">
        <v>0.2</v>
      </c>
      <c r="E67" s="3212">
        <v>0.2</v>
      </c>
      <c r="F67" s="3212">
        <v>0.2</v>
      </c>
      <c r="G67" s="3212">
        <v>0.1</v>
      </c>
    </row>
    <row r="68" spans="1:7" s="800" customFormat="1" ht="19.5" customHeight="1">
      <c r="A68" s="813" t="s">
        <v>168</v>
      </c>
      <c r="B68" s="3212">
        <v>0.5</v>
      </c>
      <c r="C68" s="3212">
        <v>0.2</v>
      </c>
      <c r="D68" s="3212">
        <v>0.2</v>
      </c>
      <c r="E68" s="3212">
        <v>0.2</v>
      </c>
      <c r="F68" s="3212">
        <v>0.2</v>
      </c>
      <c r="G68" s="321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
      <c r="A72" s="858"/>
      <c r="B72" s="858"/>
      <c r="C72" s="858" t="s">
        <v>3024</v>
      </c>
      <c r="D72" s="858"/>
      <c r="E72" s="815" t="s">
        <v>1</v>
      </c>
      <c r="F72" s="858" t="s">
        <v>1</v>
      </c>
    </row>
    <row r="73" spans="1:7" s="800" customFormat="1" ht="14">
      <c r="A73" s="3232">
        <v>1</v>
      </c>
      <c r="B73" s="3662" t="s">
        <v>3025</v>
      </c>
      <c r="C73" s="3212" t="s">
        <v>3026</v>
      </c>
      <c r="D73" s="3212" t="s">
        <v>3027</v>
      </c>
      <c r="E73" s="3233">
        <v>0.2</v>
      </c>
      <c r="F73" s="3232">
        <v>25</v>
      </c>
    </row>
    <row r="74" spans="1:7" s="800" customFormat="1" ht="26">
      <c r="A74" s="3232">
        <v>2</v>
      </c>
      <c r="B74" s="3664"/>
      <c r="C74" s="3212" t="s">
        <v>3028</v>
      </c>
      <c r="D74" s="3212" t="s">
        <v>3029</v>
      </c>
      <c r="E74" s="3233">
        <v>0.2</v>
      </c>
      <c r="F74" s="3232">
        <v>25</v>
      </c>
    </row>
    <row r="75" spans="1:7" s="800" customFormat="1" ht="26">
      <c r="A75" s="3232">
        <v>3</v>
      </c>
      <c r="B75" s="3664"/>
      <c r="C75" s="3212" t="s">
        <v>3030</v>
      </c>
      <c r="D75" s="3212" t="s">
        <v>3031</v>
      </c>
      <c r="E75" s="3233">
        <v>0.2</v>
      </c>
      <c r="F75" s="3232">
        <v>25</v>
      </c>
    </row>
    <row r="76" spans="1:7" s="800" customFormat="1" ht="14">
      <c r="A76" s="3232">
        <v>4</v>
      </c>
      <c r="B76" s="3664"/>
      <c r="C76" s="3212" t="s">
        <v>3032</v>
      </c>
      <c r="D76" s="3212" t="s">
        <v>3033</v>
      </c>
      <c r="E76" s="3233">
        <v>0.15</v>
      </c>
      <c r="F76" s="3232">
        <v>20</v>
      </c>
    </row>
    <row r="77" spans="1:7" s="800" customFormat="1" ht="26">
      <c r="A77" s="3232">
        <v>5</v>
      </c>
      <c r="B77" s="3664"/>
      <c r="C77" s="3212" t="s">
        <v>3034</v>
      </c>
      <c r="D77" s="3212" t="s">
        <v>3035</v>
      </c>
      <c r="E77" s="3233">
        <v>0.15</v>
      </c>
      <c r="F77" s="3232">
        <v>20</v>
      </c>
    </row>
    <row r="78" spans="1:7" s="800" customFormat="1" ht="26">
      <c r="A78" s="3232">
        <v>6</v>
      </c>
      <c r="B78" s="3664"/>
      <c r="C78" s="3212" t="s">
        <v>3036</v>
      </c>
      <c r="D78" s="3212" t="s">
        <v>3037</v>
      </c>
      <c r="E78" s="3233">
        <v>0.15</v>
      </c>
      <c r="F78" s="3232">
        <v>20</v>
      </c>
    </row>
    <row r="79" spans="1:7" s="800" customFormat="1" ht="26">
      <c r="A79" s="3232">
        <v>7</v>
      </c>
      <c r="B79" s="3664"/>
      <c r="C79" s="3212" t="s">
        <v>3038</v>
      </c>
      <c r="D79" s="3212" t="s">
        <v>3039</v>
      </c>
      <c r="E79" s="3233">
        <v>0.15</v>
      </c>
      <c r="F79" s="3232">
        <v>20</v>
      </c>
    </row>
    <row r="80" spans="1:7" s="800" customFormat="1" ht="26">
      <c r="A80" s="3232">
        <v>8</v>
      </c>
      <c r="B80" s="3664"/>
      <c r="C80" s="3212" t="s">
        <v>3040</v>
      </c>
      <c r="D80" s="3212" t="s">
        <v>3041</v>
      </c>
      <c r="E80" s="3233">
        <v>0.1</v>
      </c>
      <c r="F80" s="3232">
        <v>15</v>
      </c>
    </row>
    <row r="81" spans="1:6" s="800" customFormat="1" ht="26">
      <c r="A81" s="3232">
        <v>9</v>
      </c>
      <c r="B81" s="3664"/>
      <c r="C81" s="3212" t="s">
        <v>3042</v>
      </c>
      <c r="D81" s="3212" t="s">
        <v>3043</v>
      </c>
      <c r="E81" s="3233">
        <v>0.1</v>
      </c>
      <c r="F81" s="3232">
        <v>15</v>
      </c>
    </row>
    <row r="82" spans="1:6" s="800" customFormat="1" ht="26">
      <c r="A82" s="3232">
        <v>10</v>
      </c>
      <c r="B82" s="3664"/>
      <c r="C82" s="3212" t="s">
        <v>3044</v>
      </c>
      <c r="D82" s="3212" t="s">
        <v>3045</v>
      </c>
      <c r="E82" s="3233">
        <v>0.1</v>
      </c>
      <c r="F82" s="3232">
        <v>15</v>
      </c>
    </row>
    <row r="83" spans="1:6" s="800" customFormat="1" ht="26">
      <c r="A83" s="3232">
        <v>11</v>
      </c>
      <c r="B83" s="3664"/>
      <c r="C83" s="3212" t="s">
        <v>3046</v>
      </c>
      <c r="D83" s="3212" t="s">
        <v>3047</v>
      </c>
      <c r="E83" s="3233">
        <v>0.1</v>
      </c>
      <c r="F83" s="3232">
        <v>15</v>
      </c>
    </row>
    <row r="84" spans="1:6" s="800" customFormat="1" ht="26">
      <c r="A84" s="3232">
        <v>12</v>
      </c>
      <c r="B84" s="3664"/>
      <c r="C84" s="3212" t="s">
        <v>3048</v>
      </c>
      <c r="D84" s="3212" t="s">
        <v>3049</v>
      </c>
      <c r="E84" s="3233">
        <v>0.1</v>
      </c>
      <c r="F84" s="3232">
        <v>15</v>
      </c>
    </row>
    <row r="85" spans="1:6" s="800" customFormat="1" ht="26">
      <c r="A85" s="3232">
        <v>13</v>
      </c>
      <c r="B85" s="3664"/>
      <c r="C85" s="3212" t="s">
        <v>3050</v>
      </c>
      <c r="D85" s="3212" t="s">
        <v>3051</v>
      </c>
      <c r="E85" s="3233">
        <v>0.1</v>
      </c>
      <c r="F85" s="3232">
        <v>15</v>
      </c>
    </row>
    <row r="86" spans="1:6" s="800" customFormat="1" ht="26">
      <c r="A86" s="3232">
        <v>14</v>
      </c>
      <c r="B86" s="3664"/>
      <c r="C86" s="3212" t="s">
        <v>3052</v>
      </c>
      <c r="D86" s="3212" t="s">
        <v>3053</v>
      </c>
      <c r="E86" s="3233">
        <v>0.1</v>
      </c>
      <c r="F86" s="3232">
        <v>15</v>
      </c>
    </row>
    <row r="87" spans="1:6" s="800" customFormat="1" ht="26">
      <c r="A87" s="3232">
        <v>15</v>
      </c>
      <c r="B87" s="3664"/>
      <c r="C87" s="3212" t="s">
        <v>3054</v>
      </c>
      <c r="D87" s="3212" t="s">
        <v>3055</v>
      </c>
      <c r="E87" s="3233">
        <v>0.1</v>
      </c>
      <c r="F87" s="3232">
        <v>15</v>
      </c>
    </row>
    <row r="88" spans="1:6" s="800" customFormat="1" ht="26">
      <c r="A88" s="3232">
        <v>16</v>
      </c>
      <c r="B88" s="3664"/>
      <c r="C88" s="3212" t="s">
        <v>3056</v>
      </c>
      <c r="D88" s="3212" t="s">
        <v>3057</v>
      </c>
      <c r="E88" s="3233">
        <v>0.1</v>
      </c>
      <c r="F88" s="3232">
        <v>15</v>
      </c>
    </row>
    <row r="89" spans="1:6" s="800" customFormat="1" ht="26">
      <c r="A89" s="3232">
        <v>17</v>
      </c>
      <c r="B89" s="3663"/>
      <c r="C89" s="3212" t="s">
        <v>3058</v>
      </c>
      <c r="D89" s="3212" t="s">
        <v>3059</v>
      </c>
      <c r="E89" s="3233">
        <v>0.1</v>
      </c>
      <c r="F89" s="3232">
        <v>15</v>
      </c>
    </row>
    <row r="90" spans="1:6" s="800" customFormat="1" ht="14">
      <c r="A90" s="3232">
        <v>18</v>
      </c>
      <c r="B90" s="3662" t="s">
        <v>3060</v>
      </c>
      <c r="C90" s="3212" t="s">
        <v>3061</v>
      </c>
      <c r="D90" s="3212" t="s">
        <v>3062</v>
      </c>
      <c r="E90" s="3233">
        <v>0.2</v>
      </c>
      <c r="F90" s="3232">
        <v>25</v>
      </c>
    </row>
    <row r="91" spans="1:6" s="800" customFormat="1" ht="26">
      <c r="A91" s="3232">
        <v>19</v>
      </c>
      <c r="B91" s="3664"/>
      <c r="C91" s="3212" t="s">
        <v>3063</v>
      </c>
      <c r="D91" s="3212" t="s">
        <v>3064</v>
      </c>
      <c r="E91" s="3233">
        <v>0.2</v>
      </c>
      <c r="F91" s="3232">
        <v>25</v>
      </c>
    </row>
    <row r="92" spans="1:6" s="800" customFormat="1" ht="14">
      <c r="A92" s="3232">
        <v>20</v>
      </c>
      <c r="B92" s="3664"/>
      <c r="C92" s="3212" t="s">
        <v>3065</v>
      </c>
      <c r="D92" s="3212" t="s">
        <v>3066</v>
      </c>
      <c r="E92" s="3233">
        <v>0.15</v>
      </c>
      <c r="F92" s="3232">
        <v>20</v>
      </c>
    </row>
    <row r="93" spans="1:6" s="800" customFormat="1" ht="26">
      <c r="A93" s="3232">
        <v>21</v>
      </c>
      <c r="B93" s="3664"/>
      <c r="C93" s="3212" t="s">
        <v>3067</v>
      </c>
      <c r="D93" s="3212" t="s">
        <v>3068</v>
      </c>
      <c r="E93" s="3233">
        <v>0.15</v>
      </c>
      <c r="F93" s="3232">
        <v>20</v>
      </c>
    </row>
    <row r="94" spans="1:6" s="800" customFormat="1" ht="26">
      <c r="A94" s="3232">
        <v>22</v>
      </c>
      <c r="B94" s="3664"/>
      <c r="C94" s="3212" t="s">
        <v>3069</v>
      </c>
      <c r="D94" s="3212" t="s">
        <v>3070</v>
      </c>
      <c r="E94" s="3233">
        <v>0.15</v>
      </c>
      <c r="F94" s="3232">
        <v>20</v>
      </c>
    </row>
    <row r="95" spans="1:6" s="800" customFormat="1" ht="39">
      <c r="A95" s="3232">
        <v>23</v>
      </c>
      <c r="B95" s="3664"/>
      <c r="C95" s="3212" t="s">
        <v>3071</v>
      </c>
      <c r="D95" s="3212" t="s">
        <v>3072</v>
      </c>
      <c r="E95" s="3233">
        <v>0.15</v>
      </c>
      <c r="F95" s="3232">
        <v>20</v>
      </c>
    </row>
    <row r="96" spans="1:6" s="800" customFormat="1" ht="26">
      <c r="A96" s="3232">
        <v>24</v>
      </c>
      <c r="B96" s="3664"/>
      <c r="C96" s="3212" t="s">
        <v>3073</v>
      </c>
      <c r="D96" s="3212" t="s">
        <v>3074</v>
      </c>
      <c r="E96" s="3233">
        <v>0.1</v>
      </c>
      <c r="F96" s="3232">
        <v>15</v>
      </c>
    </row>
    <row r="97" spans="1:6" s="800" customFormat="1" ht="26">
      <c r="A97" s="3232">
        <v>25</v>
      </c>
      <c r="B97" s="3664"/>
      <c r="C97" s="3212" t="s">
        <v>3075</v>
      </c>
      <c r="D97" s="3212" t="s">
        <v>3076</v>
      </c>
      <c r="E97" s="3233">
        <v>0.1</v>
      </c>
      <c r="F97" s="3232">
        <v>15</v>
      </c>
    </row>
    <row r="98" spans="1:6" s="800" customFormat="1" ht="26">
      <c r="A98" s="3232">
        <v>26</v>
      </c>
      <c r="B98" s="3664"/>
      <c r="C98" s="3212" t="s">
        <v>3077</v>
      </c>
      <c r="D98" s="3212" t="s">
        <v>3078</v>
      </c>
      <c r="E98" s="3233">
        <v>0.1</v>
      </c>
      <c r="F98" s="3232">
        <v>15</v>
      </c>
    </row>
    <row r="99" spans="1:6" s="800" customFormat="1" ht="26">
      <c r="A99" s="3232">
        <v>27</v>
      </c>
      <c r="B99" s="3664"/>
      <c r="C99" s="3212" t="s">
        <v>3079</v>
      </c>
      <c r="D99" s="3212" t="s">
        <v>3080</v>
      </c>
      <c r="E99" s="3233">
        <v>0.1</v>
      </c>
      <c r="F99" s="3232">
        <v>15</v>
      </c>
    </row>
    <row r="100" spans="1:6" s="800" customFormat="1" ht="26">
      <c r="A100" s="3232">
        <v>28</v>
      </c>
      <c r="B100" s="3664"/>
      <c r="C100" s="3212" t="s">
        <v>3081</v>
      </c>
      <c r="D100" s="3212" t="s">
        <v>3082</v>
      </c>
      <c r="E100" s="3233">
        <v>0.1</v>
      </c>
      <c r="F100" s="3232">
        <v>15</v>
      </c>
    </row>
    <row r="101" spans="1:6" s="800" customFormat="1" ht="26">
      <c r="A101" s="3232">
        <v>29</v>
      </c>
      <c r="B101" s="3664"/>
      <c r="C101" s="3212" t="s">
        <v>3083</v>
      </c>
      <c r="D101" s="3212" t="s">
        <v>3084</v>
      </c>
      <c r="E101" s="3233">
        <v>0.1</v>
      </c>
      <c r="F101" s="3232">
        <v>15</v>
      </c>
    </row>
    <row r="102" spans="1:6" s="800" customFormat="1" ht="26">
      <c r="A102" s="3232">
        <v>30</v>
      </c>
      <c r="B102" s="3664"/>
      <c r="C102" s="3212" t="s">
        <v>3085</v>
      </c>
      <c r="D102" s="3212" t="s">
        <v>3086</v>
      </c>
      <c r="E102" s="3233">
        <v>0.1</v>
      </c>
      <c r="F102" s="3232">
        <v>15</v>
      </c>
    </row>
    <row r="103" spans="1:6" s="800" customFormat="1" ht="26">
      <c r="A103" s="3232">
        <v>31</v>
      </c>
      <c r="B103" s="3664"/>
      <c r="C103" s="3212" t="s">
        <v>3087</v>
      </c>
      <c r="D103" s="3212" t="s">
        <v>3088</v>
      </c>
      <c r="E103" s="3233">
        <v>0.1</v>
      </c>
      <c r="F103" s="3232">
        <v>15</v>
      </c>
    </row>
    <row r="104" spans="1:6" s="800" customFormat="1" ht="26">
      <c r="A104" s="3232">
        <v>32</v>
      </c>
      <c r="B104" s="3664"/>
      <c r="C104" s="3212" t="s">
        <v>3089</v>
      </c>
      <c r="D104" s="3212" t="s">
        <v>3090</v>
      </c>
      <c r="E104" s="3233">
        <v>0.1</v>
      </c>
      <c r="F104" s="3232">
        <v>15</v>
      </c>
    </row>
    <row r="105" spans="1:6" s="800" customFormat="1" ht="26">
      <c r="A105" s="3232">
        <v>33</v>
      </c>
      <c r="B105" s="3664"/>
      <c r="C105" s="3212" t="s">
        <v>3091</v>
      </c>
      <c r="D105" s="3212" t="s">
        <v>3092</v>
      </c>
      <c r="E105" s="3233">
        <v>0.1</v>
      </c>
      <c r="F105" s="3232">
        <v>15</v>
      </c>
    </row>
    <row r="106" spans="1:6" s="800" customFormat="1" ht="26">
      <c r="A106" s="3232">
        <v>34</v>
      </c>
      <c r="B106" s="3663"/>
      <c r="C106" s="3212" t="s">
        <v>3093</v>
      </c>
      <c r="D106" s="3212" t="s">
        <v>3094</v>
      </c>
      <c r="E106" s="3233">
        <v>0.1</v>
      </c>
      <c r="F106" s="3232">
        <v>15</v>
      </c>
    </row>
    <row r="107" spans="1:6" s="800" customFormat="1" ht="39">
      <c r="A107" s="3232">
        <v>35</v>
      </c>
      <c r="B107" s="3662" t="s">
        <v>3095</v>
      </c>
      <c r="C107" s="3232" t="s">
        <v>3096</v>
      </c>
      <c r="D107" s="3212" t="s">
        <v>3097</v>
      </c>
      <c r="E107" s="3233">
        <v>0.15</v>
      </c>
      <c r="F107" s="3232">
        <v>20</v>
      </c>
    </row>
    <row r="108" spans="1:6" s="800" customFormat="1" ht="26">
      <c r="A108" s="3232">
        <v>36</v>
      </c>
      <c r="B108" s="3664"/>
      <c r="C108" s="3232" t="s">
        <v>3098</v>
      </c>
      <c r="D108" s="3212" t="s">
        <v>3099</v>
      </c>
      <c r="E108" s="3233">
        <v>0.15</v>
      </c>
      <c r="F108" s="3232">
        <v>20</v>
      </c>
    </row>
    <row r="109" spans="1:6" s="800" customFormat="1" ht="26">
      <c r="A109" s="3232">
        <v>37</v>
      </c>
      <c r="B109" s="3664"/>
      <c r="C109" s="3232" t="s">
        <v>3100</v>
      </c>
      <c r="D109" s="3212" t="s">
        <v>3101</v>
      </c>
      <c r="E109" s="3233">
        <v>0.15</v>
      </c>
      <c r="F109" s="3232">
        <v>20</v>
      </c>
    </row>
    <row r="110" spans="1:6" s="800" customFormat="1" ht="26">
      <c r="A110" s="3232">
        <v>38</v>
      </c>
      <c r="B110" s="3664"/>
      <c r="C110" s="3232" t="s">
        <v>3102</v>
      </c>
      <c r="D110" s="3212" t="s">
        <v>3103</v>
      </c>
      <c r="E110" s="3233">
        <v>0.1</v>
      </c>
      <c r="F110" s="3232">
        <v>15</v>
      </c>
    </row>
    <row r="111" spans="1:6" s="800" customFormat="1" ht="26">
      <c r="A111" s="3232">
        <v>39</v>
      </c>
      <c r="B111" s="3664"/>
      <c r="C111" s="3232" t="s">
        <v>3104</v>
      </c>
      <c r="D111" s="3212" t="s">
        <v>3105</v>
      </c>
      <c r="E111" s="3233">
        <v>0.1</v>
      </c>
      <c r="F111" s="3232">
        <v>15</v>
      </c>
    </row>
    <row r="112" spans="1:6" s="800" customFormat="1" ht="26">
      <c r="A112" s="3232">
        <v>40</v>
      </c>
      <c r="B112" s="3663"/>
      <c r="C112" s="3232" t="s">
        <v>3106</v>
      </c>
      <c r="D112" s="3212" t="s">
        <v>3107</v>
      </c>
      <c r="E112" s="3233">
        <v>0.1</v>
      </c>
      <c r="F112" s="3232">
        <v>15</v>
      </c>
    </row>
    <row r="113" spans="1:6" s="800" customFormat="1" ht="26">
      <c r="A113" s="3232">
        <v>41</v>
      </c>
      <c r="B113" s="3661" t="s">
        <v>3108</v>
      </c>
      <c r="C113" s="3232" t="s">
        <v>3109</v>
      </c>
      <c r="D113" s="3212" t="s">
        <v>3110</v>
      </c>
      <c r="E113" s="3233">
        <v>0.1</v>
      </c>
      <c r="F113" s="3232">
        <v>15</v>
      </c>
    </row>
    <row r="114" spans="1:6" s="800" customFormat="1" ht="26">
      <c r="A114" s="3232">
        <v>42</v>
      </c>
      <c r="B114" s="3661"/>
      <c r="C114" s="3232" t="s">
        <v>3111</v>
      </c>
      <c r="D114" s="3212" t="s">
        <v>3112</v>
      </c>
      <c r="E114" s="3233">
        <v>0.1</v>
      </c>
      <c r="F114" s="3232">
        <v>15</v>
      </c>
    </row>
    <row r="115" spans="1:6" s="800" customFormat="1" ht="26">
      <c r="A115" s="3232">
        <v>43</v>
      </c>
      <c r="B115" s="3661"/>
      <c r="C115" s="3232" t="s">
        <v>3113</v>
      </c>
      <c r="D115" s="3212" t="s">
        <v>3114</v>
      </c>
      <c r="E115" s="3233">
        <v>0.1</v>
      </c>
      <c r="F115" s="3232">
        <v>15</v>
      </c>
    </row>
    <row r="116" spans="1:6" s="800" customFormat="1" ht="26">
      <c r="A116" s="3232">
        <v>44</v>
      </c>
      <c r="B116" s="3662" t="s">
        <v>3115</v>
      </c>
      <c r="C116" s="3232" t="s">
        <v>3116</v>
      </c>
      <c r="D116" s="3212" t="s">
        <v>3117</v>
      </c>
      <c r="E116" s="3233">
        <v>0.1</v>
      </c>
      <c r="F116" s="3232">
        <v>15</v>
      </c>
    </row>
    <row r="117" spans="1:6" s="800" customFormat="1" ht="26">
      <c r="A117" s="3232">
        <v>45</v>
      </c>
      <c r="B117" s="3663"/>
      <c r="C117" s="3212" t="s">
        <v>3118</v>
      </c>
      <c r="D117" s="3212" t="s">
        <v>3119</v>
      </c>
      <c r="E117" s="3233">
        <v>0.1</v>
      </c>
      <c r="F117" s="3232">
        <v>15</v>
      </c>
    </row>
    <row r="118" spans="1:6" s="800" customFormat="1" ht="26">
      <c r="A118" s="3232">
        <v>46</v>
      </c>
      <c r="B118" s="3662" t="s">
        <v>3120</v>
      </c>
      <c r="C118" s="3232" t="s">
        <v>3121</v>
      </c>
      <c r="D118" s="3212" t="s">
        <v>3122</v>
      </c>
      <c r="E118" s="3233">
        <v>0.1</v>
      </c>
      <c r="F118" s="3232">
        <v>15</v>
      </c>
    </row>
    <row r="119" spans="1:6" s="800" customFormat="1" ht="26">
      <c r="A119" s="3232">
        <v>47</v>
      </c>
      <c r="B119" s="3663"/>
      <c r="C119" s="3232" t="s">
        <v>3123</v>
      </c>
      <c r="D119" s="3212" t="s">
        <v>3124</v>
      </c>
      <c r="E119" s="3233">
        <v>0.1</v>
      </c>
      <c r="F119" s="3232">
        <v>15</v>
      </c>
    </row>
    <row r="120" spans="1:6" s="800" customFormat="1" ht="26">
      <c r="A120" s="3232">
        <v>48</v>
      </c>
      <c r="B120" s="3662" t="s">
        <v>3125</v>
      </c>
      <c r="C120" s="3232" t="s">
        <v>3126</v>
      </c>
      <c r="D120" s="3212" t="s">
        <v>3127</v>
      </c>
      <c r="E120" s="3233">
        <v>0.1</v>
      </c>
      <c r="F120" s="3232">
        <v>15</v>
      </c>
    </row>
    <row r="121" spans="1:6" s="800" customFormat="1" ht="26">
      <c r="A121" s="3232">
        <v>49</v>
      </c>
      <c r="B121" s="3663"/>
      <c r="C121" s="3232" t="s">
        <v>3128</v>
      </c>
      <c r="D121" s="3212" t="s">
        <v>3129</v>
      </c>
      <c r="E121" s="3233">
        <v>0.1</v>
      </c>
      <c r="F121" s="3232">
        <v>15</v>
      </c>
    </row>
    <row r="122" spans="1:6" s="800" customFormat="1" ht="26">
      <c r="A122" s="3232">
        <v>50</v>
      </c>
      <c r="B122" s="3661" t="s">
        <v>3130</v>
      </c>
      <c r="C122" s="3232" t="s">
        <v>3131</v>
      </c>
      <c r="D122" s="3212" t="s">
        <v>3132</v>
      </c>
      <c r="E122" s="3233">
        <v>0.1</v>
      </c>
      <c r="F122" s="3232">
        <v>15</v>
      </c>
    </row>
    <row r="123" spans="1:6" s="800" customFormat="1" ht="26">
      <c r="A123" s="3232">
        <v>51</v>
      </c>
      <c r="B123" s="3661"/>
      <c r="C123" s="3232" t="s">
        <v>3133</v>
      </c>
      <c r="D123" s="3212" t="s">
        <v>3134</v>
      </c>
      <c r="E123" s="3233">
        <v>0.1</v>
      </c>
      <c r="F123" s="3232">
        <v>15</v>
      </c>
    </row>
    <row r="124" spans="1:6" s="800" customFormat="1" ht="26">
      <c r="A124" s="3232">
        <v>52</v>
      </c>
      <c r="B124" s="3661" t="s">
        <v>3135</v>
      </c>
      <c r="C124" s="3232" t="s">
        <v>3136</v>
      </c>
      <c r="D124" s="3212" t="s">
        <v>3137</v>
      </c>
      <c r="E124" s="3233">
        <v>0.1</v>
      </c>
      <c r="F124" s="3232">
        <v>15</v>
      </c>
    </row>
    <row r="125" spans="1:6" s="800" customFormat="1" ht="26">
      <c r="A125" s="3232">
        <v>53</v>
      </c>
      <c r="B125" s="3661"/>
      <c r="C125" s="3232" t="s">
        <v>3138</v>
      </c>
      <c r="D125" s="3212" t="s">
        <v>3139</v>
      </c>
      <c r="E125" s="3233">
        <v>0.1</v>
      </c>
      <c r="F125" s="3232">
        <v>15</v>
      </c>
    </row>
    <row r="126" spans="1:6" ht="26">
      <c r="A126" s="3232">
        <v>54</v>
      </c>
      <c r="B126" s="3232" t="s">
        <v>3140</v>
      </c>
      <c r="C126" s="3232" t="s">
        <v>3141</v>
      </c>
      <c r="D126" s="3212" t="s">
        <v>3142</v>
      </c>
      <c r="E126" s="3233">
        <v>0.1</v>
      </c>
      <c r="F126" s="3232">
        <v>15</v>
      </c>
    </row>
    <row r="127" spans="1:6" ht="26">
      <c r="A127" s="3232">
        <v>55</v>
      </c>
      <c r="B127" s="3661" t="s">
        <v>3143</v>
      </c>
      <c r="C127" s="3232" t="s">
        <v>3144</v>
      </c>
      <c r="D127" s="3212" t="s">
        <v>3145</v>
      </c>
      <c r="E127" s="3233">
        <v>0.1</v>
      </c>
      <c r="F127" s="3232">
        <v>15</v>
      </c>
    </row>
    <row r="128" spans="1:6" ht="26">
      <c r="A128" s="3232">
        <v>56</v>
      </c>
      <c r="B128" s="3661"/>
      <c r="C128" s="3232" t="s">
        <v>3146</v>
      </c>
      <c r="D128" s="3212" t="s">
        <v>3147</v>
      </c>
      <c r="E128" s="3233">
        <v>0.1</v>
      </c>
      <c r="F128" s="3232">
        <v>15</v>
      </c>
    </row>
    <row r="129" spans="1:6" ht="26">
      <c r="A129" s="3232">
        <v>57</v>
      </c>
      <c r="B129" s="3661"/>
      <c r="C129" s="3232" t="s">
        <v>3148</v>
      </c>
      <c r="D129" s="3212" t="s">
        <v>3149</v>
      </c>
      <c r="E129" s="3233">
        <v>0.1</v>
      </c>
      <c r="F129" s="3232">
        <v>15</v>
      </c>
    </row>
    <row r="130" spans="1:6" ht="26">
      <c r="A130" s="3232">
        <v>58</v>
      </c>
      <c r="B130" s="3661" t="s">
        <v>3150</v>
      </c>
      <c r="C130" s="3232" t="s">
        <v>3151</v>
      </c>
      <c r="D130" s="3212" t="s">
        <v>3152</v>
      </c>
      <c r="E130" s="3233">
        <v>0.1</v>
      </c>
      <c r="F130" s="3232">
        <v>15</v>
      </c>
    </row>
    <row r="131" spans="1:6" ht="26">
      <c r="A131" s="3232">
        <v>59</v>
      </c>
      <c r="B131" s="3661"/>
      <c r="C131" s="3232" t="s">
        <v>3153</v>
      </c>
      <c r="D131" s="3212" t="s">
        <v>3154</v>
      </c>
      <c r="E131" s="3233">
        <v>0.1</v>
      </c>
      <c r="F131" s="3232">
        <v>15</v>
      </c>
    </row>
    <row r="132" spans="1:6" ht="26">
      <c r="A132" s="3232">
        <v>60</v>
      </c>
      <c r="B132" s="3662" t="s">
        <v>3155</v>
      </c>
      <c r="C132" s="3232" t="s">
        <v>3156</v>
      </c>
      <c r="D132" s="3212" t="s">
        <v>3157</v>
      </c>
      <c r="E132" s="3233">
        <v>0.1</v>
      </c>
      <c r="F132" s="3232">
        <v>15</v>
      </c>
    </row>
    <row r="133" spans="1:6" ht="26">
      <c r="A133" s="3232">
        <v>61</v>
      </c>
      <c r="B133" s="3663"/>
      <c r="C133" s="3232" t="s">
        <v>3158</v>
      </c>
      <c r="D133" s="3212" t="s">
        <v>3159</v>
      </c>
      <c r="E133" s="3233">
        <v>0.1</v>
      </c>
      <c r="F133" s="3232">
        <v>15</v>
      </c>
    </row>
    <row r="134" spans="1:6" ht="26">
      <c r="A134" s="3232">
        <v>62</v>
      </c>
      <c r="B134" s="3232" t="s">
        <v>3160</v>
      </c>
      <c r="C134" s="3232" t="s">
        <v>3161</v>
      </c>
      <c r="D134" s="3212" t="s">
        <v>3162</v>
      </c>
      <c r="E134" s="3233">
        <v>0.1</v>
      </c>
      <c r="F134" s="3232">
        <v>15</v>
      </c>
    </row>
    <row r="135" spans="1:6" ht="26">
      <c r="A135" s="3232">
        <v>63</v>
      </c>
      <c r="B135" s="3661" t="s">
        <v>3163</v>
      </c>
      <c r="C135" s="3232" t="s">
        <v>3164</v>
      </c>
      <c r="D135" s="3212" t="s">
        <v>3165</v>
      </c>
      <c r="E135" s="3233">
        <v>0.1</v>
      </c>
      <c r="F135" s="3232">
        <v>15</v>
      </c>
    </row>
    <row r="136" spans="1:6" ht="26">
      <c r="A136" s="3232">
        <v>64</v>
      </c>
      <c r="B136" s="3661"/>
      <c r="C136" s="3232" t="s">
        <v>3166</v>
      </c>
      <c r="D136" s="3212" t="s">
        <v>3167</v>
      </c>
      <c r="E136" s="3233">
        <v>0.1</v>
      </c>
      <c r="F136" s="3232">
        <v>15</v>
      </c>
    </row>
    <row r="137" spans="1:6" ht="26">
      <c r="A137" s="3232">
        <v>65</v>
      </c>
      <c r="B137" s="3232" t="s">
        <v>3168</v>
      </c>
      <c r="C137" s="3232" t="s">
        <v>3169</v>
      </c>
      <c r="D137" s="3212" t="s">
        <v>3170</v>
      </c>
      <c r="E137" s="3233">
        <v>0.1</v>
      </c>
      <c r="F137" s="3232">
        <v>15</v>
      </c>
    </row>
    <row r="138" spans="1:6" ht="14">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408"/>
  <sheetViews>
    <sheetView workbookViewId="0">
      <selection activeCell="V30" sqref="V30"/>
    </sheetView>
  </sheetViews>
  <sheetFormatPr defaultColWidth="9" defaultRowHeight="14"/>
  <cols>
    <col min="1" max="1" width="9" style="835"/>
    <col min="2" max="16384" width="9" style="818"/>
  </cols>
  <sheetData>
    <row r="1" spans="1:14" ht="1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5">
      <c r="A103" s="816" t="s">
        <v>569</v>
      </c>
      <c r="B103" s="817"/>
      <c r="C103" s="817"/>
      <c r="D103" s="817"/>
      <c r="E103" s="817"/>
      <c r="F103" s="817"/>
      <c r="G103" s="817"/>
      <c r="H103" s="817"/>
      <c r="I103" s="817"/>
      <c r="J103" s="817"/>
      <c r="K103" s="817"/>
      <c r="L103" s="817"/>
      <c r="M103" s="817"/>
      <c r="N103" s="817"/>
    </row>
    <row r="104" spans="1:14" ht="1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2" customWidth="1"/>
    <col min="2" max="2" width="12.453125" style="1612" customWidth="1"/>
    <col min="3" max="3" width="12.08984375" style="1612" customWidth="1"/>
    <col min="4" max="4" width="14.08984375" style="1612" customWidth="1"/>
    <col min="5" max="5" width="12.453125" style="1612" customWidth="1"/>
    <col min="6" max="16384" width="9" style="1612"/>
  </cols>
  <sheetData>
    <row r="1" spans="1:16" ht="21">
      <c r="A1" s="2002" t="s">
        <v>2577</v>
      </c>
      <c r="B1" s="2312"/>
      <c r="C1" s="2312"/>
      <c r="D1" s="2312"/>
      <c r="E1" s="2312"/>
      <c r="F1" s="2969"/>
      <c r="G1" s="2969"/>
      <c r="H1" s="2969"/>
      <c r="I1" s="2969"/>
      <c r="J1" s="2969"/>
      <c r="K1" s="2969"/>
      <c r="L1" s="2969"/>
      <c r="M1" s="2969"/>
      <c r="N1" s="2969"/>
      <c r="O1" s="2969"/>
      <c r="P1" s="2969"/>
    </row>
    <row r="2" spans="1:16" ht="15.5">
      <c r="A2" s="2310" t="s">
        <v>2569</v>
      </c>
      <c r="B2" s="2774" t="e">
        <f ca="1">SUMIF(B6:B13,"&lt;&gt;#ref!",B6:B13)</f>
        <v>#DIV/0!</v>
      </c>
      <c r="C2" s="2310" t="s">
        <v>2570</v>
      </c>
      <c r="D2" s="2310" t="s">
        <v>2571</v>
      </c>
      <c r="E2" s="2784">
        <f ca="1">SUMIF(E6:E13,"&lt;&gt;#ref!",E6:E13)</f>
        <v>0</v>
      </c>
      <c r="F2" s="2969"/>
      <c r="G2" s="2969"/>
      <c r="H2" s="2969"/>
      <c r="I2" s="2969"/>
      <c r="J2" s="2969"/>
      <c r="K2" s="2969"/>
      <c r="L2" s="2969"/>
      <c r="M2" s="2969"/>
      <c r="N2" s="2969"/>
      <c r="O2" s="2969"/>
      <c r="P2" s="2969"/>
    </row>
    <row r="3" spans="1:16" ht="15.5">
      <c r="A3" s="2310" t="s">
        <v>2572</v>
      </c>
      <c r="B3" s="2774" t="e">
        <f ca="1">ROUND(B2*10000/E2,0)</f>
        <v>#DIV/0!</v>
      </c>
      <c r="C3" s="2310" t="s">
        <v>2578</v>
      </c>
      <c r="D3" s="2969"/>
      <c r="E3" s="2969"/>
      <c r="F3" s="2969"/>
      <c r="G3" s="2969"/>
      <c r="H3" s="2969"/>
      <c r="I3" s="2969"/>
      <c r="J3" s="2969"/>
      <c r="K3" s="2969"/>
      <c r="L3" s="2969"/>
      <c r="M3" s="2969"/>
      <c r="N3" s="2969"/>
      <c r="O3" s="2969"/>
      <c r="P3" s="2969"/>
    </row>
    <row r="4" spans="1:16" ht="15.5">
      <c r="A4" s="2970"/>
      <c r="B4" s="2969"/>
      <c r="C4" s="2969"/>
      <c r="D4" s="2969"/>
      <c r="E4" s="2969"/>
      <c r="F4" s="2969"/>
      <c r="G4" s="2969"/>
      <c r="H4" s="2969"/>
      <c r="I4" s="2969"/>
      <c r="J4" s="2969"/>
      <c r="K4" s="2969"/>
      <c r="L4" s="2969"/>
      <c r="M4" s="2969"/>
      <c r="N4" s="2969"/>
      <c r="O4" s="2969"/>
      <c r="P4" s="2969"/>
    </row>
    <row r="5" spans="1:16" ht="30">
      <c r="A5" s="2780" t="s">
        <v>2573</v>
      </c>
      <c r="B5" s="2782" t="s">
        <v>2574</v>
      </c>
      <c r="C5" s="2311"/>
      <c r="D5" s="2969"/>
      <c r="E5" s="2783" t="s">
        <v>2575</v>
      </c>
      <c r="F5" s="2969"/>
      <c r="G5" s="2969"/>
      <c r="H5" s="2969"/>
      <c r="I5" s="2969"/>
      <c r="J5" s="2969"/>
      <c r="K5" s="2969"/>
      <c r="L5" s="2969"/>
      <c r="M5" s="2969"/>
      <c r="N5" s="2969"/>
      <c r="O5" s="2969"/>
      <c r="P5" s="2969"/>
    </row>
    <row r="6" spans="1:16" ht="15.5">
      <c r="A6" s="2781" t="s">
        <v>2576</v>
      </c>
      <c r="B6" s="2774" t="e">
        <f ca="1">SUMIF(INDIRECT("'"&amp;A6&amp;"'"&amp;"!A:A"),"总价",INDIRECT("'"&amp;A6&amp;"'"&amp;"!B:B"))</f>
        <v>#DIV/0!</v>
      </c>
      <c r="C6" s="2310" t="s">
        <v>2570</v>
      </c>
      <c r="D6" s="2969"/>
      <c r="E6" s="2784">
        <f ca="1">SUMIF(INDIRECT("'"&amp;A6&amp;"'"&amp;"!C:C"),"建筑面积",INDIRECT("'"&amp;A6&amp;"'"&amp;"!D:D"))</f>
        <v>0</v>
      </c>
      <c r="F6" s="2969"/>
      <c r="G6" s="2969"/>
      <c r="H6" s="2969"/>
      <c r="I6" s="2969"/>
      <c r="J6" s="2969"/>
      <c r="K6" s="2969"/>
      <c r="L6" s="2969"/>
      <c r="M6" s="2969"/>
      <c r="N6" s="2969"/>
      <c r="O6" s="2969"/>
      <c r="P6" s="2969"/>
    </row>
    <row r="7" spans="1:16" ht="15.5">
      <c r="A7" s="2781"/>
      <c r="B7" s="2774" t="e">
        <f ca="1">SUMIF(INDIRECT("'"&amp;A7&amp;"'"&amp;"!A:A"),"总价",INDIRECT("'"&amp;A7&amp;"'"&amp;"!B:B"))</f>
        <v>#REF!</v>
      </c>
      <c r="C7" s="2310" t="s">
        <v>2570</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5">
      <c r="A8" s="2781"/>
      <c r="B8" s="2774" t="e">
        <f t="shared" ref="B8:B13" ca="1" si="1">SUMIF(INDIRECT("'"&amp;A8&amp;"'"&amp;"!A:A"),"总价",INDIRECT("'"&amp;A8&amp;"'"&amp;"!B:B"))</f>
        <v>#REF!</v>
      </c>
      <c r="C8" s="2310" t="s">
        <v>2570</v>
      </c>
      <c r="D8" s="2969"/>
      <c r="E8" s="2784" t="e">
        <f t="shared" ca="1" si="0"/>
        <v>#REF!</v>
      </c>
      <c r="F8" s="2969"/>
      <c r="G8" s="2969"/>
      <c r="H8" s="2969"/>
      <c r="I8" s="2969"/>
      <c r="J8" s="2969"/>
      <c r="K8" s="2969"/>
      <c r="L8" s="2969"/>
      <c r="M8" s="2969"/>
      <c r="N8" s="2969"/>
      <c r="O8" s="2969"/>
      <c r="P8" s="2969"/>
    </row>
    <row r="9" spans="1:16" ht="15.5">
      <c r="A9" s="2781"/>
      <c r="B9" s="2774" t="e">
        <f t="shared" ca="1" si="1"/>
        <v>#REF!</v>
      </c>
      <c r="C9" s="2310" t="s">
        <v>2570</v>
      </c>
      <c r="D9" s="2969"/>
      <c r="E9" s="2784" t="e">
        <f t="shared" ca="1" si="0"/>
        <v>#REF!</v>
      </c>
      <c r="F9" s="2969"/>
      <c r="G9" s="2969"/>
      <c r="H9" s="2969"/>
      <c r="I9" s="2969"/>
      <c r="J9" s="2969"/>
      <c r="K9" s="2969"/>
      <c r="L9" s="2969"/>
      <c r="M9" s="2969"/>
      <c r="N9" s="2969"/>
      <c r="O9" s="2969"/>
      <c r="P9" s="2969"/>
    </row>
    <row r="10" spans="1:16" ht="15.5">
      <c r="A10" s="2781"/>
      <c r="B10" s="2774" t="e">
        <f t="shared" ca="1" si="1"/>
        <v>#REF!</v>
      </c>
      <c r="C10" s="2310" t="s">
        <v>2570</v>
      </c>
      <c r="D10" s="2969"/>
      <c r="E10" s="2784" t="e">
        <f t="shared" ca="1" si="0"/>
        <v>#REF!</v>
      </c>
      <c r="F10" s="2969"/>
      <c r="G10" s="2969"/>
      <c r="H10" s="2969"/>
      <c r="I10" s="2969"/>
      <c r="J10" s="2969"/>
      <c r="K10" s="2969"/>
      <c r="L10" s="2969"/>
      <c r="M10" s="2969"/>
      <c r="N10" s="2969"/>
      <c r="O10" s="2969"/>
      <c r="P10" s="2969"/>
    </row>
    <row r="11" spans="1:16" ht="15.5">
      <c r="A11" s="2781"/>
      <c r="B11" s="2774" t="e">
        <f t="shared" ca="1" si="1"/>
        <v>#REF!</v>
      </c>
      <c r="C11" s="2310" t="s">
        <v>2570</v>
      </c>
      <c r="D11" s="2969"/>
      <c r="E11" s="2784" t="e">
        <f t="shared" ca="1" si="0"/>
        <v>#REF!</v>
      </c>
      <c r="F11" s="2969"/>
      <c r="G11" s="2969"/>
      <c r="H11" s="2969"/>
      <c r="I11" s="2969"/>
      <c r="J11" s="2969"/>
      <c r="K11" s="2969"/>
      <c r="L11" s="2969"/>
      <c r="M11" s="2969"/>
      <c r="N11" s="2969"/>
      <c r="O11" s="2969"/>
      <c r="P11" s="2969"/>
    </row>
    <row r="12" spans="1:16" ht="15.5">
      <c r="A12" s="2781"/>
      <c r="B12" s="2774" t="e">
        <f t="shared" ca="1" si="1"/>
        <v>#REF!</v>
      </c>
      <c r="C12" s="2310" t="s">
        <v>2570</v>
      </c>
      <c r="D12" s="2969"/>
      <c r="E12" s="2784" t="e">
        <f t="shared" ca="1" si="0"/>
        <v>#REF!</v>
      </c>
      <c r="F12" s="2969"/>
      <c r="G12" s="2969"/>
      <c r="H12" s="2969"/>
      <c r="I12" s="2969"/>
      <c r="J12" s="2969"/>
      <c r="K12" s="2969"/>
      <c r="L12" s="2969"/>
      <c r="M12" s="2969"/>
      <c r="N12" s="2969"/>
      <c r="O12" s="2969"/>
      <c r="P12" s="2969"/>
    </row>
    <row r="13" spans="1:16" ht="15.5">
      <c r="A13" s="2781"/>
      <c r="B13" s="2774" t="e">
        <f t="shared" ca="1" si="1"/>
        <v>#REF!</v>
      </c>
      <c r="C13" s="2310" t="s">
        <v>2570</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xr:uid="{00000000-0002-0000-3400-000000000000}">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AH120"/>
  <sheetViews>
    <sheetView zoomScale="80" zoomScaleNormal="80" workbookViewId="0">
      <selection activeCell="D36" sqref="D36"/>
    </sheetView>
  </sheetViews>
  <sheetFormatPr defaultColWidth="9" defaultRowHeight="12.5"/>
  <cols>
    <col min="1" max="1" width="9" style="2359"/>
    <col min="2" max="6" width="9" style="2359" customWidth="1"/>
    <col min="7" max="7" width="9" style="2397"/>
    <col min="8" max="8" width="9" style="2359"/>
    <col min="9" max="12" width="9" style="2359" customWidth="1"/>
    <col min="13" max="13" width="2.08984375" style="2359" customWidth="1"/>
    <col min="14" max="14" width="9" style="2397" customWidth="1"/>
    <col min="15" max="17" width="9" style="2359" customWidth="1"/>
    <col min="18" max="18" width="2.36328125" style="2359" customWidth="1"/>
    <col min="19" max="19" width="7.08984375" style="2397" customWidth="1"/>
    <col min="20" max="22" width="7.08984375" style="2359" customWidth="1"/>
    <col min="23" max="23" width="24.08984375" style="2359" customWidth="1"/>
    <col min="24" max="25" width="9" style="2359"/>
    <col min="26" max="27" width="11.6328125" style="2359" customWidth="1"/>
    <col min="28" max="28" width="9" style="2359"/>
    <col min="29" max="29" width="2" style="2359" customWidth="1"/>
    <col min="30" max="16384" width="9" style="2359"/>
  </cols>
  <sheetData>
    <row r="1" spans="1:34" s="2338" customFormat="1" ht="13">
      <c r="B1" s="3678" t="s">
        <v>877</v>
      </c>
      <c r="C1" s="3678"/>
      <c r="D1" s="3678"/>
      <c r="E1" s="3678"/>
      <c r="F1" s="3678"/>
      <c r="G1" s="3677" t="s">
        <v>878</v>
      </c>
      <c r="H1" s="3677"/>
      <c r="I1" s="3677"/>
      <c r="J1" s="3677"/>
      <c r="K1" s="3677"/>
      <c r="L1" s="3677"/>
      <c r="N1" s="3677" t="s">
        <v>879</v>
      </c>
      <c r="O1" s="3677"/>
      <c r="P1" s="3677"/>
      <c r="Q1" s="3677"/>
      <c r="S1" s="3677" t="s">
        <v>880</v>
      </c>
      <c r="T1" s="3677"/>
      <c r="U1" s="3677"/>
      <c r="V1" s="3677"/>
      <c r="X1" s="3676" t="s">
        <v>881</v>
      </c>
      <c r="Y1" s="3677"/>
      <c r="Z1" s="3677"/>
      <c r="AA1" s="3677"/>
      <c r="AB1" s="3677"/>
      <c r="AD1" s="3676" t="s">
        <v>882</v>
      </c>
      <c r="AE1" s="3677"/>
      <c r="AF1" s="3677"/>
      <c r="AG1" s="3677"/>
      <c r="AH1" s="3677"/>
    </row>
    <row r="2" spans="1:34" s="2339" customFormat="1" ht="14.5" thickBot="1">
      <c r="B2" s="2340" t="s">
        <v>883</v>
      </c>
      <c r="C2" s="2340" t="s">
        <v>884</v>
      </c>
      <c r="D2" s="2341" t="s">
        <v>885</v>
      </c>
      <c r="E2" s="2341" t="s">
        <v>886</v>
      </c>
      <c r="F2" s="2340" t="s">
        <v>887</v>
      </c>
      <c r="G2" s="2342"/>
      <c r="I2" s="2340" t="s">
        <v>883</v>
      </c>
      <c r="J2" s="2341" t="s">
        <v>1105</v>
      </c>
      <c r="K2" s="2341" t="s">
        <v>572</v>
      </c>
      <c r="L2" s="2340" t="s">
        <v>887</v>
      </c>
      <c r="N2" s="2340" t="s">
        <v>883</v>
      </c>
      <c r="O2" s="2341" t="s">
        <v>1105</v>
      </c>
      <c r="P2" s="2341" t="s">
        <v>572</v>
      </c>
      <c r="Q2" s="2340" t="s">
        <v>887</v>
      </c>
      <c r="S2" s="2340" t="s">
        <v>883</v>
      </c>
      <c r="T2" s="2341" t="s">
        <v>1105</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
      <c r="A3" s="2343" t="s">
        <v>2610</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ht="13">
      <c r="A5" s="2361" t="s">
        <v>2938</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1">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2611</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ht="13">
      <c r="A6" s="2372" t="s">
        <v>2937</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1">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ht="13">
      <c r="A7" s="2372" t="s">
        <v>2814</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6">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ht="13">
      <c r="A8" s="2372" t="s">
        <v>2813</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5">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ht="13">
      <c r="A9" s="2372" t="s">
        <v>2812</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9">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ht="13">
      <c r="A10" s="2372" t="s">
        <v>2810</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8">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ht="13">
      <c r="A11" s="2372" t="s">
        <v>2809</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5">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ht="13">
      <c r="A12" s="2372" t="s">
        <v>2627</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ht="13">
      <c r="A13" s="2372" t="s">
        <v>2625</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ht="13">
      <c r="A14" s="2372" t="s">
        <v>2624</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2623</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ht="13">
      <c r="A16" s="2372" t="s">
        <v>2621</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2619</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ht="13">
      <c r="A18" s="2372" t="s">
        <v>2622</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74">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5" customHeight="1">
      <c r="A19" s="2372" t="s">
        <v>2617</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74"/>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5" customHeight="1">
      <c r="A20" s="2372" t="s">
        <v>2616</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74"/>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2609</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83"/>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ht="13">
      <c r="A22" s="2372" t="s">
        <v>2607</v>
      </c>
      <c r="B22" s="2387">
        <v>439</v>
      </c>
      <c r="C22" s="2387">
        <v>327</v>
      </c>
      <c r="D22" s="2387">
        <f>C22</f>
        <v>327</v>
      </c>
      <c r="E22" s="2387">
        <v>627</v>
      </c>
      <c r="F22" s="2388">
        <v>283</v>
      </c>
      <c r="G22" s="3679">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5" customHeight="1">
      <c r="A23" s="2372" t="s">
        <v>2608</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74"/>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5" customHeight="1">
      <c r="A24" s="2372" t="s">
        <v>1106</v>
      </c>
      <c r="B24" s="2373">
        <f t="shared" si="199"/>
        <v>419.31181600000002</v>
      </c>
      <c r="C24" s="2373">
        <f t="shared" si="200"/>
        <v>313.95436800000004</v>
      </c>
      <c r="D24" s="2373">
        <f t="shared" si="201"/>
        <v>313.95436800000004</v>
      </c>
      <c r="E24" s="2373">
        <f t="shared" si="202"/>
        <v>596.63028431999999</v>
      </c>
      <c r="F24" s="2373">
        <f t="shared" si="203"/>
        <v>274.74220703999998</v>
      </c>
      <c r="G24" s="3674"/>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83"/>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ht="13">
      <c r="A26" s="2372" t="s">
        <v>154</v>
      </c>
      <c r="B26" s="2387">
        <v>392</v>
      </c>
      <c r="C26" s="2387">
        <v>302</v>
      </c>
      <c r="D26" s="2387">
        <f>C26</f>
        <v>302</v>
      </c>
      <c r="E26" s="2387">
        <v>553</v>
      </c>
      <c r="F26" s="2388">
        <v>266</v>
      </c>
      <c r="G26" s="3679">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74"/>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74"/>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75"/>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73">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74"/>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74"/>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75"/>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73">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74"/>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74"/>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75"/>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80">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81"/>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ht="13">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81"/>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82"/>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73">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74"/>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74"/>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 thickBot="1">
      <c r="A45" s="2372" t="s">
        <v>897</v>
      </c>
      <c r="B45" s="2373">
        <f>B44/(1+N44)</f>
        <v>275.19025476197027</v>
      </c>
      <c r="C45" s="2424">
        <v>232</v>
      </c>
      <c r="D45" s="2424">
        <f t="shared" si="213"/>
        <v>232</v>
      </c>
      <c r="E45" s="2373">
        <f t="shared" si="224"/>
        <v>375.65990977608692</v>
      </c>
      <c r="F45" s="2373">
        <f t="shared" si="224"/>
        <v>214.12518283971252</v>
      </c>
      <c r="G45" s="3675"/>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73">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74">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74">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75">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73">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74">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74">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75">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73">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74">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74">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75">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73">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74">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74">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75">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73">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74">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74">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75">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73">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74">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74">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75">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73">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74">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74">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75">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73">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74">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74">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75">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73">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74">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74">
        <v>2003</v>
      </c>
      <c r="H80" s="2385">
        <v>2</v>
      </c>
      <c r="I80" s="2444"/>
      <c r="J80" s="2444"/>
      <c r="K80" s="2444"/>
      <c r="L80" s="2444"/>
      <c r="X80" s="2436"/>
      <c r="Y80" s="2436"/>
      <c r="Z80" s="2436"/>
    </row>
    <row r="81" spans="1:26" ht="13" thickBot="1">
      <c r="A81" s="2372" t="s">
        <v>933</v>
      </c>
      <c r="B81" s="2446">
        <f t="shared" si="249"/>
        <v>107.25</v>
      </c>
      <c r="C81" s="2446">
        <f t="shared" si="249"/>
        <v>108.75</v>
      </c>
      <c r="D81" s="2446">
        <f t="shared" si="213"/>
        <v>108.75</v>
      </c>
      <c r="E81" s="2446">
        <f t="shared" si="250"/>
        <v>105.75</v>
      </c>
      <c r="F81" s="2446">
        <f t="shared" si="250"/>
        <v>102.5</v>
      </c>
      <c r="G81" s="3675">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73">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74">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74">
        <v>2002</v>
      </c>
      <c r="H84" s="2385">
        <v>2</v>
      </c>
      <c r="I84" s="2444"/>
      <c r="J84" s="2444"/>
      <c r="K84" s="2444"/>
      <c r="L84" s="2444"/>
      <c r="X84" s="2436"/>
      <c r="Y84" s="2436"/>
      <c r="Z84" s="2436"/>
    </row>
    <row r="85" spans="1:26" s="2409" customFormat="1" ht="13" thickBot="1">
      <c r="A85" s="2405" t="s">
        <v>937</v>
      </c>
      <c r="B85" s="2412">
        <f t="shared" si="251"/>
        <v>103</v>
      </c>
      <c r="C85" s="2412">
        <f t="shared" si="251"/>
        <v>104</v>
      </c>
      <c r="D85" s="2412">
        <f t="shared" si="213"/>
        <v>104</v>
      </c>
      <c r="E85" s="2412">
        <f t="shared" si="252"/>
        <v>103.5</v>
      </c>
      <c r="F85" s="2412">
        <f t="shared" si="252"/>
        <v>100.5</v>
      </c>
      <c r="G85" s="3675">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ht="13">
      <c r="A88" s="2457" t="s">
        <v>938</v>
      </c>
      <c r="G88" s="2459"/>
      <c r="N88" s="2459"/>
      <c r="S88" s="2459"/>
    </row>
    <row r="89" spans="1:26" s="2458" customFormat="1" ht="13">
      <c r="A89" s="2458" t="s">
        <v>939</v>
      </c>
      <c r="G89" s="2459"/>
      <c r="N89" s="2459"/>
      <c r="S89" s="2459"/>
    </row>
    <row r="90" spans="1:26" s="2458" customFormat="1" ht="13">
      <c r="A90" s="2458" t="s">
        <v>940</v>
      </c>
      <c r="G90" s="2459"/>
      <c r="I90" s="2460"/>
      <c r="J90" s="2460"/>
      <c r="K90" s="2460"/>
      <c r="L90" s="2460"/>
      <c r="N90" s="2461"/>
      <c r="O90" s="2460"/>
      <c r="P90" s="2460"/>
      <c r="Q90" s="2460"/>
      <c r="S90" s="2461"/>
      <c r="T90" s="2460"/>
      <c r="U90" s="2460"/>
      <c r="V90" s="2460"/>
    </row>
    <row r="91" spans="1:26" s="2458" customFormat="1" ht="13">
      <c r="A91" s="2458" t="s">
        <v>941</v>
      </c>
      <c r="G91" s="2459"/>
      <c r="N91" s="2459"/>
      <c r="S91" s="2459"/>
    </row>
    <row r="98" spans="7:22" ht="13" thickBot="1"/>
    <row r="99" spans="7:22" ht="13">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5"/>
  <cols>
    <col min="1" max="1" width="11.453125" style="135"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2579</v>
      </c>
      <c r="C1" s="3687" t="s">
        <v>2580</v>
      </c>
      <c r="D1" s="3688"/>
      <c r="E1" s="3688"/>
      <c r="F1" s="3688"/>
      <c r="G1" s="3688"/>
      <c r="H1" s="3688"/>
      <c r="I1" s="3688"/>
      <c r="J1" s="3688"/>
      <c r="K1" s="3688"/>
      <c r="L1" s="3688"/>
      <c r="M1" s="3688"/>
      <c r="N1" s="3688"/>
      <c r="O1" s="3688"/>
      <c r="P1" s="3688"/>
      <c r="Q1" s="3688"/>
      <c r="R1" s="3688"/>
      <c r="S1" s="3689"/>
      <c r="T1" s="1094" t="s">
        <v>2581</v>
      </c>
    </row>
    <row r="2" spans="1:45" s="663" customFormat="1" ht="13">
      <c r="A2" s="1095"/>
      <c r="B2" s="659" t="s">
        <v>2582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05"/>
      <c r="B5" s="1456" t="s">
        <v>2583</v>
      </c>
      <c r="C5" s="1106"/>
      <c r="D5" s="1107"/>
      <c r="E5" s="1107"/>
      <c r="F5" s="1432"/>
      <c r="G5" s="1432"/>
      <c r="H5" s="1432"/>
      <c r="I5" s="1432"/>
      <c r="J5" s="1432"/>
      <c r="K5" s="1432"/>
      <c r="L5" s="1433"/>
      <c r="M5" s="1434"/>
      <c r="N5" s="1434"/>
      <c r="O5" s="1432"/>
      <c r="P5" s="1432"/>
      <c r="Q5" s="1432"/>
      <c r="R5" s="1432"/>
      <c r="S5" s="1435"/>
      <c r="T5" s="110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05"/>
      <c r="B7" s="1457" t="s">
        <v>2584</v>
      </c>
      <c r="C7" s="1015"/>
      <c r="D7" s="1009"/>
      <c r="E7" s="1009"/>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05"/>
      <c r="B9" s="1457" t="s">
        <v>2585</v>
      </c>
      <c r="C9" s="1015"/>
      <c r="D9" s="1009"/>
      <c r="E9" s="1009"/>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13" t="s">
        <v>2589</v>
      </c>
      <c r="B17" s="2314"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ht="13">
      <c r="A19" s="134"/>
      <c r="B19" s="164"/>
      <c r="C19" s="164"/>
      <c r="D19" s="2315" t="s">
        <v>2591</v>
      </c>
      <c r="E19" s="1474"/>
      <c r="F19" s="1474"/>
      <c r="G19" s="1474"/>
      <c r="H19" s="1170"/>
      <c r="I19" s="164"/>
      <c r="J19" s="164"/>
      <c r="K19" s="164"/>
      <c r="L19" s="164"/>
      <c r="M19" s="164"/>
      <c r="N19" s="164"/>
      <c r="O19" s="164"/>
      <c r="P19" s="164"/>
      <c r="Q19" s="164"/>
      <c r="R19" s="727"/>
      <c r="S19" s="134"/>
    </row>
    <row r="20" spans="1:45" ht="16" thickBot="1">
      <c r="A20" s="671" t="s">
        <v>2592</v>
      </c>
      <c r="B20" s="300" t="e">
        <f ca="1">IF(D20="——",S22,S22-F20)</f>
        <v>#REF!</v>
      </c>
      <c r="C20" s="164"/>
      <c r="D20" s="2316"/>
      <c r="E20" s="1475"/>
      <c r="F20" s="1094" t="e">
        <f ca="1">SUMIF(INDIRECT("'"&amp;H20&amp;"'"&amp;"!A:A"),"承租人权益价值",INDIRECT("'"&amp;H20&amp;"'"&amp;"!c:c"))</f>
        <v>#REF!</v>
      </c>
      <c r="G20" s="1094" t="s">
        <v>2593</v>
      </c>
      <c r="H20" s="2317"/>
      <c r="I20" s="164"/>
      <c r="J20" s="164"/>
      <c r="K20" s="164"/>
      <c r="L20" s="164"/>
      <c r="M20" s="164"/>
      <c r="N20" s="164"/>
      <c r="O20" s="164"/>
      <c r="P20" s="164"/>
      <c r="Q20" s="164"/>
      <c r="R20" s="727"/>
      <c r="S20" s="134"/>
    </row>
    <row r="21" spans="1:45" ht="15.5">
      <c r="A21" s="671" t="s">
        <v>2594</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2595</v>
      </c>
      <c r="B22" s="24">
        <f>SUM(B24:B10000)</f>
        <v>100</v>
      </c>
      <c r="C22" s="3684" t="s">
        <v>33</v>
      </c>
      <c r="D22" s="3685"/>
      <c r="E22" s="3685"/>
      <c r="F22" s="3685"/>
      <c r="G22" s="3685"/>
      <c r="H22" s="3685"/>
      <c r="I22" s="3685"/>
      <c r="J22" s="3685"/>
      <c r="K22" s="3685"/>
      <c r="L22" s="3685"/>
      <c r="M22" s="3685"/>
      <c r="N22" s="3685"/>
      <c r="O22" s="3685"/>
      <c r="P22" s="3685"/>
      <c r="Q22" s="3686"/>
      <c r="R22" s="672">
        <f>ROUND(S22*10000/B22,0)</f>
        <v>10000</v>
      </c>
      <c r="S22" s="24">
        <f>SUM(S24:S10000)</f>
        <v>100</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3" t="s">
        <v>2599</v>
      </c>
      <c r="S23" s="11"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2601</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600-000000000000}">
      <formula1>一修多修正项2</formula1>
    </dataValidation>
    <dataValidation type="list" allowBlank="1" showInputMessage="1" showErrorMessage="1" sqref="F24:F524" xr:uid="{00000000-0002-0000-3600-000001000000}">
      <formula1>一修多修正项3</formula1>
    </dataValidation>
    <dataValidation type="list" allowBlank="1" showInputMessage="1" showErrorMessage="1" sqref="H24:H524" xr:uid="{00000000-0002-0000-3600-000002000000}">
      <formula1>一修多修正项4</formula1>
    </dataValidation>
    <dataValidation type="list" allowBlank="1" showInputMessage="1" showErrorMessage="1" sqref="J24:J524" xr:uid="{00000000-0002-0000-3600-000003000000}">
      <formula1>一修多修正项5</formula1>
    </dataValidation>
    <dataValidation type="list" allowBlank="1" showInputMessage="1" showErrorMessage="1" sqref="L24:L524" xr:uid="{00000000-0002-0000-3600-000004000000}">
      <formula1>一修多修正项6</formula1>
    </dataValidation>
    <dataValidation type="list" allowBlank="1" showInputMessage="1" showErrorMessage="1" sqref="N24:N524" xr:uid="{00000000-0002-0000-3600-000005000000}">
      <formula1>一修多修正项7</formula1>
    </dataValidation>
    <dataValidation type="list" allowBlank="1" showInputMessage="1" showErrorMessage="1" sqref="P24:P524" xr:uid="{00000000-0002-0000-3600-000006000000}">
      <formula1>一修多修正项8</formula1>
    </dataValidation>
    <dataValidation type="list" allowBlank="1" showInputMessage="1" showErrorMessage="1" sqref="D20" xr:uid="{00000000-0002-0000-3600-000007000000}">
      <formula1>"需扣减承租人权益,——"</formula1>
    </dataValidation>
    <dataValidation type="list" allowBlank="1" showInputMessage="1" showErrorMessage="1" sqref="H20" xr:uid="{00000000-0002-0000-3600-000008000000}">
      <formula1>估价方法</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113794</v>
      </c>
      <c r="C2" s="2" t="s">
        <v>133</v>
      </c>
      <c r="D2" s="205"/>
      <c r="E2" s="205"/>
      <c r="F2" s="205"/>
      <c r="G2" s="205"/>
    </row>
    <row r="3" spans="1:7" s="206" customFormat="1" ht="18" customHeight="1" thickBot="1">
      <c r="A3" s="209" t="s">
        <v>85</v>
      </c>
      <c r="B3" s="210">
        <f ca="1">ROUND(B2*10000/'数据-汇总表'!E3,0)</f>
        <v>11540</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ht="13">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160</v>
      </c>
      <c r="F9" s="227"/>
      <c r="G9" s="232"/>
    </row>
    <row r="10" spans="1:7" s="220" customFormat="1" ht="13.5" customHeight="1">
      <c r="A10" s="867" t="s">
        <v>620</v>
      </c>
      <c r="B10" s="230" t="s">
        <v>94</v>
      </c>
      <c r="C10" s="231">
        <f>ROUND(D10*E10/10000,0)</f>
        <v>1972</v>
      </c>
      <c r="D10" s="934">
        <f>'数据-汇总表'!E6</f>
        <v>98604.219999999987</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1972</v>
      </c>
      <c r="D19" s="938">
        <f>'数据-汇总表'!E3</f>
        <v>98604.219999999987</v>
      </c>
      <c r="E19" s="217">
        <f>'数据-取费表'!B31</f>
        <v>200</v>
      </c>
      <c r="F19" s="237"/>
      <c r="G19" s="1" t="s">
        <v>861</v>
      </c>
    </row>
    <row r="20" spans="1:7" s="220" customFormat="1" ht="13.5" customHeight="1">
      <c r="A20" s="865" t="s">
        <v>844</v>
      </c>
      <c r="B20" s="216" t="s">
        <v>104</v>
      </c>
      <c r="C20" s="238">
        <f>ROUND((C5+C19)*F20,0)</f>
        <v>452</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2995</v>
      </c>
      <c r="D22" s="241">
        <f ca="1">C26</f>
        <v>1.2999999999999999E-3</v>
      </c>
      <c r="E22" s="242" t="s">
        <v>126</v>
      </c>
      <c r="F22" s="243">
        <f ca="1">'数据-取费表'!B40</f>
        <v>4.2000000000000003E-2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2707</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259</v>
      </c>
      <c r="D24" s="244"/>
      <c r="E24" s="244"/>
      <c r="F24" s="245"/>
      <c r="G24" s="246" t="s">
        <v>109</v>
      </c>
    </row>
    <row r="25" spans="1:7" s="220" customFormat="1" ht="26">
      <c r="A25" s="868" t="s">
        <v>612</v>
      </c>
      <c r="B25" s="221" t="s">
        <v>845</v>
      </c>
      <c r="C25" s="1217">
        <f ca="1">ROUND(IF('数据-取费表'!B22&lt;=1,C20*F22*'数据-取费表'!B23/2,C20*(POWER((1+F22),'数据-取费表'!B23/2)-1)),0)</f>
        <v>29</v>
      </c>
      <c r="D25" s="244"/>
      <c r="E25" s="247"/>
      <c r="F25" s="245"/>
      <c r="G25" s="248" t="s">
        <v>110</v>
      </c>
    </row>
    <row r="26" spans="1:7" s="220" customFormat="1" ht="13">
      <c r="A26" s="868" t="s">
        <v>614</v>
      </c>
      <c r="B26" s="221" t="s">
        <v>847</v>
      </c>
      <c r="C26" s="244">
        <f ca="1">ROUND(IF('数据-取费表'!B22&lt;=1,F21*F22*'数据-取费表'!B23/2,F21*(POWER((1+F22),'数据-取费表'!B23/2)-1)),4)</f>
        <v>1.2999999999999999E-3</v>
      </c>
      <c r="D26" s="244"/>
      <c r="E26" s="247"/>
      <c r="F26" s="245"/>
      <c r="G26" s="249"/>
    </row>
    <row r="27" spans="1:7" s="220" customFormat="1" ht="27">
      <c r="A27" s="865" t="s">
        <v>606</v>
      </c>
      <c r="B27" s="250" t="s">
        <v>112</v>
      </c>
      <c r="C27" s="251">
        <f>C28</f>
        <v>5067</v>
      </c>
      <c r="D27" s="241">
        <f>C29</f>
        <v>4.4000000000000003E-3</v>
      </c>
      <c r="E27" s="242" t="s">
        <v>126</v>
      </c>
      <c r="F27" s="252">
        <f>'数据-取费表'!Q16</f>
        <v>0.22</v>
      </c>
      <c r="G27" s="253" t="s">
        <v>856</v>
      </c>
    </row>
    <row r="28" spans="1:7" s="220" customFormat="1" ht="13.5" customHeight="1">
      <c r="A28" s="868" t="s">
        <v>613</v>
      </c>
      <c r="B28" s="254" t="s">
        <v>849</v>
      </c>
      <c r="C28" s="255">
        <f>ROUND((C5+C19+C20)*F27*'数据-取费表'!B21/'数据-取费表'!B20,0)</f>
        <v>5067</v>
      </c>
      <c r="D28" s="241"/>
      <c r="E28" s="242"/>
      <c r="F28" s="252"/>
      <c r="G28" s="253"/>
    </row>
    <row r="29" spans="1:7" s="220" customFormat="1" ht="13.5" customHeight="1">
      <c r="A29" s="868" t="s">
        <v>611</v>
      </c>
      <c r="B29" s="254" t="s">
        <v>850</v>
      </c>
      <c r="C29" s="244">
        <f>ROUND(C21*F27*'数据-取费表'!B21/'数据-取费表'!B20,4)</f>
        <v>4.4000000000000003E-3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33765</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57440</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52083</v>
      </c>
      <c r="D34" s="223"/>
      <c r="E34" s="226"/>
      <c r="F34" s="263">
        <f>IF('数据-取费表'!B24=0,1,'数据-取费表'!N16)</f>
        <v>1</v>
      </c>
      <c r="G34" s="225" t="s">
        <v>116</v>
      </c>
    </row>
    <row r="35" spans="1:7" ht="13.5" customHeight="1">
      <c r="A35" s="868" t="s">
        <v>615</v>
      </c>
      <c r="B35" s="221" t="s">
        <v>60</v>
      </c>
      <c r="C35" s="226">
        <f>ROUND(C34*F35,0)</f>
        <v>2604</v>
      </c>
      <c r="D35" s="226"/>
      <c r="E35" s="226"/>
      <c r="F35" s="265">
        <f>'数据-取费表'!B33</f>
        <v>0.05</v>
      </c>
      <c r="G35" s="225" t="s">
        <v>117</v>
      </c>
    </row>
    <row r="36" spans="1:7" ht="26">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1972</v>
      </c>
      <c r="D37" s="223">
        <f>'数据-汇总表'!E3</f>
        <v>98604.219999999987</v>
      </c>
      <c r="E37" s="255">
        <f>'数据-取费表'!B35</f>
        <v>200</v>
      </c>
      <c r="F37" s="265"/>
      <c r="G37" s="267" t="s">
        <v>119</v>
      </c>
    </row>
    <row r="38" spans="1:7" ht="13.5" customHeight="1">
      <c r="A38" s="868" t="s">
        <v>618</v>
      </c>
      <c r="B38" s="221" t="s">
        <v>63</v>
      </c>
      <c r="C38" s="226">
        <f>ROUND(C34*F38,0)</f>
        <v>781</v>
      </c>
      <c r="D38" s="226"/>
      <c r="E38" s="226"/>
      <c r="F38" s="265">
        <f>'数据-取费表'!B36</f>
        <v>1.4999999999999999E-2</v>
      </c>
      <c r="G38" s="225" t="s">
        <v>117</v>
      </c>
    </row>
    <row r="39" spans="1:7" s="220" customFormat="1" ht="13.5" customHeight="1">
      <c r="A39" s="865" t="s">
        <v>602</v>
      </c>
      <c r="B39" s="216" t="s">
        <v>104</v>
      </c>
      <c r="C39" s="238">
        <f>ROUND(C33*F20,0)</f>
        <v>1149</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3729</v>
      </c>
      <c r="D41" s="241">
        <f ca="1">C44</f>
        <v>1.2999999999999999E-3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3656</v>
      </c>
      <c r="D42" s="244"/>
      <c r="E42" s="244"/>
      <c r="F42" s="245"/>
      <c r="G42" s="3371" t="s">
        <v>121</v>
      </c>
    </row>
    <row r="43" spans="1:7" ht="13.5" customHeight="1">
      <c r="A43" s="868" t="s">
        <v>611</v>
      </c>
      <c r="B43" s="221" t="s">
        <v>851</v>
      </c>
      <c r="C43" s="244">
        <f ca="1">ROUND(IF('数据-取费表'!B22&lt;=1,C39*F22*'数据-取费表'!B21/2,C39*(POWER((1+F22),'数据-取费表'!B21/2)-1)),0)</f>
        <v>73</v>
      </c>
      <c r="D43" s="244"/>
      <c r="E43" s="244"/>
      <c r="F43" s="245"/>
      <c r="G43" s="3372"/>
    </row>
    <row r="44" spans="1:7" ht="13.5" customHeight="1">
      <c r="A44" s="868" t="s">
        <v>612</v>
      </c>
      <c r="B44" s="221" t="s">
        <v>853</v>
      </c>
      <c r="C44" s="244">
        <f ca="1">ROUND(IF('数据-取费表'!B22&lt;=1,C40*F22*'数据-取费表'!B21/2,C40*(POWER((1+F22),'数据-取费表'!B21/2)-1)),4)</f>
        <v>1.2999999999999999E-3</v>
      </c>
      <c r="D44" s="244"/>
      <c r="E44" s="244"/>
      <c r="F44" s="245"/>
      <c r="G44" s="3373"/>
    </row>
    <row r="45" spans="1:7" s="220" customFormat="1" ht="13.5" customHeight="1">
      <c r="A45" s="865" t="s">
        <v>605</v>
      </c>
      <c r="B45" s="250" t="s">
        <v>112</v>
      </c>
      <c r="C45" s="251">
        <f>C46</f>
        <v>12890</v>
      </c>
      <c r="D45" s="241">
        <f>C47</f>
        <v>4.4000000000000003E-3</v>
      </c>
      <c r="E45" s="242" t="s">
        <v>129</v>
      </c>
      <c r="F45" s="252"/>
      <c r="G45" s="253" t="s">
        <v>859</v>
      </c>
    </row>
    <row r="46" spans="1:7" s="220" customFormat="1" ht="13.5" customHeight="1">
      <c r="A46" s="868" t="s">
        <v>613</v>
      </c>
      <c r="B46" s="254" t="s">
        <v>852</v>
      </c>
      <c r="C46" s="255">
        <f>ROUND((C33+C39)*F27,0)</f>
        <v>12890</v>
      </c>
      <c r="D46" s="269"/>
      <c r="E46" s="242"/>
      <c r="F46" s="252"/>
      <c r="G46" s="253"/>
    </row>
    <row r="47" spans="1:7" s="220" customFormat="1" ht="13.5" customHeight="1">
      <c r="A47" s="868" t="s">
        <v>611</v>
      </c>
      <c r="B47" s="254" t="s">
        <v>854</v>
      </c>
      <c r="C47" s="244">
        <f>ROUND(C40*F27,4)</f>
        <v>4.4000000000000003E-3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81662</v>
      </c>
      <c r="D49" s="238"/>
      <c r="E49" s="238"/>
      <c r="F49" s="270"/>
      <c r="G49" s="240" t="s">
        <v>860</v>
      </c>
    </row>
    <row r="50" spans="1:7" s="264" customFormat="1" ht="26">
      <c r="A50" s="865" t="s">
        <v>608</v>
      </c>
      <c r="B50" s="216" t="s">
        <v>124</v>
      </c>
      <c r="C50" s="238"/>
      <c r="D50" s="238"/>
      <c r="E50" s="238"/>
      <c r="F50" s="270">
        <f>IF('数据-取费表'!B24=0,'数据-取费表'!N16,1)</f>
        <v>0.98</v>
      </c>
      <c r="G50" s="253" t="s">
        <v>125</v>
      </c>
    </row>
    <row r="51" spans="1:7" ht="16.5" customHeight="1">
      <c r="A51" s="865" t="s">
        <v>609</v>
      </c>
      <c r="B51" s="216" t="s">
        <v>132</v>
      </c>
      <c r="C51" s="238">
        <f ca="1">ROUND(C49*F50,0)</f>
        <v>80029</v>
      </c>
      <c r="D51" s="238"/>
      <c r="E51" s="238"/>
      <c r="F51" s="270"/>
      <c r="G51" s="240" t="s">
        <v>64</v>
      </c>
    </row>
    <row r="52" spans="1:7" s="214" customFormat="1" ht="16.5" thickBot="1">
      <c r="A52" s="271" t="s">
        <v>65</v>
      </c>
      <c r="B52" s="272"/>
      <c r="C52" s="273">
        <f ca="1">C31+C51</f>
        <v>113794</v>
      </c>
      <c r="D52" s="272"/>
      <c r="E52" s="272"/>
      <c r="F52" s="272"/>
      <c r="G52" s="274"/>
    </row>
    <row r="55" spans="1:7" ht="15.5">
      <c r="B55" s="276" t="s">
        <v>66</v>
      </c>
      <c r="C55" s="277"/>
    </row>
    <row r="56" spans="1:7" ht="13">
      <c r="B56" s="279" t="s">
        <v>67</v>
      </c>
      <c r="C56" s="280">
        <f ca="1">ROUND(C51/C52,3)</f>
        <v>0.70299999999999996</v>
      </c>
    </row>
    <row r="57" spans="1:7" ht="13">
      <c r="B57" s="279" t="s">
        <v>68</v>
      </c>
      <c r="C57" s="281">
        <f ca="1">1-C56</f>
        <v>0.29700000000000004</v>
      </c>
    </row>
  </sheetData>
  <mergeCells count="1">
    <mergeCell ref="G42:G44"/>
  </mergeCells>
  <phoneticPr fontId="18" type="noConversion"/>
  <dataValidations count="2">
    <dataValidation type="list" allowBlank="1" showInputMessage="1" showErrorMessage="1" sqref="G19" xr:uid="{00000000-0002-0000-3700-000000000000}">
      <formula1>"已包含在土地取得成本中,未包含在土地取得成本中"</formula1>
    </dataValidation>
    <dataValidation type="list" allowBlank="1" showInputMessage="1" showErrorMessage="1" sqref="G8" xr:uid="{00000000-0002-0000-3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S344"/>
  <sheetViews>
    <sheetView workbookViewId="0">
      <selection activeCell="G224" sqref="G224"/>
    </sheetView>
  </sheetViews>
  <sheetFormatPr defaultColWidth="9" defaultRowHeight="14"/>
  <cols>
    <col min="1" max="1" width="12.6328125" style="793" customWidth="1"/>
    <col min="2" max="5" width="10.08984375" style="751" customWidth="1"/>
    <col min="6" max="6" width="9" style="751"/>
    <col min="7" max="8" width="9" style="766"/>
    <col min="9" max="16384" width="9" style="751"/>
  </cols>
  <sheetData>
    <row r="1" spans="1:19">
      <c r="A1" s="3690" t="s">
        <v>156</v>
      </c>
      <c r="B1" s="3690"/>
      <c r="C1" s="3690"/>
      <c r="D1" s="3690"/>
      <c r="E1" s="3690"/>
      <c r="F1" s="369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5" thickBot="1">
      <c r="A2" s="3691" t="s">
        <v>169</v>
      </c>
      <c r="B2" s="3691"/>
      <c r="C2" s="3691"/>
      <c r="D2" s="3691"/>
      <c r="E2" s="3691"/>
      <c r="F2" s="369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92"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93"/>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344"/>
  <sheetViews>
    <sheetView workbookViewId="0">
      <selection activeCell="F6" sqref="F6"/>
    </sheetView>
  </sheetViews>
  <sheetFormatPr defaultRowHeight="14"/>
  <cols>
    <col min="1" max="1" width="12.6328125" style="793" customWidth="1"/>
    <col min="2" max="2" width="10.08984375" style="751" customWidth="1"/>
  </cols>
  <sheetData>
    <row r="1" spans="1:6">
      <c r="A1" s="3690" t="s">
        <v>658</v>
      </c>
      <c r="B1" s="3690"/>
    </row>
    <row r="2" spans="1:6" ht="14.5" thickBot="1">
      <c r="A2" s="952"/>
      <c r="B2" s="952"/>
    </row>
    <row r="3" spans="1:6" ht="14.5" thickBot="1">
      <c r="A3" s="952"/>
      <c r="B3" s="952"/>
      <c r="C3" s="955" t="s">
        <v>661</v>
      </c>
      <c r="D3" s="955" t="s">
        <v>662</v>
      </c>
      <c r="E3" s="955" t="s">
        <v>663</v>
      </c>
      <c r="F3" s="955" t="s">
        <v>664</v>
      </c>
    </row>
    <row r="4" spans="1:6" ht="14.5" thickBot="1">
      <c r="A4" s="953" t="s">
        <v>659</v>
      </c>
      <c r="B4" s="954" t="s">
        <v>660</v>
      </c>
      <c r="C4" s="955"/>
      <c r="D4" s="955"/>
      <c r="E4" s="955"/>
      <c r="F4" s="955"/>
    </row>
    <row r="5" spans="1:6" ht="14.5" thickBot="1">
      <c r="A5" s="778" t="s">
        <v>665</v>
      </c>
      <c r="B5" s="779" t="s">
        <v>666</v>
      </c>
      <c r="C5" s="956">
        <v>8.8999999999999996E-2</v>
      </c>
      <c r="D5" s="956">
        <v>7.3999999999999996E-2</v>
      </c>
      <c r="E5" s="956">
        <v>7.4999999999999997E-2</v>
      </c>
      <c r="F5" s="957">
        <v>0.1</v>
      </c>
    </row>
    <row r="6" spans="1:6" ht="14.5" thickBot="1">
      <c r="A6" s="778" t="s">
        <v>211</v>
      </c>
      <c r="B6" s="772" t="s">
        <v>667</v>
      </c>
      <c r="C6" s="958">
        <v>0.1</v>
      </c>
      <c r="D6" s="958">
        <v>9.0999999999999998E-2</v>
      </c>
      <c r="E6" s="958">
        <v>9.0999999999999998E-2</v>
      </c>
      <c r="F6" s="959">
        <v>0.1</v>
      </c>
    </row>
    <row r="7" spans="1:6" ht="14.5" thickBot="1">
      <c r="A7" s="778" t="s">
        <v>211</v>
      </c>
      <c r="B7" s="782" t="s">
        <v>200</v>
      </c>
      <c r="C7" s="958">
        <v>8.5999999999999993E-2</v>
      </c>
      <c r="D7" s="958">
        <v>9.6000000000000002E-2</v>
      </c>
      <c r="E7" s="958">
        <v>7.5999999999999998E-2</v>
      </c>
      <c r="F7" s="959">
        <v>0.1</v>
      </c>
    </row>
    <row r="8" spans="1:6" ht="14.5" thickBot="1">
      <c r="A8" s="778" t="s">
        <v>211</v>
      </c>
      <c r="B8" s="772" t="s">
        <v>212</v>
      </c>
      <c r="C8" s="958">
        <v>9.9000000000000005E-2</v>
      </c>
      <c r="D8" s="958">
        <v>9.8000000000000004E-2</v>
      </c>
      <c r="E8" s="958">
        <v>9.8000000000000004E-2</v>
      </c>
      <c r="F8" s="959">
        <v>0.1</v>
      </c>
    </row>
    <row r="9" spans="1:6" ht="14.5" thickBot="1">
      <c r="A9" s="788" t="s">
        <v>211</v>
      </c>
      <c r="B9" s="783" t="s">
        <v>224</v>
      </c>
      <c r="C9" s="960">
        <v>0.05</v>
      </c>
      <c r="D9" s="968"/>
      <c r="E9" s="968"/>
      <c r="F9" s="969"/>
    </row>
    <row r="10" spans="1:6" ht="14.5" thickBot="1">
      <c r="A10" s="778" t="s">
        <v>268</v>
      </c>
      <c r="B10" s="779" t="s">
        <v>668</v>
      </c>
      <c r="C10" s="956">
        <v>8.8999999999999996E-2</v>
      </c>
      <c r="D10" s="956">
        <v>7.2999999999999995E-2</v>
      </c>
      <c r="E10" s="956">
        <v>8.2000000000000003E-2</v>
      </c>
      <c r="F10" s="957">
        <v>0.1</v>
      </c>
    </row>
    <row r="11" spans="1:6" ht="14.5" thickBot="1">
      <c r="A11" s="778" t="s">
        <v>268</v>
      </c>
      <c r="B11" s="782" t="s">
        <v>187</v>
      </c>
      <c r="C11" s="958">
        <v>8.8999999999999996E-2</v>
      </c>
      <c r="D11" s="958">
        <v>7.2999999999999995E-2</v>
      </c>
      <c r="E11" s="958">
        <v>8.2000000000000003E-2</v>
      </c>
      <c r="F11" s="959">
        <v>0.1</v>
      </c>
    </row>
    <row r="12" spans="1:6" ht="14.5" thickBot="1">
      <c r="A12" s="778" t="s">
        <v>268</v>
      </c>
      <c r="B12" s="782" t="s">
        <v>138</v>
      </c>
      <c r="C12" s="958">
        <v>6.0999999999999999E-2</v>
      </c>
      <c r="D12" s="958">
        <v>7.0999999999999994E-2</v>
      </c>
      <c r="E12" s="958">
        <v>9.6000000000000002E-2</v>
      </c>
      <c r="F12" s="959">
        <v>0.1</v>
      </c>
    </row>
    <row r="13" spans="1:6" ht="14.5" thickBot="1">
      <c r="A13" s="778" t="s">
        <v>268</v>
      </c>
      <c r="B13" s="782" t="s">
        <v>213</v>
      </c>
      <c r="C13" s="958">
        <v>6.9000000000000006E-2</v>
      </c>
      <c r="D13" s="958">
        <v>6.5000000000000002E-2</v>
      </c>
      <c r="E13" s="958">
        <v>6.6000000000000003E-2</v>
      </c>
      <c r="F13" s="959">
        <v>0.1</v>
      </c>
    </row>
    <row r="14" spans="1:6" ht="14.5" thickBot="1">
      <c r="A14" s="778" t="s">
        <v>268</v>
      </c>
      <c r="B14" s="782" t="s">
        <v>225</v>
      </c>
      <c r="C14" s="958">
        <v>0.1</v>
      </c>
      <c r="D14" s="958">
        <v>6.5000000000000002E-2</v>
      </c>
      <c r="E14" s="958">
        <v>7.0000000000000007E-2</v>
      </c>
      <c r="F14" s="959">
        <v>0.1</v>
      </c>
    </row>
    <row r="15" spans="1:6" ht="14.5" thickBot="1">
      <c r="A15" s="778" t="s">
        <v>268</v>
      </c>
      <c r="B15" s="782" t="s">
        <v>236</v>
      </c>
      <c r="C15" s="958">
        <v>9.8000000000000004E-2</v>
      </c>
      <c r="D15" s="958">
        <v>8.8999999999999996E-2</v>
      </c>
      <c r="E15" s="958">
        <v>8.8999999999999996E-2</v>
      </c>
      <c r="F15" s="959">
        <v>0.1</v>
      </c>
    </row>
    <row r="16" spans="1:6" ht="14.5" thickBot="1">
      <c r="A16" s="778" t="s">
        <v>268</v>
      </c>
      <c r="B16" s="782" t="s">
        <v>247</v>
      </c>
      <c r="C16" s="958">
        <v>7.0000000000000007E-2</v>
      </c>
      <c r="D16" s="958">
        <v>9.2999999999999999E-2</v>
      </c>
      <c r="E16" s="958">
        <v>9.6000000000000002E-2</v>
      </c>
      <c r="F16" s="959">
        <v>0.1</v>
      </c>
    </row>
    <row r="17" spans="1:6" ht="14.5" thickBot="1">
      <c r="A17" s="778" t="s">
        <v>268</v>
      </c>
      <c r="B17" s="782" t="s">
        <v>258</v>
      </c>
      <c r="C17" s="958">
        <v>9.5000000000000001E-2</v>
      </c>
      <c r="D17" s="958">
        <v>0.1</v>
      </c>
      <c r="E17" s="958">
        <v>0.1</v>
      </c>
      <c r="F17" s="970"/>
    </row>
    <row r="18" spans="1:6" ht="14.5" thickBot="1">
      <c r="A18" s="778" t="s">
        <v>268</v>
      </c>
      <c r="B18" s="782" t="s">
        <v>270</v>
      </c>
      <c r="C18" s="958">
        <v>7.3999999999999996E-2</v>
      </c>
      <c r="D18" s="958">
        <v>9.9000000000000005E-2</v>
      </c>
      <c r="E18" s="958">
        <v>0.1</v>
      </c>
      <c r="F18" s="970"/>
    </row>
    <row r="19" spans="1:6" ht="14.5" thickBot="1">
      <c r="A19" s="778" t="s">
        <v>268</v>
      </c>
      <c r="B19" s="782" t="s">
        <v>280</v>
      </c>
      <c r="C19" s="958">
        <v>9.9000000000000005E-2</v>
      </c>
      <c r="D19" s="958">
        <v>7.5999999999999998E-2</v>
      </c>
      <c r="E19" s="958">
        <v>8.6999999999999994E-2</v>
      </c>
      <c r="F19" s="970"/>
    </row>
    <row r="20" spans="1:6" ht="14.5" thickBot="1">
      <c r="A20" s="778" t="s">
        <v>268</v>
      </c>
      <c r="B20" s="782" t="s">
        <v>290</v>
      </c>
      <c r="C20" s="958">
        <v>9.8000000000000004E-2</v>
      </c>
      <c r="D20" s="958">
        <v>8.5000000000000006E-2</v>
      </c>
      <c r="E20" s="958">
        <v>8.2000000000000003E-2</v>
      </c>
      <c r="F20" s="970"/>
    </row>
    <row r="21" spans="1:6" ht="14.5" thickBot="1">
      <c r="A21" s="778" t="s">
        <v>268</v>
      </c>
      <c r="B21" s="782" t="s">
        <v>300</v>
      </c>
      <c r="C21" s="958">
        <v>6.6000000000000003E-2</v>
      </c>
      <c r="D21" s="958">
        <v>6.4000000000000001E-2</v>
      </c>
      <c r="E21" s="958">
        <v>6.5000000000000002E-2</v>
      </c>
      <c r="F21" s="970"/>
    </row>
    <row r="22" spans="1:6" ht="14.5" thickBot="1">
      <c r="A22" s="778" t="s">
        <v>268</v>
      </c>
      <c r="B22" s="782" t="s">
        <v>669</v>
      </c>
      <c r="C22" s="958">
        <v>0.08</v>
      </c>
      <c r="D22" s="958">
        <v>9.8000000000000004E-2</v>
      </c>
      <c r="E22" s="958">
        <v>9.8000000000000004E-2</v>
      </c>
      <c r="F22" s="970"/>
    </row>
    <row r="23" spans="1:6" ht="14.5" thickBot="1">
      <c r="A23" s="778" t="s">
        <v>268</v>
      </c>
      <c r="B23" s="782" t="s">
        <v>321</v>
      </c>
      <c r="C23" s="958">
        <v>9.9000000000000005E-2</v>
      </c>
      <c r="D23" s="958">
        <v>9.8000000000000004E-2</v>
      </c>
      <c r="E23" s="958">
        <v>9.0999999999999998E-2</v>
      </c>
      <c r="F23" s="970"/>
    </row>
    <row r="24" spans="1:6" ht="14.5" thickBot="1">
      <c r="A24" s="778" t="s">
        <v>268</v>
      </c>
      <c r="B24" s="782" t="s">
        <v>332</v>
      </c>
      <c r="C24" s="958">
        <v>8.8999999999999996E-2</v>
      </c>
      <c r="D24" s="958">
        <v>9.7000000000000003E-2</v>
      </c>
      <c r="E24" s="958">
        <v>7.0000000000000007E-2</v>
      </c>
      <c r="F24" s="970"/>
    </row>
    <row r="25" spans="1:6" ht="14.5" thickBot="1">
      <c r="A25" s="778" t="s">
        <v>268</v>
      </c>
      <c r="B25" s="782" t="s">
        <v>342</v>
      </c>
      <c r="C25" s="958">
        <v>8.8999999999999996E-2</v>
      </c>
      <c r="D25" s="958">
        <v>0.1</v>
      </c>
      <c r="E25" s="958">
        <v>8.1000000000000003E-2</v>
      </c>
      <c r="F25" s="970"/>
    </row>
    <row r="26" spans="1:6" ht="14.5" thickBot="1">
      <c r="A26" s="778" t="s">
        <v>268</v>
      </c>
      <c r="B26" s="782" t="s">
        <v>352</v>
      </c>
      <c r="C26" s="971"/>
      <c r="D26" s="958">
        <v>9.6000000000000002E-2</v>
      </c>
      <c r="E26" s="958">
        <v>9.2999999999999999E-2</v>
      </c>
      <c r="F26" s="970"/>
    </row>
    <row r="27" spans="1:6" ht="14.5" thickBot="1">
      <c r="A27" s="778" t="s">
        <v>268</v>
      </c>
      <c r="B27" s="782" t="s">
        <v>362</v>
      </c>
      <c r="C27" s="971"/>
      <c r="D27" s="958">
        <v>7.5999999999999998E-2</v>
      </c>
      <c r="E27" s="958">
        <v>9.1999999999999998E-2</v>
      </c>
      <c r="F27" s="970"/>
    </row>
    <row r="28" spans="1:6" ht="14.5" thickBot="1">
      <c r="A28" s="788" t="s">
        <v>268</v>
      </c>
      <c r="B28" s="783" t="s">
        <v>372</v>
      </c>
      <c r="C28" s="968"/>
      <c r="D28" s="960">
        <v>7.5999999999999998E-2</v>
      </c>
      <c r="E28" s="960">
        <v>9.1999999999999998E-2</v>
      </c>
      <c r="F28" s="969"/>
    </row>
    <row r="29" spans="1:6" ht="14.5" thickBot="1">
      <c r="A29" s="778" t="s">
        <v>441</v>
      </c>
      <c r="B29" s="779" t="s">
        <v>670</v>
      </c>
      <c r="C29" s="956">
        <v>6.4000000000000001E-2</v>
      </c>
      <c r="D29" s="956">
        <v>6.5000000000000002E-2</v>
      </c>
      <c r="E29" s="956">
        <v>6.9000000000000006E-2</v>
      </c>
      <c r="F29" s="957">
        <v>0.1</v>
      </c>
    </row>
    <row r="30" spans="1:6" ht="14.5" thickBot="1">
      <c r="A30" s="778" t="s">
        <v>441</v>
      </c>
      <c r="B30" s="782" t="s">
        <v>188</v>
      </c>
      <c r="C30" s="958">
        <v>6.4000000000000001E-2</v>
      </c>
      <c r="D30" s="958">
        <v>9.9000000000000005E-2</v>
      </c>
      <c r="E30" s="958">
        <v>0.1</v>
      </c>
      <c r="F30" s="959">
        <v>0.1</v>
      </c>
    </row>
    <row r="31" spans="1:6" ht="14.5" thickBot="1">
      <c r="A31" s="778" t="s">
        <v>441</v>
      </c>
      <c r="B31" s="782" t="s">
        <v>201</v>
      </c>
      <c r="C31" s="958">
        <v>0.1</v>
      </c>
      <c r="D31" s="958">
        <v>9.5000000000000001E-2</v>
      </c>
      <c r="E31" s="958">
        <v>8.8999999999999996E-2</v>
      </c>
      <c r="F31" s="959">
        <v>0.1</v>
      </c>
    </row>
    <row r="32" spans="1:6" ht="14.5" thickBot="1">
      <c r="A32" s="778" t="s">
        <v>441</v>
      </c>
      <c r="B32" s="782" t="s">
        <v>214</v>
      </c>
      <c r="C32" s="958">
        <v>0.05</v>
      </c>
      <c r="D32" s="958">
        <v>0.05</v>
      </c>
      <c r="E32" s="958">
        <v>8.7999999999999995E-2</v>
      </c>
      <c r="F32" s="959">
        <v>0.1</v>
      </c>
    </row>
    <row r="33" spans="1:6" ht="14.5" thickBot="1">
      <c r="A33" s="778" t="s">
        <v>441</v>
      </c>
      <c r="B33" s="782" t="s">
        <v>226</v>
      </c>
      <c r="C33" s="958">
        <v>7.4999999999999997E-2</v>
      </c>
      <c r="D33" s="958">
        <v>9.4E-2</v>
      </c>
      <c r="E33" s="958">
        <v>9.7000000000000003E-2</v>
      </c>
      <c r="F33" s="959">
        <v>0.1</v>
      </c>
    </row>
    <row r="34" spans="1:6" ht="14.5" thickBot="1">
      <c r="A34" s="778" t="s">
        <v>441</v>
      </c>
      <c r="B34" s="782" t="s">
        <v>237</v>
      </c>
      <c r="C34" s="958">
        <v>9.8000000000000004E-2</v>
      </c>
      <c r="D34" s="958">
        <v>8.5999999999999993E-2</v>
      </c>
      <c r="E34" s="958">
        <v>9.7000000000000003E-2</v>
      </c>
      <c r="F34" s="959">
        <v>0.1</v>
      </c>
    </row>
    <row r="35" spans="1:6" ht="14.5" thickBot="1">
      <c r="A35" s="778" t="s">
        <v>441</v>
      </c>
      <c r="B35" s="782" t="s">
        <v>248</v>
      </c>
      <c r="C35" s="958">
        <v>5.8999999999999997E-2</v>
      </c>
      <c r="D35" s="958">
        <v>6.5000000000000002E-2</v>
      </c>
      <c r="E35" s="958">
        <v>7.0000000000000007E-2</v>
      </c>
      <c r="F35" s="959">
        <v>0.1</v>
      </c>
    </row>
    <row r="36" spans="1:6" ht="14.5" thickBot="1">
      <c r="A36" s="778" t="s">
        <v>441</v>
      </c>
      <c r="B36" s="782" t="s">
        <v>259</v>
      </c>
      <c r="C36" s="958">
        <v>6.3E-2</v>
      </c>
      <c r="D36" s="958">
        <v>0.1</v>
      </c>
      <c r="E36" s="958">
        <v>0.1</v>
      </c>
      <c r="F36" s="959">
        <v>0.1</v>
      </c>
    </row>
    <row r="37" spans="1:6" ht="14.5" thickBot="1">
      <c r="A37" s="778" t="s">
        <v>441</v>
      </c>
      <c r="B37" s="782" t="s">
        <v>271</v>
      </c>
      <c r="C37" s="958">
        <v>7.3999999999999996E-2</v>
      </c>
      <c r="D37" s="958">
        <v>0.1</v>
      </c>
      <c r="E37" s="958">
        <v>0.1</v>
      </c>
      <c r="F37" s="959">
        <v>0.1</v>
      </c>
    </row>
    <row r="38" spans="1:6" ht="14.5" thickBot="1">
      <c r="A38" s="778" t="s">
        <v>441</v>
      </c>
      <c r="B38" s="782" t="s">
        <v>281</v>
      </c>
      <c r="C38" s="958">
        <v>0.1</v>
      </c>
      <c r="D38" s="958">
        <v>9.6000000000000002E-2</v>
      </c>
      <c r="E38" s="958">
        <v>9.6000000000000002E-2</v>
      </c>
      <c r="F38" s="970"/>
    </row>
    <row r="39" spans="1:6" ht="14.5" thickBot="1">
      <c r="A39" s="778" t="s">
        <v>441</v>
      </c>
      <c r="B39" s="782" t="s">
        <v>291</v>
      </c>
      <c r="C39" s="958">
        <v>0.1</v>
      </c>
      <c r="D39" s="958">
        <v>9.6000000000000002E-2</v>
      </c>
      <c r="E39" s="958">
        <v>9.6000000000000002E-2</v>
      </c>
      <c r="F39" s="970"/>
    </row>
    <row r="40" spans="1:6" ht="14.5" thickBot="1">
      <c r="A40" s="778" t="s">
        <v>441</v>
      </c>
      <c r="B40" s="782" t="s">
        <v>301</v>
      </c>
      <c r="C40" s="958">
        <v>9.6000000000000002E-2</v>
      </c>
      <c r="D40" s="958">
        <v>0.1</v>
      </c>
      <c r="E40" s="958">
        <v>9.9000000000000005E-2</v>
      </c>
      <c r="F40" s="970"/>
    </row>
    <row r="41" spans="1:6" ht="14.5" thickBot="1">
      <c r="A41" s="778" t="s">
        <v>441</v>
      </c>
      <c r="B41" s="782" t="s">
        <v>311</v>
      </c>
      <c r="C41" s="958">
        <v>9.6000000000000002E-2</v>
      </c>
      <c r="D41" s="958">
        <v>9.8000000000000004E-2</v>
      </c>
      <c r="E41" s="958">
        <v>9.8000000000000004E-2</v>
      </c>
      <c r="F41" s="970"/>
    </row>
    <row r="42" spans="1:6" ht="14.5" thickBot="1">
      <c r="A42" s="778" t="s">
        <v>441</v>
      </c>
      <c r="B42" s="782" t="s">
        <v>322</v>
      </c>
      <c r="C42" s="958">
        <v>0.1</v>
      </c>
      <c r="D42" s="958">
        <v>8.7999999999999995E-2</v>
      </c>
      <c r="E42" s="958">
        <v>0.1</v>
      </c>
      <c r="F42" s="970"/>
    </row>
    <row r="43" spans="1:6" ht="14.5" thickBot="1">
      <c r="A43" s="778" t="s">
        <v>441</v>
      </c>
      <c r="B43" s="782" t="s">
        <v>333</v>
      </c>
      <c r="C43" s="958">
        <v>9.8000000000000004E-2</v>
      </c>
      <c r="D43" s="958">
        <v>9.7000000000000003E-2</v>
      </c>
      <c r="E43" s="958">
        <v>9.6000000000000002E-2</v>
      </c>
      <c r="F43" s="970"/>
    </row>
    <row r="44" spans="1:6" ht="14.5" thickBot="1">
      <c r="A44" s="778" t="s">
        <v>441</v>
      </c>
      <c r="B44" s="782" t="s">
        <v>343</v>
      </c>
      <c r="C44" s="958">
        <v>8.5999999999999993E-2</v>
      </c>
      <c r="D44" s="958">
        <v>7.9000000000000001E-2</v>
      </c>
      <c r="E44" s="958">
        <v>7.0999999999999994E-2</v>
      </c>
      <c r="F44" s="970"/>
    </row>
    <row r="45" spans="1:6" ht="14.5" thickBot="1">
      <c r="A45" s="778" t="s">
        <v>441</v>
      </c>
      <c r="B45" s="782" t="s">
        <v>353</v>
      </c>
      <c r="C45" s="958">
        <v>9.8000000000000004E-2</v>
      </c>
      <c r="D45" s="958">
        <v>9.6000000000000002E-2</v>
      </c>
      <c r="E45" s="958">
        <v>9.6000000000000002E-2</v>
      </c>
      <c r="F45" s="970"/>
    </row>
    <row r="46" spans="1:6" ht="14.5" thickBot="1">
      <c r="A46" s="778" t="s">
        <v>441</v>
      </c>
      <c r="B46" s="782" t="s">
        <v>363</v>
      </c>
      <c r="C46" s="958">
        <v>8.5999999999999993E-2</v>
      </c>
      <c r="D46" s="958">
        <v>9.8000000000000004E-2</v>
      </c>
      <c r="E46" s="958">
        <v>8.7999999999999995E-2</v>
      </c>
      <c r="F46" s="970"/>
    </row>
    <row r="47" spans="1:6" ht="14.5" thickBot="1">
      <c r="A47" s="778" t="s">
        <v>441</v>
      </c>
      <c r="B47" s="782" t="s">
        <v>373</v>
      </c>
      <c r="C47" s="958">
        <v>9.6000000000000002E-2</v>
      </c>
      <c r="D47" s="971"/>
      <c r="E47" s="958">
        <v>6.9000000000000006E-2</v>
      </c>
      <c r="F47" s="970"/>
    </row>
    <row r="48" spans="1:6" ht="14.5" thickBot="1">
      <c r="A48" s="788" t="s">
        <v>441</v>
      </c>
      <c r="B48" s="783" t="s">
        <v>382</v>
      </c>
      <c r="C48" s="960">
        <v>9.8000000000000004E-2</v>
      </c>
      <c r="D48" s="968"/>
      <c r="E48" s="960">
        <v>9.5000000000000001E-2</v>
      </c>
      <c r="F48" s="969"/>
    </row>
    <row r="49" spans="1:6" ht="14.5" thickBot="1">
      <c r="A49" s="778" t="s">
        <v>137</v>
      </c>
      <c r="B49" s="779" t="s">
        <v>671</v>
      </c>
      <c r="C49" s="956">
        <v>9.7000000000000003E-2</v>
      </c>
      <c r="D49" s="956">
        <v>9.5000000000000001E-2</v>
      </c>
      <c r="E49" s="956">
        <v>9.7000000000000003E-2</v>
      </c>
      <c r="F49" s="957">
        <v>0.1</v>
      </c>
    </row>
    <row r="50" spans="1:6" ht="14.5" thickBot="1">
      <c r="A50" s="778" t="s">
        <v>137</v>
      </c>
      <c r="B50" s="772" t="s">
        <v>189</v>
      </c>
      <c r="C50" s="958">
        <v>7.4999999999999997E-2</v>
      </c>
      <c r="D50" s="958">
        <v>9.5000000000000001E-2</v>
      </c>
      <c r="E50" s="958">
        <v>0.1</v>
      </c>
      <c r="F50" s="959">
        <v>0.1</v>
      </c>
    </row>
    <row r="51" spans="1:6" ht="14.5" thickBot="1">
      <c r="A51" s="778" t="s">
        <v>137</v>
      </c>
      <c r="B51" s="772" t="s">
        <v>202</v>
      </c>
      <c r="C51" s="958">
        <v>9.8000000000000004E-2</v>
      </c>
      <c r="D51" s="958">
        <v>8.8999999999999996E-2</v>
      </c>
      <c r="E51" s="958">
        <v>0.1</v>
      </c>
      <c r="F51" s="959">
        <v>0.1</v>
      </c>
    </row>
    <row r="52" spans="1:6" ht="14.5" thickBot="1">
      <c r="A52" s="778" t="s">
        <v>137</v>
      </c>
      <c r="B52" s="772" t="s">
        <v>215</v>
      </c>
      <c r="C52" s="958">
        <v>9.8000000000000004E-2</v>
      </c>
      <c r="D52" s="958">
        <v>9.7000000000000003E-2</v>
      </c>
      <c r="E52" s="958">
        <v>8.1000000000000003E-2</v>
      </c>
      <c r="F52" s="959">
        <v>0.1</v>
      </c>
    </row>
    <row r="53" spans="1:6" ht="14.5" thickBot="1">
      <c r="A53" s="778" t="s">
        <v>137</v>
      </c>
      <c r="B53" s="772" t="s">
        <v>227</v>
      </c>
      <c r="C53" s="958">
        <v>9.7000000000000003E-2</v>
      </c>
      <c r="D53" s="958">
        <v>7.5999999999999998E-2</v>
      </c>
      <c r="E53" s="958">
        <v>7.0999999999999994E-2</v>
      </c>
      <c r="F53" s="959">
        <v>0.1</v>
      </c>
    </row>
    <row r="54" spans="1:6" ht="14.5" thickBot="1">
      <c r="A54" s="778" t="s">
        <v>137</v>
      </c>
      <c r="B54" s="772" t="s">
        <v>238</v>
      </c>
      <c r="C54" s="958">
        <v>7.5999999999999998E-2</v>
      </c>
      <c r="D54" s="958">
        <v>0.1</v>
      </c>
      <c r="E54" s="958">
        <v>9.9000000000000005E-2</v>
      </c>
      <c r="F54" s="959">
        <v>0.1</v>
      </c>
    </row>
    <row r="55" spans="1:6" ht="14.5" thickBot="1">
      <c r="A55" s="778" t="s">
        <v>137</v>
      </c>
      <c r="B55" s="772" t="s">
        <v>249</v>
      </c>
      <c r="C55" s="958">
        <v>0.1</v>
      </c>
      <c r="D55" s="958">
        <v>0.1</v>
      </c>
      <c r="E55" s="958">
        <v>9.6000000000000002E-2</v>
      </c>
      <c r="F55" s="959">
        <v>0.1</v>
      </c>
    </row>
    <row r="56" spans="1:6" ht="14.5" thickBot="1">
      <c r="A56" s="778" t="s">
        <v>137</v>
      </c>
      <c r="B56" s="772" t="s">
        <v>260</v>
      </c>
      <c r="C56" s="958">
        <v>0.1</v>
      </c>
      <c r="D56" s="958">
        <v>9.6000000000000002E-2</v>
      </c>
      <c r="E56" s="958">
        <v>5.1999999999999998E-2</v>
      </c>
      <c r="F56" s="959">
        <v>0.1</v>
      </c>
    </row>
    <row r="57" spans="1:6" ht="14.5" thickBot="1">
      <c r="A57" s="778" t="s">
        <v>137</v>
      </c>
      <c r="B57" s="772" t="s">
        <v>272</v>
      </c>
      <c r="C57" s="958">
        <v>9.7000000000000003E-2</v>
      </c>
      <c r="D57" s="958">
        <v>9.6000000000000002E-2</v>
      </c>
      <c r="E57" s="958">
        <v>9.6000000000000002E-2</v>
      </c>
      <c r="F57" s="959">
        <v>0.1</v>
      </c>
    </row>
    <row r="58" spans="1:6" ht="14.5" thickBot="1">
      <c r="A58" s="778" t="s">
        <v>137</v>
      </c>
      <c r="B58" s="772" t="s">
        <v>282</v>
      </c>
      <c r="C58" s="958">
        <v>9.6000000000000002E-2</v>
      </c>
      <c r="D58" s="958">
        <v>9.9000000000000005E-2</v>
      </c>
      <c r="E58" s="958">
        <v>9.6000000000000002E-2</v>
      </c>
      <c r="F58" s="959">
        <v>0.1</v>
      </c>
    </row>
    <row r="59" spans="1:6" ht="14.5" thickBot="1">
      <c r="A59" s="778" t="s">
        <v>137</v>
      </c>
      <c r="B59" s="772" t="s">
        <v>292</v>
      </c>
      <c r="C59" s="958">
        <v>7.1999999999999995E-2</v>
      </c>
      <c r="D59" s="958">
        <v>9.6000000000000002E-2</v>
      </c>
      <c r="E59" s="958">
        <v>7.0999999999999994E-2</v>
      </c>
      <c r="F59" s="959">
        <v>0.1</v>
      </c>
    </row>
    <row r="60" spans="1:6" ht="14.5" thickBot="1">
      <c r="A60" s="778" t="s">
        <v>137</v>
      </c>
      <c r="B60" s="772" t="s">
        <v>302</v>
      </c>
      <c r="C60" s="958">
        <v>9.6000000000000002E-2</v>
      </c>
      <c r="D60" s="958">
        <v>8.8999999999999996E-2</v>
      </c>
      <c r="E60" s="958">
        <v>9.6000000000000002E-2</v>
      </c>
      <c r="F60" s="959">
        <v>0.1</v>
      </c>
    </row>
    <row r="61" spans="1:6" ht="14.5" thickBot="1">
      <c r="A61" s="778" t="s">
        <v>137</v>
      </c>
      <c r="B61" s="772" t="s">
        <v>312</v>
      </c>
      <c r="C61" s="958">
        <v>8.8999999999999996E-2</v>
      </c>
      <c r="D61" s="958">
        <v>9.8000000000000004E-2</v>
      </c>
      <c r="E61" s="958">
        <v>8.7999999999999995E-2</v>
      </c>
      <c r="F61" s="970"/>
    </row>
    <row r="62" spans="1:6" ht="14.5" thickBot="1">
      <c r="A62" s="778" t="s">
        <v>137</v>
      </c>
      <c r="B62" s="772" t="s">
        <v>323</v>
      </c>
      <c r="C62" s="958">
        <v>9.8000000000000004E-2</v>
      </c>
      <c r="D62" s="958">
        <v>9.2999999999999999E-2</v>
      </c>
      <c r="E62" s="958">
        <v>9.7000000000000003E-2</v>
      </c>
      <c r="F62" s="970"/>
    </row>
    <row r="63" spans="1:6" ht="14.5" thickBot="1">
      <c r="A63" s="778" t="s">
        <v>137</v>
      </c>
      <c r="B63" s="772" t="s">
        <v>334</v>
      </c>
      <c r="C63" s="958">
        <v>9.6000000000000002E-2</v>
      </c>
      <c r="D63" s="958">
        <v>9.8000000000000004E-2</v>
      </c>
      <c r="E63" s="958">
        <v>0.09</v>
      </c>
      <c r="F63" s="970"/>
    </row>
    <row r="64" spans="1:6" ht="14.5" thickBot="1">
      <c r="A64" s="778" t="s">
        <v>137</v>
      </c>
      <c r="B64" s="772" t="s">
        <v>344</v>
      </c>
      <c r="C64" s="958">
        <v>9.9000000000000005E-2</v>
      </c>
      <c r="D64" s="958">
        <v>9.7000000000000003E-2</v>
      </c>
      <c r="E64" s="958">
        <v>9.9000000000000005E-2</v>
      </c>
      <c r="F64" s="970"/>
    </row>
    <row r="65" spans="1:6" ht="14.5" thickBot="1">
      <c r="A65" s="778" t="s">
        <v>137</v>
      </c>
      <c r="B65" s="772" t="s">
        <v>354</v>
      </c>
      <c r="C65" s="958">
        <v>9.8000000000000004E-2</v>
      </c>
      <c r="D65" s="958">
        <v>9.6000000000000002E-2</v>
      </c>
      <c r="E65" s="958">
        <v>9.6000000000000002E-2</v>
      </c>
      <c r="F65" s="970"/>
    </row>
    <row r="66" spans="1:6" ht="14.5" thickBot="1">
      <c r="A66" s="778" t="s">
        <v>137</v>
      </c>
      <c r="B66" s="772" t="s">
        <v>364</v>
      </c>
      <c r="C66" s="958">
        <v>9.6000000000000002E-2</v>
      </c>
      <c r="D66" s="958">
        <v>9.1999999999999998E-2</v>
      </c>
      <c r="E66" s="958">
        <v>9.6000000000000002E-2</v>
      </c>
      <c r="F66" s="970"/>
    </row>
    <row r="67" spans="1:6" ht="14.5" thickBot="1">
      <c r="A67" s="778" t="s">
        <v>137</v>
      </c>
      <c r="B67" s="772" t="s">
        <v>374</v>
      </c>
      <c r="C67" s="958">
        <v>9.4E-2</v>
      </c>
      <c r="D67" s="958">
        <v>0.1</v>
      </c>
      <c r="E67" s="958">
        <v>8.7999999999999995E-2</v>
      </c>
      <c r="F67" s="970"/>
    </row>
    <row r="68" spans="1:6" ht="14.5" thickBot="1">
      <c r="A68" s="778" t="s">
        <v>137</v>
      </c>
      <c r="B68" s="772" t="s">
        <v>383</v>
      </c>
      <c r="C68" s="958">
        <v>0.1</v>
      </c>
      <c r="D68" s="958">
        <v>8.7999999999999995E-2</v>
      </c>
      <c r="E68" s="958">
        <v>9.7000000000000003E-2</v>
      </c>
      <c r="F68" s="970"/>
    </row>
    <row r="69" spans="1:6" ht="14.5" thickBot="1">
      <c r="A69" s="778" t="s">
        <v>137</v>
      </c>
      <c r="B69" s="772" t="s">
        <v>392</v>
      </c>
      <c r="C69" s="958">
        <v>6.4000000000000001E-2</v>
      </c>
      <c r="D69" s="958">
        <v>0.1</v>
      </c>
      <c r="E69" s="958">
        <v>0.1</v>
      </c>
      <c r="F69" s="970"/>
    </row>
    <row r="70" spans="1:6" ht="14.5" thickBot="1">
      <c r="A70" s="778" t="s">
        <v>137</v>
      </c>
      <c r="B70" s="772" t="s">
        <v>400</v>
      </c>
      <c r="C70" s="958">
        <v>9.0999999999999998E-2</v>
      </c>
      <c r="D70" s="971"/>
      <c r="E70" s="971"/>
      <c r="F70" s="970"/>
    </row>
    <row r="71" spans="1:6" ht="14.5" thickBot="1">
      <c r="A71" s="778" t="s">
        <v>137</v>
      </c>
      <c r="B71" s="772" t="s">
        <v>407</v>
      </c>
      <c r="C71" s="958">
        <v>0.1</v>
      </c>
      <c r="D71" s="971"/>
      <c r="E71" s="971"/>
      <c r="F71" s="970"/>
    </row>
    <row r="72" spans="1:6" ht="26.5" thickBot="1">
      <c r="A72" s="778" t="s">
        <v>137</v>
      </c>
      <c r="B72" s="772" t="s">
        <v>672</v>
      </c>
      <c r="C72" s="971"/>
      <c r="D72" s="971"/>
      <c r="E72" s="971"/>
      <c r="F72" s="959">
        <v>0.05</v>
      </c>
    </row>
    <row r="73" spans="1:6" ht="26.5" thickBot="1">
      <c r="A73" s="778" t="s">
        <v>137</v>
      </c>
      <c r="B73" s="772" t="s">
        <v>673</v>
      </c>
      <c r="C73" s="971"/>
      <c r="D73" s="971"/>
      <c r="E73" s="971"/>
      <c r="F73" s="959">
        <v>0.05</v>
      </c>
    </row>
    <row r="74" spans="1:6" ht="26.5" thickBot="1">
      <c r="A74" s="778" t="s">
        <v>137</v>
      </c>
      <c r="B74" s="772" t="s">
        <v>674</v>
      </c>
      <c r="C74" s="971"/>
      <c r="D74" s="971"/>
      <c r="E74" s="971"/>
      <c r="F74" s="959">
        <v>0.05</v>
      </c>
    </row>
    <row r="75" spans="1:6" ht="26.5" thickBot="1">
      <c r="A75" s="788" t="s">
        <v>137</v>
      </c>
      <c r="B75" s="784" t="s">
        <v>675</v>
      </c>
      <c r="C75" s="968"/>
      <c r="D75" s="968"/>
      <c r="E75" s="968"/>
      <c r="F75" s="961">
        <v>0.05</v>
      </c>
    </row>
    <row r="76" spans="1:6" ht="14.5" thickBot="1">
      <c r="A76" s="778" t="s">
        <v>522</v>
      </c>
      <c r="B76" s="779" t="s">
        <v>676</v>
      </c>
      <c r="C76" s="956">
        <v>0.1</v>
      </c>
      <c r="D76" s="956">
        <v>0.1</v>
      </c>
      <c r="E76" s="956">
        <v>0.1</v>
      </c>
      <c r="F76" s="957">
        <v>0.1</v>
      </c>
    </row>
    <row r="77" spans="1:6" ht="14.5" thickBot="1">
      <c r="A77" s="778" t="s">
        <v>522</v>
      </c>
      <c r="B77" s="772" t="s">
        <v>190</v>
      </c>
      <c r="C77" s="958">
        <v>8.7999999999999995E-2</v>
      </c>
      <c r="D77" s="958">
        <v>8.6999999999999994E-2</v>
      </c>
      <c r="E77" s="958">
        <v>7.9000000000000001E-2</v>
      </c>
      <c r="F77" s="959">
        <v>0.1</v>
      </c>
    </row>
    <row r="78" spans="1:6" ht="14.5" thickBot="1">
      <c r="A78" s="778" t="s">
        <v>522</v>
      </c>
      <c r="B78" s="772" t="s">
        <v>203</v>
      </c>
      <c r="C78" s="958">
        <v>8.6999999999999994E-2</v>
      </c>
      <c r="D78" s="958">
        <v>8.4000000000000005E-2</v>
      </c>
      <c r="E78" s="958">
        <v>9.6000000000000002E-2</v>
      </c>
      <c r="F78" s="959">
        <v>0.1</v>
      </c>
    </row>
    <row r="79" spans="1:6" ht="14.5" thickBot="1">
      <c r="A79" s="778" t="s">
        <v>522</v>
      </c>
      <c r="B79" s="772" t="s">
        <v>216</v>
      </c>
      <c r="C79" s="958">
        <v>9.8000000000000004E-2</v>
      </c>
      <c r="D79" s="958">
        <v>9.8000000000000004E-2</v>
      </c>
      <c r="E79" s="958">
        <v>9.0999999999999998E-2</v>
      </c>
      <c r="F79" s="959">
        <v>0.1</v>
      </c>
    </row>
    <row r="80" spans="1:6" ht="14.5" thickBot="1">
      <c r="A80" s="778" t="s">
        <v>522</v>
      </c>
      <c r="B80" s="772" t="s">
        <v>228</v>
      </c>
      <c r="C80" s="958">
        <v>9.6000000000000002E-2</v>
      </c>
      <c r="D80" s="958">
        <v>9.6000000000000002E-2</v>
      </c>
      <c r="E80" s="958">
        <v>0.1</v>
      </c>
      <c r="F80" s="959">
        <v>0.1</v>
      </c>
    </row>
    <row r="81" spans="1:6" ht="14.5" thickBot="1">
      <c r="A81" s="778" t="s">
        <v>522</v>
      </c>
      <c r="B81" s="772" t="s">
        <v>239</v>
      </c>
      <c r="C81" s="958">
        <v>9.9000000000000005E-2</v>
      </c>
      <c r="D81" s="958">
        <v>9.9000000000000005E-2</v>
      </c>
      <c r="E81" s="958">
        <v>9.8000000000000004E-2</v>
      </c>
      <c r="F81" s="959">
        <v>0.1</v>
      </c>
    </row>
    <row r="82" spans="1:6" ht="14.5" thickBot="1">
      <c r="A82" s="778" t="s">
        <v>522</v>
      </c>
      <c r="B82" s="772" t="s">
        <v>250</v>
      </c>
      <c r="C82" s="958">
        <v>9.9000000000000005E-2</v>
      </c>
      <c r="D82" s="958">
        <v>9.9000000000000005E-2</v>
      </c>
      <c r="E82" s="958">
        <v>9.7000000000000003E-2</v>
      </c>
      <c r="F82" s="959">
        <v>0.1</v>
      </c>
    </row>
    <row r="83" spans="1:6" ht="14.5" thickBot="1">
      <c r="A83" s="778" t="s">
        <v>522</v>
      </c>
      <c r="B83" s="772" t="s">
        <v>261</v>
      </c>
      <c r="C83" s="958">
        <v>9.8000000000000004E-2</v>
      </c>
      <c r="D83" s="958">
        <v>9.8000000000000004E-2</v>
      </c>
      <c r="E83" s="958">
        <v>9.8000000000000004E-2</v>
      </c>
      <c r="F83" s="959">
        <v>0.1</v>
      </c>
    </row>
    <row r="84" spans="1:6" ht="14.5" thickBot="1">
      <c r="A84" s="778" t="s">
        <v>522</v>
      </c>
      <c r="B84" s="772" t="s">
        <v>273</v>
      </c>
      <c r="C84" s="958">
        <v>9.9000000000000005E-2</v>
      </c>
      <c r="D84" s="958">
        <v>9.9000000000000005E-2</v>
      </c>
      <c r="E84" s="958">
        <v>9.9000000000000005E-2</v>
      </c>
      <c r="F84" s="959">
        <v>0.1</v>
      </c>
    </row>
    <row r="85" spans="1:6" ht="14.5" thickBot="1">
      <c r="A85" s="778" t="s">
        <v>522</v>
      </c>
      <c r="B85" s="772" t="s">
        <v>283</v>
      </c>
      <c r="C85" s="958">
        <v>9.9000000000000005E-2</v>
      </c>
      <c r="D85" s="958">
        <v>9.9000000000000005E-2</v>
      </c>
      <c r="E85" s="958">
        <v>9.9000000000000005E-2</v>
      </c>
      <c r="F85" s="959">
        <v>0.1</v>
      </c>
    </row>
    <row r="86" spans="1:6" ht="14.5" thickBot="1">
      <c r="A86" s="778" t="s">
        <v>522</v>
      </c>
      <c r="B86" s="772" t="s">
        <v>293</v>
      </c>
      <c r="C86" s="958">
        <v>0.1</v>
      </c>
      <c r="D86" s="958">
        <v>0.1</v>
      </c>
      <c r="E86" s="958">
        <v>7.6999999999999999E-2</v>
      </c>
      <c r="F86" s="959">
        <v>0.1</v>
      </c>
    </row>
    <row r="87" spans="1:6" ht="14.5" thickBot="1">
      <c r="A87" s="778" t="s">
        <v>522</v>
      </c>
      <c r="B87" s="772" t="s">
        <v>303</v>
      </c>
      <c r="C87" s="958">
        <v>0.1</v>
      </c>
      <c r="D87" s="958">
        <v>0.1</v>
      </c>
      <c r="E87" s="958">
        <v>9.8000000000000004E-2</v>
      </c>
      <c r="F87" s="970"/>
    </row>
    <row r="88" spans="1:6" ht="14.5" thickBot="1">
      <c r="A88" s="778" t="s">
        <v>522</v>
      </c>
      <c r="B88" s="772" t="s">
        <v>313</v>
      </c>
      <c r="C88" s="958">
        <v>9.1999999999999998E-2</v>
      </c>
      <c r="D88" s="958">
        <v>8.5000000000000006E-2</v>
      </c>
      <c r="E88" s="958">
        <v>9.6000000000000002E-2</v>
      </c>
      <c r="F88" s="970"/>
    </row>
    <row r="89" spans="1:6" ht="14.5" thickBot="1">
      <c r="A89" s="778" t="s">
        <v>522</v>
      </c>
      <c r="B89" s="772" t="s">
        <v>324</v>
      </c>
      <c r="C89" s="958">
        <v>0.1</v>
      </c>
      <c r="D89" s="958">
        <v>0.1</v>
      </c>
      <c r="E89" s="958">
        <v>9.7000000000000003E-2</v>
      </c>
      <c r="F89" s="970"/>
    </row>
    <row r="90" spans="1:6" ht="14.5" thickBot="1">
      <c r="A90" s="778" t="s">
        <v>522</v>
      </c>
      <c r="B90" s="772" t="s">
        <v>335</v>
      </c>
      <c r="C90" s="958">
        <v>9.8000000000000004E-2</v>
      </c>
      <c r="D90" s="958">
        <v>9.8000000000000004E-2</v>
      </c>
      <c r="E90" s="958">
        <v>8.7999999999999995E-2</v>
      </c>
      <c r="F90" s="970"/>
    </row>
    <row r="91" spans="1:6" ht="14.5" thickBot="1">
      <c r="A91" s="778" t="s">
        <v>522</v>
      </c>
      <c r="B91" s="772" t="s">
        <v>345</v>
      </c>
      <c r="C91" s="958">
        <v>9.9000000000000005E-2</v>
      </c>
      <c r="D91" s="958">
        <v>9.9000000000000005E-2</v>
      </c>
      <c r="E91" s="958">
        <v>9.0999999999999998E-2</v>
      </c>
      <c r="F91" s="970"/>
    </row>
    <row r="92" spans="1:6" ht="14.5" thickBot="1">
      <c r="A92" s="778" t="s">
        <v>522</v>
      </c>
      <c r="B92" s="772" t="s">
        <v>355</v>
      </c>
      <c r="C92" s="958">
        <v>9.6000000000000002E-2</v>
      </c>
      <c r="D92" s="958">
        <v>9.6000000000000002E-2</v>
      </c>
      <c r="E92" s="958">
        <v>7.2999999999999995E-2</v>
      </c>
      <c r="F92" s="970"/>
    </row>
    <row r="93" spans="1:6" ht="14.5" thickBot="1">
      <c r="A93" s="778" t="s">
        <v>522</v>
      </c>
      <c r="B93" s="772" t="s">
        <v>365</v>
      </c>
      <c r="C93" s="958">
        <v>9.6000000000000002E-2</v>
      </c>
      <c r="D93" s="958">
        <v>9.6000000000000002E-2</v>
      </c>
      <c r="E93" s="958">
        <v>9.9000000000000005E-2</v>
      </c>
      <c r="F93" s="970"/>
    </row>
    <row r="94" spans="1:6" ht="14.5" thickBot="1">
      <c r="A94" s="778" t="s">
        <v>522</v>
      </c>
      <c r="B94" s="772" t="s">
        <v>375</v>
      </c>
      <c r="C94" s="958">
        <v>7.5999999999999998E-2</v>
      </c>
      <c r="D94" s="958">
        <v>7.3999999999999996E-2</v>
      </c>
      <c r="E94" s="958">
        <v>9.7000000000000003E-2</v>
      </c>
      <c r="F94" s="970"/>
    </row>
    <row r="95" spans="1:6" ht="14.5" thickBot="1">
      <c r="A95" s="778" t="s">
        <v>522</v>
      </c>
      <c r="B95" s="772" t="s">
        <v>384</v>
      </c>
      <c r="C95" s="958">
        <v>9.9000000000000005E-2</v>
      </c>
      <c r="D95" s="958">
        <v>9.4E-2</v>
      </c>
      <c r="E95" s="958">
        <v>9.6000000000000002E-2</v>
      </c>
      <c r="F95" s="970"/>
    </row>
    <row r="96" spans="1:6" ht="14.5" thickBot="1">
      <c r="A96" s="778" t="s">
        <v>522</v>
      </c>
      <c r="B96" s="772" t="s">
        <v>393</v>
      </c>
      <c r="C96" s="958">
        <v>9.9000000000000005E-2</v>
      </c>
      <c r="D96" s="958">
        <v>9.9000000000000005E-2</v>
      </c>
      <c r="E96" s="958">
        <v>9.9000000000000005E-2</v>
      </c>
      <c r="F96" s="970"/>
    </row>
    <row r="97" spans="1:6" ht="14.5" thickBot="1">
      <c r="A97" s="778" t="s">
        <v>522</v>
      </c>
      <c r="B97" s="772" t="s">
        <v>401</v>
      </c>
      <c r="C97" s="958">
        <v>9.8000000000000004E-2</v>
      </c>
      <c r="D97" s="958">
        <v>9.8000000000000004E-2</v>
      </c>
      <c r="E97" s="958">
        <v>9.7000000000000003E-2</v>
      </c>
      <c r="F97" s="970"/>
    </row>
    <row r="98" spans="1:6" ht="14.5" thickBot="1">
      <c r="A98" s="778" t="s">
        <v>522</v>
      </c>
      <c r="B98" s="772" t="s">
        <v>408</v>
      </c>
      <c r="C98" s="958">
        <v>0.1</v>
      </c>
      <c r="D98" s="958">
        <v>0.1</v>
      </c>
      <c r="E98" s="958">
        <v>9.7000000000000003E-2</v>
      </c>
      <c r="F98" s="970"/>
    </row>
    <row r="99" spans="1:6" ht="14.5" thickBot="1">
      <c r="A99" s="778" t="s">
        <v>522</v>
      </c>
      <c r="B99" s="772" t="s">
        <v>415</v>
      </c>
      <c r="C99" s="958">
        <v>0.1</v>
      </c>
      <c r="D99" s="958">
        <v>0.1</v>
      </c>
      <c r="E99" s="971"/>
      <c r="F99" s="970"/>
    </row>
    <row r="100" spans="1:6" ht="14.5" thickBot="1">
      <c r="A100" s="778" t="s">
        <v>522</v>
      </c>
      <c r="B100" s="772" t="s">
        <v>422</v>
      </c>
      <c r="C100" s="958">
        <v>0.09</v>
      </c>
      <c r="D100" s="958">
        <v>8.8999999999999996E-2</v>
      </c>
      <c r="E100" s="971"/>
      <c r="F100" s="970"/>
    </row>
    <row r="101" spans="1:6" ht="14.5" thickBot="1">
      <c r="A101" s="778" t="s">
        <v>522</v>
      </c>
      <c r="B101" s="772" t="s">
        <v>429</v>
      </c>
      <c r="C101" s="958">
        <v>9.8000000000000004E-2</v>
      </c>
      <c r="D101" s="958">
        <v>9.7000000000000003E-2</v>
      </c>
      <c r="E101" s="971"/>
      <c r="F101" s="970"/>
    </row>
    <row r="102" spans="1:6" ht="26.5" thickBot="1">
      <c r="A102" s="778" t="s">
        <v>522</v>
      </c>
      <c r="B102" s="772" t="s">
        <v>677</v>
      </c>
      <c r="C102" s="971"/>
      <c r="D102" s="971"/>
      <c r="E102" s="971"/>
      <c r="F102" s="959">
        <v>0.05</v>
      </c>
    </row>
    <row r="103" spans="1:6" ht="26.5" thickBot="1">
      <c r="A103" s="778" t="s">
        <v>522</v>
      </c>
      <c r="B103" s="772" t="s">
        <v>678</v>
      </c>
      <c r="C103" s="971"/>
      <c r="D103" s="971"/>
      <c r="E103" s="971"/>
      <c r="F103" s="959">
        <v>0.05</v>
      </c>
    </row>
    <row r="104" spans="1:6" ht="14.5" thickBot="1">
      <c r="A104" s="778" t="s">
        <v>522</v>
      </c>
      <c r="B104" s="772" t="s">
        <v>679</v>
      </c>
      <c r="C104" s="971"/>
      <c r="D104" s="971"/>
      <c r="E104" s="971"/>
      <c r="F104" s="959">
        <v>0.05</v>
      </c>
    </row>
    <row r="105" spans="1:6" ht="26.5" thickBot="1">
      <c r="A105" s="778" t="s">
        <v>522</v>
      </c>
      <c r="B105" s="772" t="s">
        <v>680</v>
      </c>
      <c r="C105" s="971"/>
      <c r="D105" s="971"/>
      <c r="E105" s="971"/>
      <c r="F105" s="959">
        <v>0.05</v>
      </c>
    </row>
    <row r="106" spans="1:6" ht="26.5" thickBot="1">
      <c r="A106" s="778" t="s">
        <v>522</v>
      </c>
      <c r="B106" s="772" t="s">
        <v>681</v>
      </c>
      <c r="C106" s="971"/>
      <c r="D106" s="971"/>
      <c r="E106" s="971"/>
      <c r="F106" s="959">
        <v>0.05</v>
      </c>
    </row>
    <row r="107" spans="1:6" ht="26.5" thickBot="1">
      <c r="A107" s="778" t="s">
        <v>522</v>
      </c>
      <c r="B107" s="772" t="s">
        <v>682</v>
      </c>
      <c r="C107" s="971"/>
      <c r="D107" s="971"/>
      <c r="E107" s="971"/>
      <c r="F107" s="959">
        <v>0.05</v>
      </c>
    </row>
    <row r="108" spans="1:6" ht="26.5" thickBot="1">
      <c r="A108" s="778" t="s">
        <v>522</v>
      </c>
      <c r="B108" s="772" t="s">
        <v>683</v>
      </c>
      <c r="C108" s="971"/>
      <c r="D108" s="971"/>
      <c r="E108" s="971"/>
      <c r="F108" s="959">
        <v>0.05</v>
      </c>
    </row>
    <row r="109" spans="1:6" ht="26.5" thickBot="1">
      <c r="A109" s="788" t="s">
        <v>522</v>
      </c>
      <c r="B109" s="784" t="s">
        <v>684</v>
      </c>
      <c r="C109" s="968"/>
      <c r="D109" s="968"/>
      <c r="E109" s="968"/>
      <c r="F109" s="961">
        <v>0.05</v>
      </c>
    </row>
    <row r="110" spans="1:6" ht="14.5" thickBot="1">
      <c r="A110" s="778" t="s">
        <v>56</v>
      </c>
      <c r="B110" s="779" t="s">
        <v>685</v>
      </c>
      <c r="C110" s="956">
        <v>0.129</v>
      </c>
      <c r="D110" s="956">
        <v>0.129</v>
      </c>
      <c r="E110" s="956">
        <v>0.126</v>
      </c>
      <c r="F110" s="957">
        <v>0.13</v>
      </c>
    </row>
    <row r="111" spans="1:6" ht="14.5" thickBot="1">
      <c r="A111" s="778" t="s">
        <v>56</v>
      </c>
      <c r="B111" s="772" t="s">
        <v>191</v>
      </c>
      <c r="C111" s="958">
        <v>0.11</v>
      </c>
      <c r="D111" s="958">
        <v>0.11</v>
      </c>
      <c r="E111" s="958">
        <v>9.9000000000000005E-2</v>
      </c>
      <c r="F111" s="959">
        <v>0.128</v>
      </c>
    </row>
    <row r="112" spans="1:6" ht="14.5" thickBot="1">
      <c r="A112" s="778" t="s">
        <v>56</v>
      </c>
      <c r="B112" s="772" t="s">
        <v>204</v>
      </c>
      <c r="C112" s="958">
        <v>0.125</v>
      </c>
      <c r="D112" s="958">
        <v>0.125</v>
      </c>
      <c r="E112" s="958">
        <v>0.12</v>
      </c>
      <c r="F112" s="959">
        <v>0.125</v>
      </c>
    </row>
    <row r="113" spans="1:6" ht="14.5" thickBot="1">
      <c r="A113" s="778" t="s">
        <v>56</v>
      </c>
      <c r="B113" s="772" t="s">
        <v>217</v>
      </c>
      <c r="C113" s="958">
        <v>0.13</v>
      </c>
      <c r="D113" s="958">
        <v>0.13</v>
      </c>
      <c r="E113" s="958">
        <v>0.13</v>
      </c>
      <c r="F113" s="959">
        <v>0.13</v>
      </c>
    </row>
    <row r="114" spans="1:6" ht="14.5" thickBot="1">
      <c r="A114" s="778" t="s">
        <v>56</v>
      </c>
      <c r="B114" s="772" t="s">
        <v>229</v>
      </c>
      <c r="C114" s="958">
        <v>0.123</v>
      </c>
      <c r="D114" s="958">
        <v>0.123</v>
      </c>
      <c r="E114" s="958">
        <v>0.12</v>
      </c>
      <c r="F114" s="959">
        <v>0.13</v>
      </c>
    </row>
    <row r="115" spans="1:6" ht="14.5" thickBot="1">
      <c r="A115" s="778" t="s">
        <v>56</v>
      </c>
      <c r="B115" s="772" t="s">
        <v>240</v>
      </c>
      <c r="C115" s="958">
        <v>0.125</v>
      </c>
      <c r="D115" s="958">
        <v>0.125</v>
      </c>
      <c r="E115" s="958">
        <v>0.11700000000000001</v>
      </c>
      <c r="F115" s="959">
        <v>0.13</v>
      </c>
    </row>
    <row r="116" spans="1:6" ht="14.5" thickBot="1">
      <c r="A116" s="778" t="s">
        <v>56</v>
      </c>
      <c r="B116" s="772" t="s">
        <v>251</v>
      </c>
      <c r="C116" s="958">
        <v>0.11700000000000001</v>
      </c>
      <c r="D116" s="958">
        <v>0.11700000000000001</v>
      </c>
      <c r="E116" s="958">
        <v>8.7999999999999995E-2</v>
      </c>
      <c r="F116" s="959">
        <v>0.13</v>
      </c>
    </row>
    <row r="117" spans="1:6" ht="14.5" thickBot="1">
      <c r="A117" s="778" t="s">
        <v>56</v>
      </c>
      <c r="B117" s="772" t="s">
        <v>262</v>
      </c>
      <c r="C117" s="958">
        <v>0.13</v>
      </c>
      <c r="D117" s="958">
        <v>0.13</v>
      </c>
      <c r="E117" s="958">
        <v>0.129</v>
      </c>
      <c r="F117" s="959">
        <v>0.13</v>
      </c>
    </row>
    <row r="118" spans="1:6" ht="14.5" thickBot="1">
      <c r="A118" s="778" t="s">
        <v>56</v>
      </c>
      <c r="B118" s="772" t="s">
        <v>274</v>
      </c>
      <c r="C118" s="958">
        <v>0.123</v>
      </c>
      <c r="D118" s="958">
        <v>0.123</v>
      </c>
      <c r="E118" s="958">
        <v>0.11600000000000001</v>
      </c>
      <c r="F118" s="959">
        <v>0.13</v>
      </c>
    </row>
    <row r="119" spans="1:6" ht="14.5" thickBot="1">
      <c r="A119" s="778" t="s">
        <v>56</v>
      </c>
      <c r="B119" s="772" t="s">
        <v>284</v>
      </c>
      <c r="C119" s="958">
        <v>0.127</v>
      </c>
      <c r="D119" s="958">
        <v>0.127</v>
      </c>
      <c r="E119" s="958">
        <v>0.124</v>
      </c>
      <c r="F119" s="959">
        <v>0.13</v>
      </c>
    </row>
    <row r="120" spans="1:6" ht="14.5" thickBot="1">
      <c r="A120" s="778" t="s">
        <v>56</v>
      </c>
      <c r="B120" s="772" t="s">
        <v>294</v>
      </c>
      <c r="C120" s="958">
        <v>0.125</v>
      </c>
      <c r="D120" s="958">
        <v>0.125</v>
      </c>
      <c r="E120" s="958">
        <v>0.122</v>
      </c>
      <c r="F120" s="959">
        <v>0.13</v>
      </c>
    </row>
    <row r="121" spans="1:6" ht="14.5" thickBot="1">
      <c r="A121" s="778" t="s">
        <v>56</v>
      </c>
      <c r="B121" s="772" t="s">
        <v>304</v>
      </c>
      <c r="C121" s="958">
        <v>0.13</v>
      </c>
      <c r="D121" s="958">
        <v>0.13</v>
      </c>
      <c r="E121" s="958">
        <v>0.13</v>
      </c>
      <c r="F121" s="959">
        <v>0.13</v>
      </c>
    </row>
    <row r="122" spans="1:6" ht="14.5" thickBot="1">
      <c r="A122" s="778" t="s">
        <v>56</v>
      </c>
      <c r="B122" s="772" t="s">
        <v>314</v>
      </c>
      <c r="C122" s="958">
        <v>0.13</v>
      </c>
      <c r="D122" s="958">
        <v>0.13</v>
      </c>
      <c r="E122" s="958">
        <v>0.125</v>
      </c>
      <c r="F122" s="959">
        <v>0.13</v>
      </c>
    </row>
    <row r="123" spans="1:6" ht="14.5" thickBot="1">
      <c r="A123" s="778" t="s">
        <v>56</v>
      </c>
      <c r="B123" s="772" t="s">
        <v>325</v>
      </c>
      <c r="C123" s="958">
        <v>0.129</v>
      </c>
      <c r="D123" s="958">
        <v>0.129</v>
      </c>
      <c r="E123" s="958">
        <v>0.123</v>
      </c>
      <c r="F123" s="959">
        <v>0.13</v>
      </c>
    </row>
    <row r="124" spans="1:6" ht="14.5" thickBot="1">
      <c r="A124" s="778" t="s">
        <v>56</v>
      </c>
      <c r="B124" s="772" t="s">
        <v>336</v>
      </c>
      <c r="C124" s="958">
        <v>0.10199999999999999</v>
      </c>
      <c r="D124" s="958">
        <v>0.10100000000000001</v>
      </c>
      <c r="E124" s="958">
        <v>0.08</v>
      </c>
      <c r="F124" s="970"/>
    </row>
    <row r="125" spans="1:6" ht="14.5" thickBot="1">
      <c r="A125" s="778" t="s">
        <v>56</v>
      </c>
      <c r="B125" s="772" t="s">
        <v>346</v>
      </c>
      <c r="C125" s="958">
        <v>0.13</v>
      </c>
      <c r="D125" s="958">
        <v>0.13</v>
      </c>
      <c r="E125" s="958">
        <v>0.129</v>
      </c>
      <c r="F125" s="970"/>
    </row>
    <row r="126" spans="1:6" ht="14.5" thickBot="1">
      <c r="A126" s="778" t="s">
        <v>56</v>
      </c>
      <c r="B126" s="772" t="s">
        <v>356</v>
      </c>
      <c r="C126" s="958">
        <v>0.13</v>
      </c>
      <c r="D126" s="958">
        <v>0.13</v>
      </c>
      <c r="E126" s="958">
        <v>0.126</v>
      </c>
      <c r="F126" s="970"/>
    </row>
    <row r="127" spans="1:6" ht="14.5" thickBot="1">
      <c r="A127" s="778" t="s">
        <v>56</v>
      </c>
      <c r="B127" s="772" t="s">
        <v>366</v>
      </c>
      <c r="C127" s="958">
        <v>0.125</v>
      </c>
      <c r="D127" s="958">
        <v>0.125</v>
      </c>
      <c r="E127" s="958">
        <v>0.121</v>
      </c>
      <c r="F127" s="970"/>
    </row>
    <row r="128" spans="1:6" ht="14.5" thickBot="1">
      <c r="A128" s="778" t="s">
        <v>56</v>
      </c>
      <c r="B128" s="772" t="s">
        <v>376</v>
      </c>
      <c r="C128" s="958">
        <v>0.12</v>
      </c>
      <c r="D128" s="958">
        <v>0.12</v>
      </c>
      <c r="E128" s="958">
        <v>0.105</v>
      </c>
      <c r="F128" s="970"/>
    </row>
    <row r="129" spans="1:6" ht="14.5" thickBot="1">
      <c r="A129" s="778" t="s">
        <v>56</v>
      </c>
      <c r="B129" s="772" t="s">
        <v>385</v>
      </c>
      <c r="C129" s="958">
        <v>0.13</v>
      </c>
      <c r="D129" s="958">
        <v>0.13</v>
      </c>
      <c r="E129" s="958">
        <v>0.126</v>
      </c>
      <c r="F129" s="970"/>
    </row>
    <row r="130" spans="1:6" ht="14.5" thickBot="1">
      <c r="A130" s="778" t="s">
        <v>56</v>
      </c>
      <c r="B130" s="772" t="s">
        <v>394</v>
      </c>
      <c r="C130" s="958">
        <v>0.125</v>
      </c>
      <c r="D130" s="958">
        <v>0.125</v>
      </c>
      <c r="E130" s="958">
        <v>0.122</v>
      </c>
      <c r="F130" s="970"/>
    </row>
    <row r="131" spans="1:6" ht="14.5" thickBot="1">
      <c r="A131" s="778" t="s">
        <v>56</v>
      </c>
      <c r="B131" s="772" t="s">
        <v>402</v>
      </c>
      <c r="C131" s="958">
        <v>0.127</v>
      </c>
      <c r="D131" s="958">
        <v>0.126</v>
      </c>
      <c r="E131" s="958">
        <v>0.123</v>
      </c>
      <c r="F131" s="970"/>
    </row>
    <row r="132" spans="1:6" ht="14.5" thickBot="1">
      <c r="A132" s="778" t="s">
        <v>56</v>
      </c>
      <c r="B132" s="772" t="s">
        <v>409</v>
      </c>
      <c r="C132" s="958">
        <v>9.0999999999999998E-2</v>
      </c>
      <c r="D132" s="958">
        <v>0.121</v>
      </c>
      <c r="E132" s="958">
        <v>9.9000000000000005E-2</v>
      </c>
      <c r="F132" s="970"/>
    </row>
    <row r="133" spans="1:6" ht="14.5" thickBot="1">
      <c r="A133" s="778" t="s">
        <v>56</v>
      </c>
      <c r="B133" s="772" t="s">
        <v>416</v>
      </c>
      <c r="C133" s="958">
        <v>0.13</v>
      </c>
      <c r="D133" s="958">
        <v>0.13</v>
      </c>
      <c r="E133" s="958">
        <v>0.129</v>
      </c>
      <c r="F133" s="970"/>
    </row>
    <row r="134" spans="1:6" ht="14.5" thickBot="1">
      <c r="A134" s="778" t="s">
        <v>56</v>
      </c>
      <c r="B134" s="772" t="s">
        <v>686</v>
      </c>
      <c r="C134" s="958">
        <v>6.8000000000000005E-2</v>
      </c>
      <c r="D134" s="958">
        <v>6.5000000000000002E-2</v>
      </c>
      <c r="E134" s="958">
        <v>6.5000000000000002E-2</v>
      </c>
      <c r="F134" s="959">
        <v>0.13</v>
      </c>
    </row>
    <row r="135" spans="1:6" ht="14.5" thickBot="1">
      <c r="A135" s="778" t="s">
        <v>56</v>
      </c>
      <c r="B135" s="772" t="s">
        <v>430</v>
      </c>
      <c r="C135" s="958">
        <v>0.123</v>
      </c>
      <c r="D135" s="958">
        <v>0.123</v>
      </c>
      <c r="E135" s="958">
        <v>0.11</v>
      </c>
      <c r="F135" s="970"/>
    </row>
    <row r="136" spans="1:6" ht="14.5" thickBot="1">
      <c r="A136" s="778" t="s">
        <v>56</v>
      </c>
      <c r="B136" s="772" t="s">
        <v>437</v>
      </c>
      <c r="C136" s="958">
        <v>0.13</v>
      </c>
      <c r="D136" s="958">
        <v>0.13</v>
      </c>
      <c r="E136" s="958">
        <v>0.125</v>
      </c>
      <c r="F136" s="970"/>
    </row>
    <row r="137" spans="1:6" ht="14.5" thickBot="1">
      <c r="A137" s="778" t="s">
        <v>56</v>
      </c>
      <c r="B137" s="772" t="s">
        <v>444</v>
      </c>
      <c r="C137" s="958">
        <v>0.121</v>
      </c>
      <c r="D137" s="958">
        <v>0.122</v>
      </c>
      <c r="E137" s="958">
        <v>0.115</v>
      </c>
      <c r="F137" s="970"/>
    </row>
    <row r="138" spans="1:6" ht="14.5" thickBot="1">
      <c r="A138" s="778" t="s">
        <v>56</v>
      </c>
      <c r="B138" s="772" t="s">
        <v>687</v>
      </c>
      <c r="C138" s="958">
        <v>0.105</v>
      </c>
      <c r="D138" s="958">
        <v>0.125</v>
      </c>
      <c r="E138" s="958">
        <v>0.112</v>
      </c>
      <c r="F138" s="970"/>
    </row>
    <row r="139" spans="1:6" ht="14.5" thickBot="1">
      <c r="A139" s="778" t="s">
        <v>56</v>
      </c>
      <c r="B139" s="772" t="s">
        <v>688</v>
      </c>
      <c r="C139" s="958">
        <v>0.127</v>
      </c>
      <c r="D139" s="958">
        <v>0.127</v>
      </c>
      <c r="E139" s="958">
        <v>0.122</v>
      </c>
      <c r="F139" s="959">
        <v>0.13</v>
      </c>
    </row>
    <row r="140" spans="1:6" ht="14.5" thickBot="1">
      <c r="A140" s="778" t="s">
        <v>56</v>
      </c>
      <c r="B140" s="772" t="s">
        <v>689</v>
      </c>
      <c r="C140" s="958">
        <v>0.125</v>
      </c>
      <c r="D140" s="958">
        <v>0.125</v>
      </c>
      <c r="E140" s="958">
        <v>0.11899999999999999</v>
      </c>
      <c r="F140" s="959">
        <v>0.13</v>
      </c>
    </row>
    <row r="141" spans="1:6" ht="14.5" thickBot="1">
      <c r="A141" s="778" t="s">
        <v>56</v>
      </c>
      <c r="B141" s="772" t="s">
        <v>463</v>
      </c>
      <c r="C141" s="958">
        <v>0.125</v>
      </c>
      <c r="D141" s="958">
        <v>0.125</v>
      </c>
      <c r="E141" s="958">
        <v>0.11700000000000001</v>
      </c>
      <c r="F141" s="970"/>
    </row>
    <row r="142" spans="1:6" ht="14.5" thickBot="1">
      <c r="A142" s="778" t="s">
        <v>56</v>
      </c>
      <c r="B142" s="772" t="s">
        <v>468</v>
      </c>
      <c r="C142" s="958">
        <v>0.125</v>
      </c>
      <c r="D142" s="958">
        <v>0.125</v>
      </c>
      <c r="E142" s="958">
        <v>0.115</v>
      </c>
      <c r="F142" s="970"/>
    </row>
    <row r="143" spans="1:6" ht="14.5" thickBot="1">
      <c r="A143" s="778" t="s">
        <v>56</v>
      </c>
      <c r="B143" s="772" t="s">
        <v>473</v>
      </c>
      <c r="C143" s="958">
        <v>0.121</v>
      </c>
      <c r="D143" s="958">
        <v>0.121</v>
      </c>
      <c r="E143" s="958">
        <v>0.108</v>
      </c>
      <c r="F143" s="970"/>
    </row>
    <row r="144" spans="1:6" ht="14.5" thickBot="1">
      <c r="A144" s="778" t="s">
        <v>56</v>
      </c>
      <c r="B144" s="962" t="s">
        <v>690</v>
      </c>
      <c r="C144" s="963">
        <v>0.126</v>
      </c>
      <c r="D144" s="963">
        <v>0.126</v>
      </c>
      <c r="E144" s="963">
        <v>0.121</v>
      </c>
      <c r="F144" s="970"/>
    </row>
    <row r="145" spans="1:6" ht="14.5" thickBot="1">
      <c r="A145" s="788" t="s">
        <v>56</v>
      </c>
      <c r="B145" s="964" t="s">
        <v>691</v>
      </c>
      <c r="C145" s="972"/>
      <c r="D145" s="972"/>
      <c r="E145" s="972"/>
      <c r="F145" s="965">
        <v>0.05</v>
      </c>
    </row>
    <row r="146" spans="1:6" ht="26.5" thickBot="1">
      <c r="A146" s="966" t="s">
        <v>56</v>
      </c>
      <c r="B146" s="782" t="s">
        <v>692</v>
      </c>
      <c r="C146" s="971"/>
      <c r="D146" s="971"/>
      <c r="E146" s="971"/>
      <c r="F146" s="967">
        <v>0.05</v>
      </c>
    </row>
    <row r="147" spans="1:6" ht="26.5" thickBot="1">
      <c r="A147" s="778" t="s">
        <v>56</v>
      </c>
      <c r="B147" s="772" t="s">
        <v>693</v>
      </c>
      <c r="C147" s="971"/>
      <c r="D147" s="971"/>
      <c r="E147" s="971"/>
      <c r="F147" s="959">
        <v>0.05</v>
      </c>
    </row>
    <row r="148" spans="1:6" ht="26.5" thickBot="1">
      <c r="A148" s="778" t="s">
        <v>56</v>
      </c>
      <c r="B148" s="772" t="s">
        <v>694</v>
      </c>
      <c r="C148" s="971"/>
      <c r="D148" s="971"/>
      <c r="E148" s="971"/>
      <c r="F148" s="959">
        <v>0.05</v>
      </c>
    </row>
    <row r="149" spans="1:6" ht="26.5" thickBot="1">
      <c r="A149" s="778" t="s">
        <v>56</v>
      </c>
      <c r="B149" s="772" t="s">
        <v>695</v>
      </c>
      <c r="C149" s="971"/>
      <c r="D149" s="971"/>
      <c r="E149" s="971"/>
      <c r="F149" s="959">
        <v>0.05</v>
      </c>
    </row>
    <row r="150" spans="1:6" ht="26.5" thickBot="1">
      <c r="A150" s="778" t="s">
        <v>56</v>
      </c>
      <c r="B150" s="772" t="s">
        <v>696</v>
      </c>
      <c r="C150" s="971"/>
      <c r="D150" s="971"/>
      <c r="E150" s="971"/>
      <c r="F150" s="959">
        <v>0.05</v>
      </c>
    </row>
    <row r="151" spans="1:6" ht="26.5" thickBot="1">
      <c r="A151" s="778" t="s">
        <v>56</v>
      </c>
      <c r="B151" s="772" t="s">
        <v>697</v>
      </c>
      <c r="C151" s="971"/>
      <c r="D151" s="971"/>
      <c r="E151" s="971"/>
      <c r="F151" s="959">
        <v>0.05</v>
      </c>
    </row>
    <row r="152" spans="1:6" ht="26.5" thickBot="1">
      <c r="A152" s="778" t="s">
        <v>56</v>
      </c>
      <c r="B152" s="772" t="s">
        <v>506</v>
      </c>
      <c r="C152" s="971"/>
      <c r="D152" s="971"/>
      <c r="E152" s="971"/>
      <c r="F152" s="959">
        <v>0.05</v>
      </c>
    </row>
    <row r="153" spans="1:6" ht="14.5" thickBot="1">
      <c r="A153" s="778" t="s">
        <v>56</v>
      </c>
      <c r="B153" s="772" t="s">
        <v>698</v>
      </c>
      <c r="C153" s="971"/>
      <c r="D153" s="971"/>
      <c r="E153" s="971"/>
      <c r="F153" s="959">
        <v>0.05</v>
      </c>
    </row>
    <row r="154" spans="1:6" ht="14.5" thickBot="1">
      <c r="A154" s="778" t="s">
        <v>56</v>
      </c>
      <c r="B154" s="772" t="s">
        <v>699</v>
      </c>
      <c r="C154" s="971"/>
      <c r="D154" s="971"/>
      <c r="E154" s="971"/>
      <c r="F154" s="959">
        <v>0.05</v>
      </c>
    </row>
    <row r="155" spans="1:6" ht="26.5" thickBot="1">
      <c r="A155" s="778" t="s">
        <v>56</v>
      </c>
      <c r="B155" s="772" t="s">
        <v>700</v>
      </c>
      <c r="C155" s="971"/>
      <c r="D155" s="971"/>
      <c r="E155" s="971"/>
      <c r="F155" s="959">
        <v>0.05</v>
      </c>
    </row>
    <row r="156" spans="1:6" ht="26.5" thickBot="1">
      <c r="A156" s="778" t="s">
        <v>56</v>
      </c>
      <c r="B156" s="772" t="s">
        <v>701</v>
      </c>
      <c r="C156" s="971"/>
      <c r="D156" s="971"/>
      <c r="E156" s="971"/>
      <c r="F156" s="959">
        <v>0.05</v>
      </c>
    </row>
    <row r="157" spans="1:6" ht="14.5" thickBot="1">
      <c r="A157" s="788" t="s">
        <v>56</v>
      </c>
      <c r="B157" s="784" t="s">
        <v>702</v>
      </c>
      <c r="C157" s="968"/>
      <c r="D157" s="968"/>
      <c r="E157" s="968"/>
      <c r="F157" s="961">
        <v>0.05</v>
      </c>
    </row>
    <row r="158" spans="1:6" ht="14.5" thickBot="1">
      <c r="A158" s="778" t="s">
        <v>525</v>
      </c>
      <c r="B158" s="779" t="s">
        <v>703</v>
      </c>
      <c r="C158" s="956">
        <v>0.13</v>
      </c>
      <c r="D158" s="956">
        <v>0.13</v>
      </c>
      <c r="E158" s="956">
        <v>0.13</v>
      </c>
      <c r="F158" s="957">
        <v>0.13</v>
      </c>
    </row>
    <row r="159" spans="1:6" ht="14.5" thickBot="1">
      <c r="A159" s="778" t="s">
        <v>525</v>
      </c>
      <c r="B159" s="772" t="s">
        <v>192</v>
      </c>
      <c r="C159" s="958">
        <v>0.13</v>
      </c>
      <c r="D159" s="958">
        <v>0.13</v>
      </c>
      <c r="E159" s="958">
        <v>0.13</v>
      </c>
      <c r="F159" s="959">
        <v>0.13</v>
      </c>
    </row>
    <row r="160" spans="1:6" ht="14.5" thickBot="1">
      <c r="A160" s="778" t="s">
        <v>525</v>
      </c>
      <c r="B160" s="772" t="s">
        <v>205</v>
      </c>
      <c r="C160" s="958">
        <v>0.13</v>
      </c>
      <c r="D160" s="958">
        <v>0.13</v>
      </c>
      <c r="E160" s="958">
        <v>0.129</v>
      </c>
      <c r="F160" s="959">
        <v>0.13</v>
      </c>
    </row>
    <row r="161" spans="1:6" ht="14.5" thickBot="1">
      <c r="A161" s="778" t="s">
        <v>525</v>
      </c>
      <c r="B161" s="772" t="s">
        <v>218</v>
      </c>
      <c r="C161" s="958">
        <v>0.128</v>
      </c>
      <c r="D161" s="958">
        <v>0.128</v>
      </c>
      <c r="E161" s="958">
        <v>0.125</v>
      </c>
      <c r="F161" s="959">
        <v>0.13</v>
      </c>
    </row>
    <row r="162" spans="1:6" ht="14.5" thickBot="1">
      <c r="A162" s="778" t="s">
        <v>525</v>
      </c>
      <c r="B162" s="772" t="s">
        <v>230</v>
      </c>
      <c r="C162" s="958">
        <v>0.122</v>
      </c>
      <c r="D162" s="958">
        <v>0.122</v>
      </c>
      <c r="E162" s="958">
        <v>0.126</v>
      </c>
      <c r="F162" s="959">
        <v>0.122</v>
      </c>
    </row>
    <row r="163" spans="1:6" ht="14.5" thickBot="1">
      <c r="A163" s="778" t="s">
        <v>525</v>
      </c>
      <c r="B163" s="772" t="s">
        <v>241</v>
      </c>
      <c r="C163" s="958">
        <v>0.13</v>
      </c>
      <c r="D163" s="958">
        <v>0.13</v>
      </c>
      <c r="E163" s="958">
        <v>0.125</v>
      </c>
      <c r="F163" s="959">
        <v>0.13</v>
      </c>
    </row>
    <row r="164" spans="1:6" ht="14.5" thickBot="1">
      <c r="A164" s="778" t="s">
        <v>525</v>
      </c>
      <c r="B164" s="772" t="s">
        <v>252</v>
      </c>
      <c r="C164" s="958">
        <v>0.13</v>
      </c>
      <c r="D164" s="958">
        <v>0.13</v>
      </c>
      <c r="E164" s="958">
        <v>0.13</v>
      </c>
      <c r="F164" s="959">
        <v>0.13</v>
      </c>
    </row>
    <row r="165" spans="1:6" ht="14.5" thickBot="1">
      <c r="A165" s="778" t="s">
        <v>525</v>
      </c>
      <c r="B165" s="772" t="s">
        <v>263</v>
      </c>
      <c r="C165" s="958">
        <v>0.13</v>
      </c>
      <c r="D165" s="958">
        <v>0.13</v>
      </c>
      <c r="E165" s="958">
        <v>0.124</v>
      </c>
      <c r="F165" s="959">
        <v>0.13</v>
      </c>
    </row>
    <row r="166" spans="1:6" ht="14.5" thickBot="1">
      <c r="A166" s="778" t="s">
        <v>525</v>
      </c>
      <c r="B166" s="772" t="s">
        <v>275</v>
      </c>
      <c r="C166" s="958">
        <v>0.13</v>
      </c>
      <c r="D166" s="958">
        <v>0.13</v>
      </c>
      <c r="E166" s="958">
        <v>0.13</v>
      </c>
      <c r="F166" s="959">
        <v>0.13</v>
      </c>
    </row>
    <row r="167" spans="1:6" ht="14.5" thickBot="1">
      <c r="A167" s="778" t="s">
        <v>525</v>
      </c>
      <c r="B167" s="772" t="s">
        <v>285</v>
      </c>
      <c r="C167" s="958">
        <v>0.125</v>
      </c>
      <c r="D167" s="958">
        <v>0.125</v>
      </c>
      <c r="E167" s="958">
        <v>0.121</v>
      </c>
      <c r="F167" s="970"/>
    </row>
    <row r="168" spans="1:6" ht="14.5" thickBot="1">
      <c r="A168" s="778" t="s">
        <v>525</v>
      </c>
      <c r="B168" s="772" t="s">
        <v>295</v>
      </c>
      <c r="C168" s="958">
        <v>0.13</v>
      </c>
      <c r="D168" s="958">
        <v>0.13</v>
      </c>
      <c r="E168" s="958">
        <v>0.126</v>
      </c>
      <c r="F168" s="970"/>
    </row>
    <row r="169" spans="1:6" ht="14.5" thickBot="1">
      <c r="A169" s="778" t="s">
        <v>525</v>
      </c>
      <c r="B169" s="772" t="s">
        <v>305</v>
      </c>
      <c r="C169" s="958">
        <v>0.128</v>
      </c>
      <c r="D169" s="958">
        <v>0.129</v>
      </c>
      <c r="E169" s="958">
        <v>0.13</v>
      </c>
      <c r="F169" s="970"/>
    </row>
    <row r="170" spans="1:6" ht="14.5" thickBot="1">
      <c r="A170" s="778" t="s">
        <v>525</v>
      </c>
      <c r="B170" s="772" t="s">
        <v>315</v>
      </c>
      <c r="C170" s="958">
        <v>0.14099999999999999</v>
      </c>
      <c r="D170" s="958">
        <v>0.13</v>
      </c>
      <c r="E170" s="958">
        <v>0.125</v>
      </c>
      <c r="F170" s="970"/>
    </row>
    <row r="171" spans="1:6" ht="14.5" thickBot="1">
      <c r="A171" s="778" t="s">
        <v>525</v>
      </c>
      <c r="B171" s="772" t="s">
        <v>704</v>
      </c>
      <c r="C171" s="958">
        <v>0.127</v>
      </c>
      <c r="D171" s="958">
        <v>0.126</v>
      </c>
      <c r="E171" s="958">
        <v>0.126</v>
      </c>
      <c r="F171" s="959">
        <v>0.11799999999999999</v>
      </c>
    </row>
    <row r="172" spans="1:6" ht="14.5" thickBot="1">
      <c r="A172" s="778" t="s">
        <v>525</v>
      </c>
      <c r="B172" s="772" t="s">
        <v>705</v>
      </c>
      <c r="C172" s="958">
        <v>0.13</v>
      </c>
      <c r="D172" s="958">
        <v>0.13</v>
      </c>
      <c r="E172" s="958">
        <v>0.13</v>
      </c>
      <c r="F172" s="970"/>
    </row>
    <row r="173" spans="1:6" ht="14.5" thickBot="1">
      <c r="A173" s="778" t="s">
        <v>525</v>
      </c>
      <c r="B173" s="772" t="s">
        <v>347</v>
      </c>
      <c r="C173" s="958">
        <v>0.13</v>
      </c>
      <c r="D173" s="958">
        <v>0.13</v>
      </c>
      <c r="E173" s="958">
        <v>0.13</v>
      </c>
      <c r="F173" s="970"/>
    </row>
    <row r="174" spans="1:6" ht="14.5" thickBot="1">
      <c r="A174" s="778" t="s">
        <v>525</v>
      </c>
      <c r="B174" s="772" t="s">
        <v>706</v>
      </c>
      <c r="C174" s="958">
        <v>0.13</v>
      </c>
      <c r="D174" s="958">
        <v>0.13</v>
      </c>
      <c r="E174" s="958">
        <v>0.13</v>
      </c>
      <c r="F174" s="959">
        <v>0.13</v>
      </c>
    </row>
    <row r="175" spans="1:6" ht="14.5" thickBot="1">
      <c r="A175" s="778" t="s">
        <v>525</v>
      </c>
      <c r="B175" s="772" t="s">
        <v>707</v>
      </c>
      <c r="C175" s="958">
        <v>0.13</v>
      </c>
      <c r="D175" s="958">
        <v>0.13</v>
      </c>
      <c r="E175" s="958">
        <v>0.13</v>
      </c>
      <c r="F175" s="959">
        <v>0.13</v>
      </c>
    </row>
    <row r="176" spans="1:6" ht="14.5" thickBot="1">
      <c r="A176" s="778" t="s">
        <v>525</v>
      </c>
      <c r="B176" s="772" t="s">
        <v>377</v>
      </c>
      <c r="C176" s="958">
        <v>0.13</v>
      </c>
      <c r="D176" s="958">
        <v>0.13</v>
      </c>
      <c r="E176" s="958">
        <v>0.13</v>
      </c>
      <c r="F176" s="959">
        <v>0.13</v>
      </c>
    </row>
    <row r="177" spans="1:6" ht="14.5" thickBot="1">
      <c r="A177" s="778" t="s">
        <v>525</v>
      </c>
      <c r="B177" s="772" t="s">
        <v>708</v>
      </c>
      <c r="C177" s="958">
        <v>0.13</v>
      </c>
      <c r="D177" s="958">
        <v>0.13</v>
      </c>
      <c r="E177" s="958">
        <v>0.13</v>
      </c>
      <c r="F177" s="959">
        <v>0.13</v>
      </c>
    </row>
    <row r="178" spans="1:6" ht="14.5" thickBot="1">
      <c r="A178" s="778" t="s">
        <v>525</v>
      </c>
      <c r="B178" s="772" t="s">
        <v>395</v>
      </c>
      <c r="C178" s="958">
        <v>0.13</v>
      </c>
      <c r="D178" s="958">
        <v>0.13</v>
      </c>
      <c r="E178" s="958">
        <v>0.13</v>
      </c>
      <c r="F178" s="959">
        <v>0.127</v>
      </c>
    </row>
    <row r="179" spans="1:6" ht="14.5" thickBot="1">
      <c r="A179" s="778" t="s">
        <v>525</v>
      </c>
      <c r="B179" s="772" t="s">
        <v>403</v>
      </c>
      <c r="C179" s="958">
        <v>0.13</v>
      </c>
      <c r="D179" s="958">
        <v>0.13</v>
      </c>
      <c r="E179" s="958">
        <v>0.13</v>
      </c>
      <c r="F179" s="970"/>
    </row>
    <row r="180" spans="1:6" ht="14.5" thickBot="1">
      <c r="A180" s="778" t="s">
        <v>525</v>
      </c>
      <c r="B180" s="772" t="s">
        <v>709</v>
      </c>
      <c r="C180" s="958">
        <v>0.13</v>
      </c>
      <c r="D180" s="958">
        <v>0.13</v>
      </c>
      <c r="E180" s="958">
        <v>0.125</v>
      </c>
      <c r="F180" s="959">
        <v>0.13</v>
      </c>
    </row>
    <row r="181" spans="1:6" ht="14.5" thickBot="1">
      <c r="A181" s="778" t="s">
        <v>525</v>
      </c>
      <c r="B181" s="772" t="s">
        <v>417</v>
      </c>
      <c r="C181" s="958">
        <v>0.122</v>
      </c>
      <c r="D181" s="958">
        <v>0.123</v>
      </c>
      <c r="E181" s="958">
        <v>0.126</v>
      </c>
      <c r="F181" s="959">
        <v>0.121</v>
      </c>
    </row>
    <row r="182" spans="1:6" ht="14.5" thickBot="1">
      <c r="A182" s="778" t="s">
        <v>525</v>
      </c>
      <c r="B182" s="772" t="s">
        <v>424</v>
      </c>
      <c r="C182" s="958">
        <v>0.125</v>
      </c>
      <c r="D182" s="958">
        <v>0.125</v>
      </c>
      <c r="E182" s="958">
        <v>0.11700000000000001</v>
      </c>
      <c r="F182" s="959">
        <v>0.13</v>
      </c>
    </row>
    <row r="183" spans="1:6" ht="14.5" thickBot="1">
      <c r="A183" s="778" t="s">
        <v>525</v>
      </c>
      <c r="B183" s="772" t="s">
        <v>431</v>
      </c>
      <c r="C183" s="958">
        <v>0.127</v>
      </c>
      <c r="D183" s="958">
        <v>0.127</v>
      </c>
      <c r="E183" s="958">
        <v>0.128</v>
      </c>
      <c r="F183" s="970"/>
    </row>
    <row r="184" spans="1:6" ht="14.5" thickBot="1">
      <c r="A184" s="778" t="s">
        <v>525</v>
      </c>
      <c r="B184" s="772" t="s">
        <v>438</v>
      </c>
      <c r="C184" s="958">
        <v>0.125</v>
      </c>
      <c r="D184" s="958">
        <v>0.125</v>
      </c>
      <c r="E184" s="958">
        <v>0.127</v>
      </c>
      <c r="F184" s="970"/>
    </row>
    <row r="185" spans="1:6" ht="14.5" thickBot="1">
      <c r="A185" s="778" t="s">
        <v>525</v>
      </c>
      <c r="B185" s="772" t="s">
        <v>710</v>
      </c>
      <c r="C185" s="958">
        <v>0.127</v>
      </c>
      <c r="D185" s="958">
        <v>0.127</v>
      </c>
      <c r="E185" s="958">
        <v>0.128</v>
      </c>
      <c r="F185" s="959">
        <v>0.13</v>
      </c>
    </row>
    <row r="186" spans="1:6" ht="26.5" thickBot="1">
      <c r="A186" s="778" t="s">
        <v>525</v>
      </c>
      <c r="B186" s="772" t="s">
        <v>711</v>
      </c>
      <c r="C186" s="971"/>
      <c r="D186" s="971"/>
      <c r="E186" s="971"/>
      <c r="F186" s="959">
        <v>0.05</v>
      </c>
    </row>
    <row r="187" spans="1:6" ht="14.5" thickBot="1">
      <c r="A187" s="778" t="s">
        <v>525</v>
      </c>
      <c r="B187" s="772" t="s">
        <v>712</v>
      </c>
      <c r="C187" s="971"/>
      <c r="D187" s="971"/>
      <c r="E187" s="971"/>
      <c r="F187" s="959">
        <v>0.05</v>
      </c>
    </row>
    <row r="188" spans="1:6" ht="26.5" thickBot="1">
      <c r="A188" s="778" t="s">
        <v>525</v>
      </c>
      <c r="B188" s="772" t="s">
        <v>713</v>
      </c>
      <c r="C188" s="971"/>
      <c r="D188" s="971"/>
      <c r="E188" s="971"/>
      <c r="F188" s="959">
        <v>0.05</v>
      </c>
    </row>
    <row r="189" spans="1:6" ht="26.5" thickBot="1">
      <c r="A189" s="778" t="s">
        <v>525</v>
      </c>
      <c r="B189" s="772" t="s">
        <v>714</v>
      </c>
      <c r="C189" s="971"/>
      <c r="D189" s="971"/>
      <c r="E189" s="971"/>
      <c r="F189" s="959">
        <v>0.05</v>
      </c>
    </row>
    <row r="190" spans="1:6" ht="26.5" thickBot="1">
      <c r="A190" s="778" t="s">
        <v>525</v>
      </c>
      <c r="B190" s="772" t="s">
        <v>715</v>
      </c>
      <c r="C190" s="971"/>
      <c r="D190" s="971"/>
      <c r="E190" s="971"/>
      <c r="F190" s="959">
        <v>0.05</v>
      </c>
    </row>
    <row r="191" spans="1:6" ht="26.5" thickBot="1">
      <c r="A191" s="778" t="s">
        <v>525</v>
      </c>
      <c r="B191" s="772" t="s">
        <v>716</v>
      </c>
      <c r="C191" s="971"/>
      <c r="D191" s="971"/>
      <c r="E191" s="971"/>
      <c r="F191" s="959">
        <v>0.05</v>
      </c>
    </row>
    <row r="192" spans="1:6" ht="26.5" thickBot="1">
      <c r="A192" s="778" t="s">
        <v>525</v>
      </c>
      <c r="B192" s="772" t="s">
        <v>717</v>
      </c>
      <c r="C192" s="971"/>
      <c r="D192" s="971"/>
      <c r="E192" s="971"/>
      <c r="F192" s="959">
        <v>0.05</v>
      </c>
    </row>
    <row r="193" spans="1:6" ht="26.5" thickBot="1">
      <c r="A193" s="778" t="s">
        <v>525</v>
      </c>
      <c r="B193" s="772" t="s">
        <v>718</v>
      </c>
      <c r="C193" s="971"/>
      <c r="D193" s="971"/>
      <c r="E193" s="971"/>
      <c r="F193" s="959">
        <v>0.05</v>
      </c>
    </row>
    <row r="194" spans="1:6" ht="26.5" thickBot="1">
      <c r="A194" s="778" t="s">
        <v>525</v>
      </c>
      <c r="B194" s="772" t="s">
        <v>719</v>
      </c>
      <c r="C194" s="971"/>
      <c r="D194" s="971"/>
      <c r="E194" s="971"/>
      <c r="F194" s="959">
        <v>0.05</v>
      </c>
    </row>
    <row r="195" spans="1:6" ht="14.5" thickBot="1">
      <c r="A195" s="778" t="s">
        <v>525</v>
      </c>
      <c r="B195" s="772" t="s">
        <v>720</v>
      </c>
      <c r="C195" s="971"/>
      <c r="D195" s="971"/>
      <c r="E195" s="971"/>
      <c r="F195" s="959">
        <v>0.05</v>
      </c>
    </row>
    <row r="196" spans="1:6" ht="26.5" thickBot="1">
      <c r="A196" s="778" t="s">
        <v>525</v>
      </c>
      <c r="B196" s="772" t="s">
        <v>721</v>
      </c>
      <c r="C196" s="971"/>
      <c r="D196" s="971"/>
      <c r="E196" s="971"/>
      <c r="F196" s="959">
        <v>0.05</v>
      </c>
    </row>
    <row r="197" spans="1:6" ht="26.5" thickBot="1">
      <c r="A197" s="778" t="s">
        <v>525</v>
      </c>
      <c r="B197" s="772" t="s">
        <v>722</v>
      </c>
      <c r="C197" s="971"/>
      <c r="D197" s="971"/>
      <c r="E197" s="971"/>
      <c r="F197" s="959">
        <v>0.05</v>
      </c>
    </row>
    <row r="198" spans="1:6" ht="26.5" thickBot="1">
      <c r="A198" s="778" t="s">
        <v>525</v>
      </c>
      <c r="B198" s="772" t="s">
        <v>723</v>
      </c>
      <c r="C198" s="971"/>
      <c r="D198" s="971"/>
      <c r="E198" s="971"/>
      <c r="F198" s="959">
        <v>0.05</v>
      </c>
    </row>
    <row r="199" spans="1:6" ht="26.5" thickBot="1">
      <c r="A199" s="778" t="s">
        <v>525</v>
      </c>
      <c r="B199" s="772" t="s">
        <v>724</v>
      </c>
      <c r="C199" s="971"/>
      <c r="D199" s="971"/>
      <c r="E199" s="971"/>
      <c r="F199" s="959">
        <v>0.05</v>
      </c>
    </row>
    <row r="200" spans="1:6" ht="26.5" thickBot="1">
      <c r="A200" s="778" t="s">
        <v>525</v>
      </c>
      <c r="B200" s="772" t="s">
        <v>725</v>
      </c>
      <c r="C200" s="971"/>
      <c r="D200" s="971"/>
      <c r="E200" s="971"/>
      <c r="F200" s="959">
        <v>0.05</v>
      </c>
    </row>
    <row r="201" spans="1:6" ht="26.5" thickBot="1">
      <c r="A201" s="778" t="s">
        <v>525</v>
      </c>
      <c r="B201" s="772" t="s">
        <v>726</v>
      </c>
      <c r="C201" s="971"/>
      <c r="D201" s="971"/>
      <c r="E201" s="971"/>
      <c r="F201" s="959">
        <v>0.05</v>
      </c>
    </row>
    <row r="202" spans="1:6" ht="26.5" thickBot="1">
      <c r="A202" s="778" t="s">
        <v>525</v>
      </c>
      <c r="B202" s="772" t="s">
        <v>727</v>
      </c>
      <c r="C202" s="971"/>
      <c r="D202" s="971"/>
      <c r="E202" s="971"/>
      <c r="F202" s="959">
        <v>0.05</v>
      </c>
    </row>
    <row r="203" spans="1:6" ht="26.5" thickBot="1">
      <c r="A203" s="778" t="s">
        <v>525</v>
      </c>
      <c r="B203" s="772" t="s">
        <v>728</v>
      </c>
      <c r="C203" s="971"/>
      <c r="D203" s="971"/>
      <c r="E203" s="971"/>
      <c r="F203" s="959">
        <v>0.05</v>
      </c>
    </row>
    <row r="204" spans="1:6" ht="14.5" thickBot="1">
      <c r="A204" s="778" t="s">
        <v>525</v>
      </c>
      <c r="B204" s="772" t="s">
        <v>729</v>
      </c>
      <c r="C204" s="971"/>
      <c r="D204" s="971"/>
      <c r="E204" s="971"/>
      <c r="F204" s="959">
        <v>0.05</v>
      </c>
    </row>
    <row r="205" spans="1:6" ht="14.5" thickBot="1">
      <c r="A205" s="788" t="s">
        <v>525</v>
      </c>
      <c r="B205" s="784" t="s">
        <v>730</v>
      </c>
      <c r="C205" s="968"/>
      <c r="D205" s="968"/>
      <c r="E205" s="968"/>
      <c r="F205" s="961">
        <v>0.05</v>
      </c>
    </row>
    <row r="206" spans="1:6" ht="14.5" thickBot="1">
      <c r="A206" s="778" t="s">
        <v>527</v>
      </c>
      <c r="B206" s="779" t="s">
        <v>731</v>
      </c>
      <c r="C206" s="956">
        <v>0.15</v>
      </c>
      <c r="D206" s="956">
        <v>0.15</v>
      </c>
      <c r="E206" s="956">
        <v>0.15</v>
      </c>
      <c r="F206" s="957">
        <v>0.15</v>
      </c>
    </row>
    <row r="207" spans="1:6" ht="14.5" thickBot="1">
      <c r="A207" s="778" t="s">
        <v>527</v>
      </c>
      <c r="B207" s="772" t="s">
        <v>193</v>
      </c>
      <c r="C207" s="958">
        <v>0.15</v>
      </c>
      <c r="D207" s="958">
        <v>0.15</v>
      </c>
      <c r="E207" s="958">
        <v>0.15</v>
      </c>
      <c r="F207" s="959">
        <v>0.14399999999999999</v>
      </c>
    </row>
    <row r="208" spans="1:6" ht="14.5" thickBot="1">
      <c r="A208" s="778" t="s">
        <v>527</v>
      </c>
      <c r="B208" s="772" t="s">
        <v>206</v>
      </c>
      <c r="C208" s="958">
        <v>0.15</v>
      </c>
      <c r="D208" s="958">
        <v>0.15</v>
      </c>
      <c r="E208" s="958">
        <v>0.15</v>
      </c>
      <c r="F208" s="959">
        <v>0.15</v>
      </c>
    </row>
    <row r="209" spans="1:6" ht="14.5" thickBot="1">
      <c r="A209" s="778" t="s">
        <v>527</v>
      </c>
      <c r="B209" s="772" t="s">
        <v>219</v>
      </c>
      <c r="C209" s="958">
        <v>0.13700000000000001</v>
      </c>
      <c r="D209" s="958">
        <v>0.13700000000000001</v>
      </c>
      <c r="E209" s="958">
        <v>0.14000000000000001</v>
      </c>
      <c r="F209" s="959">
        <v>0.11700000000000001</v>
      </c>
    </row>
    <row r="210" spans="1:6" ht="14.5" thickBot="1">
      <c r="A210" s="778" t="s">
        <v>527</v>
      </c>
      <c r="B210" s="772" t="s">
        <v>732</v>
      </c>
      <c r="C210" s="958">
        <v>0.15</v>
      </c>
      <c r="D210" s="958">
        <v>0.15</v>
      </c>
      <c r="E210" s="958">
        <v>0.15</v>
      </c>
      <c r="F210" s="959">
        <v>0.13800000000000001</v>
      </c>
    </row>
    <row r="211" spans="1:6" ht="14.5" thickBot="1">
      <c r="A211" s="778" t="s">
        <v>527</v>
      </c>
      <c r="B211" s="772" t="s">
        <v>733</v>
      </c>
      <c r="C211" s="958">
        <v>0.13700000000000001</v>
      </c>
      <c r="D211" s="958">
        <v>0.13500000000000001</v>
      </c>
      <c r="E211" s="958">
        <v>0.13600000000000001</v>
      </c>
      <c r="F211" s="959">
        <v>0.1</v>
      </c>
    </row>
    <row r="212" spans="1:6" ht="14.5" thickBot="1">
      <c r="A212" s="778" t="s">
        <v>527</v>
      </c>
      <c r="B212" s="772" t="s">
        <v>734</v>
      </c>
      <c r="C212" s="958">
        <v>0.15</v>
      </c>
      <c r="D212" s="958">
        <v>0.15</v>
      </c>
      <c r="E212" s="958">
        <v>0.14799999999999999</v>
      </c>
      <c r="F212" s="959">
        <v>0.13600000000000001</v>
      </c>
    </row>
    <row r="213" spans="1:6" ht="14.5" thickBot="1">
      <c r="A213" s="778" t="s">
        <v>527</v>
      </c>
      <c r="B213" s="772" t="s">
        <v>264</v>
      </c>
      <c r="C213" s="958">
        <v>0.15</v>
      </c>
      <c r="D213" s="958">
        <v>0.15</v>
      </c>
      <c r="E213" s="958">
        <v>0.15</v>
      </c>
      <c r="F213" s="959">
        <v>0.13800000000000001</v>
      </c>
    </row>
    <row r="214" spans="1:6" ht="14.5" thickBot="1">
      <c r="A214" s="778" t="s">
        <v>527</v>
      </c>
      <c r="B214" s="772" t="s">
        <v>276</v>
      </c>
      <c r="C214" s="958">
        <v>9.0999999999999998E-2</v>
      </c>
      <c r="D214" s="958">
        <v>0.09</v>
      </c>
      <c r="E214" s="958">
        <v>9.1999999999999998E-2</v>
      </c>
      <c r="F214" s="970"/>
    </row>
    <row r="215" spans="1:6" ht="14.5" thickBot="1">
      <c r="A215" s="778" t="s">
        <v>527</v>
      </c>
      <c r="B215" s="772" t="s">
        <v>735</v>
      </c>
      <c r="C215" s="958">
        <v>0.15</v>
      </c>
      <c r="D215" s="958">
        <v>0.15</v>
      </c>
      <c r="E215" s="958">
        <v>0.15</v>
      </c>
      <c r="F215" s="959">
        <v>0.15</v>
      </c>
    </row>
    <row r="216" spans="1:6" ht="14.5" thickBot="1">
      <c r="A216" s="778" t="s">
        <v>527</v>
      </c>
      <c r="B216" s="772" t="s">
        <v>296</v>
      </c>
      <c r="C216" s="958">
        <v>0.14699999999999999</v>
      </c>
      <c r="D216" s="958">
        <v>0.14699999999999999</v>
      </c>
      <c r="E216" s="958">
        <v>0.15</v>
      </c>
      <c r="F216" s="959">
        <v>0.14000000000000001</v>
      </c>
    </row>
    <row r="217" spans="1:6" ht="14.5" thickBot="1">
      <c r="A217" s="778" t="s">
        <v>527</v>
      </c>
      <c r="B217" s="772" t="s">
        <v>306</v>
      </c>
      <c r="C217" s="958">
        <v>0.15</v>
      </c>
      <c r="D217" s="958">
        <v>0.15</v>
      </c>
      <c r="E217" s="958">
        <v>0.15</v>
      </c>
      <c r="F217" s="959">
        <v>0.15</v>
      </c>
    </row>
    <row r="218" spans="1:6" ht="14.5" thickBot="1">
      <c r="A218" s="778" t="s">
        <v>527</v>
      </c>
      <c r="B218" s="772" t="s">
        <v>736</v>
      </c>
      <c r="C218" s="958">
        <v>0.15</v>
      </c>
      <c r="D218" s="958">
        <v>0.15</v>
      </c>
      <c r="E218" s="958">
        <v>0.15</v>
      </c>
      <c r="F218" s="959">
        <v>0.15</v>
      </c>
    </row>
    <row r="219" spans="1:6" ht="14.5" thickBot="1">
      <c r="A219" s="778" t="s">
        <v>527</v>
      </c>
      <c r="B219" s="772" t="s">
        <v>327</v>
      </c>
      <c r="C219" s="958">
        <v>0.15</v>
      </c>
      <c r="D219" s="958">
        <v>0.15</v>
      </c>
      <c r="E219" s="958">
        <v>0.15</v>
      </c>
      <c r="F219" s="959">
        <v>0.14799999999999999</v>
      </c>
    </row>
    <row r="220" spans="1:6" ht="14.5" thickBot="1">
      <c r="A220" s="778" t="s">
        <v>527</v>
      </c>
      <c r="B220" s="772" t="s">
        <v>737</v>
      </c>
      <c r="C220" s="958">
        <v>0.15</v>
      </c>
      <c r="D220" s="958">
        <v>0.15</v>
      </c>
      <c r="E220" s="958">
        <v>0.15</v>
      </c>
      <c r="F220" s="959">
        <v>0.15</v>
      </c>
    </row>
    <row r="221" spans="1:6" ht="14.5" thickBot="1">
      <c r="A221" s="778" t="s">
        <v>527</v>
      </c>
      <c r="B221" s="772" t="s">
        <v>348</v>
      </c>
      <c r="C221" s="958"/>
      <c r="D221" s="971"/>
      <c r="E221" s="971"/>
      <c r="F221" s="959">
        <v>0.14799999999999999</v>
      </c>
    </row>
    <row r="222" spans="1:6" ht="14.5" thickBot="1">
      <c r="A222" s="778" t="s">
        <v>527</v>
      </c>
      <c r="B222" s="772" t="s">
        <v>358</v>
      </c>
      <c r="C222" s="958"/>
      <c r="D222" s="971"/>
      <c r="E222" s="971"/>
      <c r="F222" s="959">
        <v>0.1</v>
      </c>
    </row>
    <row r="223" spans="1:6" ht="14.5" thickBot="1">
      <c r="A223" s="778" t="s">
        <v>527</v>
      </c>
      <c r="B223" s="772" t="s">
        <v>368</v>
      </c>
      <c r="C223" s="958"/>
      <c r="D223" s="971"/>
      <c r="E223" s="971"/>
      <c r="F223" s="959">
        <v>0.15</v>
      </c>
    </row>
    <row r="224" spans="1:6" ht="14.5" thickBot="1">
      <c r="A224" s="778" t="s">
        <v>527</v>
      </c>
      <c r="B224" s="772" t="s">
        <v>378</v>
      </c>
      <c r="C224" s="958"/>
      <c r="D224" s="971"/>
      <c r="E224" s="971"/>
      <c r="F224" s="959">
        <v>0.15</v>
      </c>
    </row>
    <row r="225" spans="1:6" ht="14.5" thickBot="1">
      <c r="A225" s="778" t="s">
        <v>527</v>
      </c>
      <c r="B225" s="772" t="s">
        <v>738</v>
      </c>
      <c r="C225" s="958">
        <v>0.15</v>
      </c>
      <c r="D225" s="958">
        <v>0.15</v>
      </c>
      <c r="E225" s="958">
        <v>0.15</v>
      </c>
      <c r="F225" s="959">
        <v>0.15</v>
      </c>
    </row>
    <row r="226" spans="1:6" ht="14.5" thickBot="1">
      <c r="A226" s="778" t="s">
        <v>527</v>
      </c>
      <c r="B226" s="772" t="s">
        <v>396</v>
      </c>
      <c r="C226" s="958">
        <v>0.15</v>
      </c>
      <c r="D226" s="958">
        <v>0.15</v>
      </c>
      <c r="E226" s="958">
        <v>0.15</v>
      </c>
      <c r="F226" s="959">
        <v>0.14799999999999999</v>
      </c>
    </row>
    <row r="227" spans="1:6" ht="14.5" thickBot="1">
      <c r="A227" s="778" t="s">
        <v>527</v>
      </c>
      <c r="B227" s="772" t="s">
        <v>739</v>
      </c>
      <c r="C227" s="958">
        <v>0.15</v>
      </c>
      <c r="D227" s="958">
        <v>0.15</v>
      </c>
      <c r="E227" s="958">
        <v>0.15</v>
      </c>
      <c r="F227" s="959">
        <v>0.15</v>
      </c>
    </row>
    <row r="228" spans="1:6" ht="14.5" thickBot="1">
      <c r="A228" s="778" t="s">
        <v>527</v>
      </c>
      <c r="B228" s="772" t="s">
        <v>411</v>
      </c>
      <c r="C228" s="958">
        <v>0.15</v>
      </c>
      <c r="D228" s="958">
        <v>0.15</v>
      </c>
      <c r="E228" s="958">
        <v>0.15</v>
      </c>
      <c r="F228" s="959">
        <v>0.15</v>
      </c>
    </row>
    <row r="229" spans="1:6" ht="14.5" thickBot="1">
      <c r="A229" s="778" t="s">
        <v>527</v>
      </c>
      <c r="B229" s="772" t="s">
        <v>418</v>
      </c>
      <c r="C229" s="958">
        <v>0.15</v>
      </c>
      <c r="D229" s="958">
        <v>0.15</v>
      </c>
      <c r="E229" s="958">
        <v>0.15</v>
      </c>
      <c r="F229" s="970"/>
    </row>
    <row r="230" spans="1:6" ht="14.5" thickBot="1">
      <c r="A230" s="778" t="s">
        <v>527</v>
      </c>
      <c r="B230" s="772" t="s">
        <v>425</v>
      </c>
      <c r="C230" s="958">
        <v>0.14499999999999999</v>
      </c>
      <c r="D230" s="958">
        <v>0.14499999999999999</v>
      </c>
      <c r="E230" s="958">
        <v>0.14399999999999999</v>
      </c>
      <c r="F230" s="970"/>
    </row>
    <row r="231" spans="1:6" ht="14.5" thickBot="1">
      <c r="A231" s="778" t="s">
        <v>527</v>
      </c>
      <c r="B231" s="772" t="s">
        <v>740</v>
      </c>
      <c r="C231" s="958">
        <v>0.128</v>
      </c>
      <c r="D231" s="958">
        <v>0.125</v>
      </c>
      <c r="E231" s="958">
        <v>0.13200000000000001</v>
      </c>
      <c r="F231" s="970"/>
    </row>
    <row r="232" spans="1:6" ht="14.5" thickBot="1">
      <c r="A232" s="778" t="s">
        <v>527</v>
      </c>
      <c r="B232" s="772" t="s">
        <v>741</v>
      </c>
      <c r="C232" s="958">
        <v>0.14499999999999999</v>
      </c>
      <c r="D232" s="958">
        <v>0.14399999999999999</v>
      </c>
      <c r="E232" s="958">
        <v>0.14599999999999999</v>
      </c>
      <c r="F232" s="959">
        <v>0.13800000000000001</v>
      </c>
    </row>
    <row r="233" spans="1:6" ht="14.5" thickBot="1">
      <c r="A233" s="778" t="s">
        <v>527</v>
      </c>
      <c r="B233" s="772" t="s">
        <v>742</v>
      </c>
      <c r="C233" s="958">
        <v>0.14499999999999999</v>
      </c>
      <c r="D233" s="958">
        <v>0.14299999999999999</v>
      </c>
      <c r="E233" s="958">
        <v>0.14199999999999999</v>
      </c>
      <c r="F233" s="970"/>
    </row>
    <row r="234" spans="1:6" ht="14.5" thickBot="1">
      <c r="A234" s="778" t="s">
        <v>527</v>
      </c>
      <c r="B234" s="772" t="s">
        <v>743</v>
      </c>
      <c r="C234" s="958">
        <v>0.14000000000000001</v>
      </c>
      <c r="D234" s="958">
        <v>0.14000000000000001</v>
      </c>
      <c r="E234" s="958">
        <v>0.14399999999999999</v>
      </c>
      <c r="F234" s="970"/>
    </row>
    <row r="235" spans="1:6" ht="14.5" thickBot="1">
      <c r="A235" s="778" t="s">
        <v>527</v>
      </c>
      <c r="B235" s="772" t="s">
        <v>744</v>
      </c>
      <c r="C235" s="958">
        <v>0.14099999999999999</v>
      </c>
      <c r="D235" s="958">
        <v>0.14199999999999999</v>
      </c>
      <c r="E235" s="958">
        <v>0.14499999999999999</v>
      </c>
      <c r="F235" s="959">
        <v>0.15</v>
      </c>
    </row>
    <row r="236" spans="1:6" ht="14.5" thickBot="1">
      <c r="A236" s="778" t="s">
        <v>527</v>
      </c>
      <c r="B236" s="772" t="s">
        <v>460</v>
      </c>
      <c r="C236" s="971"/>
      <c r="D236" s="971"/>
      <c r="E236" s="971"/>
      <c r="F236" s="959">
        <v>0.14299999999999999</v>
      </c>
    </row>
    <row r="237" spans="1:6" ht="26.5" thickBot="1">
      <c r="A237" s="778" t="s">
        <v>527</v>
      </c>
      <c r="B237" s="772" t="s">
        <v>745</v>
      </c>
      <c r="C237" s="971"/>
      <c r="D237" s="971"/>
      <c r="E237" s="971"/>
      <c r="F237" s="959">
        <v>0.05</v>
      </c>
    </row>
    <row r="238" spans="1:6" ht="26.5" thickBot="1">
      <c r="A238" s="778" t="s">
        <v>527</v>
      </c>
      <c r="B238" s="772" t="s">
        <v>746</v>
      </c>
      <c r="C238" s="971"/>
      <c r="D238" s="971"/>
      <c r="E238" s="971"/>
      <c r="F238" s="959">
        <v>0.05</v>
      </c>
    </row>
    <row r="239" spans="1:6" ht="26.5" thickBot="1">
      <c r="A239" s="778" t="s">
        <v>527</v>
      </c>
      <c r="B239" s="772" t="s">
        <v>747</v>
      </c>
      <c r="C239" s="971"/>
      <c r="D239" s="971"/>
      <c r="E239" s="971"/>
      <c r="F239" s="959">
        <v>0.05</v>
      </c>
    </row>
    <row r="240" spans="1:6" ht="26.5" thickBot="1">
      <c r="A240" s="778" t="s">
        <v>527</v>
      </c>
      <c r="B240" s="772" t="s">
        <v>748</v>
      </c>
      <c r="C240" s="971"/>
      <c r="D240" s="971"/>
      <c r="E240" s="971"/>
      <c r="F240" s="959">
        <v>0.05</v>
      </c>
    </row>
    <row r="241" spans="1:6" ht="26.5" thickBot="1">
      <c r="A241" s="778" t="s">
        <v>527</v>
      </c>
      <c r="B241" s="772" t="s">
        <v>749</v>
      </c>
      <c r="C241" s="971"/>
      <c r="D241" s="971"/>
      <c r="E241" s="971"/>
      <c r="F241" s="959">
        <v>0.05</v>
      </c>
    </row>
    <row r="242" spans="1:6" ht="26.5" thickBot="1">
      <c r="A242" s="778" t="s">
        <v>527</v>
      </c>
      <c r="B242" s="772" t="s">
        <v>750</v>
      </c>
      <c r="C242" s="971"/>
      <c r="D242" s="971"/>
      <c r="E242" s="971"/>
      <c r="F242" s="959">
        <v>0.05</v>
      </c>
    </row>
    <row r="243" spans="1:6" ht="26.5" thickBot="1">
      <c r="A243" s="778" t="s">
        <v>527</v>
      </c>
      <c r="B243" s="772" t="s">
        <v>751</v>
      </c>
      <c r="C243" s="971"/>
      <c r="D243" s="971"/>
      <c r="E243" s="971"/>
      <c r="F243" s="959">
        <v>0.05</v>
      </c>
    </row>
    <row r="244" spans="1:6" ht="26.5" thickBot="1">
      <c r="A244" s="788" t="s">
        <v>527</v>
      </c>
      <c r="B244" s="784" t="s">
        <v>752</v>
      </c>
      <c r="C244" s="968"/>
      <c r="D244" s="968"/>
      <c r="E244" s="968"/>
      <c r="F244" s="961">
        <v>0.05</v>
      </c>
    </row>
    <row r="245" spans="1:6" ht="14.5" thickBot="1">
      <c r="A245" s="778" t="s">
        <v>529</v>
      </c>
      <c r="B245" s="779" t="s">
        <v>753</v>
      </c>
      <c r="C245" s="956">
        <v>0.15</v>
      </c>
      <c r="D245" s="956">
        <v>0.15</v>
      </c>
      <c r="E245" s="956">
        <v>0.15</v>
      </c>
      <c r="F245" s="957">
        <v>0.14299999999999999</v>
      </c>
    </row>
    <row r="246" spans="1:6" ht="14.5" thickBot="1">
      <c r="A246" s="778" t="s">
        <v>529</v>
      </c>
      <c r="B246" s="772" t="s">
        <v>194</v>
      </c>
      <c r="C246" s="958">
        <v>0.15</v>
      </c>
      <c r="D246" s="958">
        <v>0.15</v>
      </c>
      <c r="E246" s="958">
        <v>0.15</v>
      </c>
      <c r="F246" s="959">
        <v>0.114</v>
      </c>
    </row>
    <row r="247" spans="1:6" ht="14.5" thickBot="1">
      <c r="A247" s="778" t="s">
        <v>529</v>
      </c>
      <c r="B247" s="772" t="s">
        <v>754</v>
      </c>
      <c r="C247" s="958">
        <v>0.15</v>
      </c>
      <c r="D247" s="958">
        <v>0.15</v>
      </c>
      <c r="E247" s="958">
        <v>0.15</v>
      </c>
      <c r="F247" s="959">
        <v>0.15</v>
      </c>
    </row>
    <row r="248" spans="1:6" ht="14.5" thickBot="1">
      <c r="A248" s="778" t="s">
        <v>529</v>
      </c>
      <c r="B248" s="772" t="s">
        <v>755</v>
      </c>
      <c r="C248" s="958">
        <v>0.15</v>
      </c>
      <c r="D248" s="958">
        <v>0.15</v>
      </c>
      <c r="E248" s="958">
        <v>0.15</v>
      </c>
      <c r="F248" s="959">
        <v>0.14000000000000001</v>
      </c>
    </row>
    <row r="249" spans="1:6" ht="14.5" thickBot="1">
      <c r="A249" s="778" t="s">
        <v>529</v>
      </c>
      <c r="B249" s="772" t="s">
        <v>756</v>
      </c>
      <c r="C249" s="958">
        <v>0.15</v>
      </c>
      <c r="D249" s="958">
        <v>0.14899999999999999</v>
      </c>
      <c r="E249" s="958">
        <v>0.15</v>
      </c>
      <c r="F249" s="959">
        <v>0.1</v>
      </c>
    </row>
    <row r="250" spans="1:6" ht="14.5" thickBot="1">
      <c r="A250" s="778" t="s">
        <v>529</v>
      </c>
      <c r="B250" s="772" t="s">
        <v>757</v>
      </c>
      <c r="C250" s="958">
        <v>0.15</v>
      </c>
      <c r="D250" s="958">
        <v>0.15</v>
      </c>
      <c r="E250" s="958">
        <v>0.15</v>
      </c>
      <c r="F250" s="959">
        <v>0.14399999999999999</v>
      </c>
    </row>
    <row r="251" spans="1:6" ht="14.5" thickBot="1">
      <c r="A251" s="778" t="s">
        <v>529</v>
      </c>
      <c r="B251" s="772" t="s">
        <v>254</v>
      </c>
      <c r="C251" s="958">
        <v>0.15</v>
      </c>
      <c r="D251" s="958">
        <v>0.15</v>
      </c>
      <c r="E251" s="958">
        <v>0.15</v>
      </c>
      <c r="F251" s="959">
        <v>0.14299999999999999</v>
      </c>
    </row>
    <row r="252" spans="1:6" ht="14.5" thickBot="1">
      <c r="A252" s="778" t="s">
        <v>529</v>
      </c>
      <c r="B252" s="772" t="s">
        <v>265</v>
      </c>
      <c r="C252" s="958">
        <v>0.15</v>
      </c>
      <c r="D252" s="958">
        <v>0.15</v>
      </c>
      <c r="E252" s="958">
        <v>0.15</v>
      </c>
      <c r="F252" s="959">
        <v>0.1</v>
      </c>
    </row>
    <row r="253" spans="1:6" ht="14.5" thickBot="1">
      <c r="A253" s="778" t="s">
        <v>529</v>
      </c>
      <c r="B253" s="772" t="s">
        <v>277</v>
      </c>
      <c r="C253" s="958">
        <v>0.15</v>
      </c>
      <c r="D253" s="958">
        <v>0.15</v>
      </c>
      <c r="E253" s="958">
        <v>0.15</v>
      </c>
      <c r="F253" s="959">
        <v>0.1</v>
      </c>
    </row>
    <row r="254" spans="1:6" ht="14.5" thickBot="1">
      <c r="A254" s="778" t="s">
        <v>529</v>
      </c>
      <c r="B254" s="772" t="s">
        <v>287</v>
      </c>
      <c r="C254" s="971"/>
      <c r="D254" s="971"/>
      <c r="E254" s="971"/>
      <c r="F254" s="959">
        <v>0.15</v>
      </c>
    </row>
    <row r="255" spans="1:6" ht="14.5" thickBot="1">
      <c r="A255" s="778" t="s">
        <v>529</v>
      </c>
      <c r="B255" s="772" t="s">
        <v>297</v>
      </c>
      <c r="C255" s="971"/>
      <c r="D255" s="971"/>
      <c r="E255" s="971"/>
      <c r="F255" s="959">
        <v>0.14299999999999999</v>
      </c>
    </row>
    <row r="256" spans="1:6" ht="14.5" thickBot="1">
      <c r="A256" s="778" t="s">
        <v>529</v>
      </c>
      <c r="B256" s="772" t="s">
        <v>758</v>
      </c>
      <c r="C256" s="958">
        <v>0.14599999999999999</v>
      </c>
      <c r="D256" s="958">
        <v>0.14699999999999999</v>
      </c>
      <c r="E256" s="958">
        <v>0.15</v>
      </c>
      <c r="F256" s="959">
        <v>0.13200000000000001</v>
      </c>
    </row>
    <row r="257" spans="1:6" ht="14.5" thickBot="1">
      <c r="A257" s="778" t="s">
        <v>529</v>
      </c>
      <c r="B257" s="772" t="s">
        <v>317</v>
      </c>
      <c r="C257" s="958">
        <v>0.15</v>
      </c>
      <c r="D257" s="958">
        <v>0.15</v>
      </c>
      <c r="E257" s="958">
        <v>0.15</v>
      </c>
      <c r="F257" s="959">
        <v>0.13900000000000001</v>
      </c>
    </row>
    <row r="258" spans="1:6" ht="14.5" thickBot="1">
      <c r="A258" s="778" t="s">
        <v>529</v>
      </c>
      <c r="B258" s="772" t="s">
        <v>328</v>
      </c>
      <c r="C258" s="958">
        <v>0.15</v>
      </c>
      <c r="D258" s="958">
        <v>0.15</v>
      </c>
      <c r="E258" s="958">
        <v>0.15</v>
      </c>
      <c r="F258" s="959">
        <v>0.13</v>
      </c>
    </row>
    <row r="259" spans="1:6" ht="14.5" thickBot="1">
      <c r="A259" s="778" t="s">
        <v>529</v>
      </c>
      <c r="B259" s="772" t="s">
        <v>759</v>
      </c>
      <c r="C259" s="958">
        <v>0.14799999999999999</v>
      </c>
      <c r="D259" s="958">
        <v>0.14899999999999999</v>
      </c>
      <c r="E259" s="958">
        <v>0.15</v>
      </c>
      <c r="F259" s="959">
        <v>0.13700000000000001</v>
      </c>
    </row>
    <row r="260" spans="1:6" ht="14.5" thickBot="1">
      <c r="A260" s="778" t="s">
        <v>529</v>
      </c>
      <c r="B260" s="772" t="s">
        <v>349</v>
      </c>
      <c r="C260" s="958">
        <v>0.15</v>
      </c>
      <c r="D260" s="958">
        <v>0.15</v>
      </c>
      <c r="E260" s="958">
        <v>0.15</v>
      </c>
      <c r="F260" s="959">
        <v>0.14199999999999999</v>
      </c>
    </row>
    <row r="261" spans="1:6" ht="14.5" thickBot="1">
      <c r="A261" s="778" t="s">
        <v>529</v>
      </c>
      <c r="B261" s="772" t="s">
        <v>359</v>
      </c>
      <c r="C261" s="958">
        <v>0.15</v>
      </c>
      <c r="D261" s="958">
        <v>0.15</v>
      </c>
      <c r="E261" s="958">
        <v>0.14899999999999999</v>
      </c>
      <c r="F261" s="959">
        <v>0.14799999999999999</v>
      </c>
    </row>
    <row r="262" spans="1:6" ht="14.5" thickBot="1">
      <c r="A262" s="778" t="s">
        <v>529</v>
      </c>
      <c r="B262" s="772" t="s">
        <v>369</v>
      </c>
      <c r="C262" s="958">
        <v>0.15</v>
      </c>
      <c r="D262" s="958">
        <v>0.15</v>
      </c>
      <c r="E262" s="958">
        <v>0.15</v>
      </c>
      <c r="F262" s="970"/>
    </row>
    <row r="263" spans="1:6" ht="14.5" thickBot="1">
      <c r="A263" s="778" t="s">
        <v>529</v>
      </c>
      <c r="B263" s="772" t="s">
        <v>760</v>
      </c>
      <c r="C263" s="958">
        <v>0.14899999999999999</v>
      </c>
      <c r="D263" s="958">
        <v>0.14899999999999999</v>
      </c>
      <c r="E263" s="958">
        <v>0.15</v>
      </c>
      <c r="F263" s="959">
        <v>0.13</v>
      </c>
    </row>
    <row r="264" spans="1:6" ht="14.5" thickBot="1">
      <c r="A264" s="778" t="s">
        <v>529</v>
      </c>
      <c r="B264" s="772" t="s">
        <v>388</v>
      </c>
      <c r="C264" s="958">
        <v>0.14799999999999999</v>
      </c>
      <c r="D264" s="958">
        <v>0.14699999999999999</v>
      </c>
      <c r="E264" s="958">
        <v>0.15</v>
      </c>
      <c r="F264" s="959">
        <v>7.8E-2</v>
      </c>
    </row>
    <row r="265" spans="1:6" ht="14.5" thickBot="1">
      <c r="A265" s="778" t="s">
        <v>529</v>
      </c>
      <c r="B265" s="772" t="s">
        <v>397</v>
      </c>
      <c r="C265" s="958">
        <v>0.15</v>
      </c>
      <c r="D265" s="958">
        <v>0.15</v>
      </c>
      <c r="E265" s="958">
        <v>0.15</v>
      </c>
      <c r="F265" s="959">
        <v>7.3999999999999996E-2</v>
      </c>
    </row>
    <row r="266" spans="1:6" ht="14.5" thickBot="1">
      <c r="A266" s="778" t="s">
        <v>529</v>
      </c>
      <c r="B266" s="772" t="s">
        <v>405</v>
      </c>
      <c r="C266" s="958">
        <v>0.14699999999999999</v>
      </c>
      <c r="D266" s="958">
        <v>0.14699999999999999</v>
      </c>
      <c r="E266" s="958">
        <v>0.15</v>
      </c>
      <c r="F266" s="959">
        <v>0.14299999999999999</v>
      </c>
    </row>
    <row r="267" spans="1:6" ht="14.5" thickBot="1">
      <c r="A267" s="778" t="s">
        <v>529</v>
      </c>
      <c r="B267" s="772" t="s">
        <v>412</v>
      </c>
      <c r="C267" s="958">
        <v>0.14199999999999999</v>
      </c>
      <c r="D267" s="958">
        <v>0.14299999999999999</v>
      </c>
      <c r="E267" s="958">
        <v>0.15</v>
      </c>
      <c r="F267" s="970"/>
    </row>
    <row r="268" spans="1:6" ht="14.5" thickBot="1">
      <c r="A268" s="778" t="s">
        <v>529</v>
      </c>
      <c r="B268" s="772" t="s">
        <v>761</v>
      </c>
      <c r="C268" s="958">
        <v>0.15</v>
      </c>
      <c r="D268" s="958">
        <v>0.15</v>
      </c>
      <c r="E268" s="958">
        <v>0.15</v>
      </c>
      <c r="F268" s="959">
        <v>0.13</v>
      </c>
    </row>
    <row r="269" spans="1:6" ht="14.5" thickBot="1">
      <c r="A269" s="778" t="s">
        <v>529</v>
      </c>
      <c r="B269" s="772" t="s">
        <v>426</v>
      </c>
      <c r="C269" s="958">
        <v>0.15</v>
      </c>
      <c r="D269" s="958">
        <v>0.15</v>
      </c>
      <c r="E269" s="958">
        <v>0.15</v>
      </c>
      <c r="F269" s="959">
        <v>0.14299999999999999</v>
      </c>
    </row>
    <row r="270" spans="1:6" ht="14.5" thickBot="1">
      <c r="A270" s="778" t="s">
        <v>529</v>
      </c>
      <c r="B270" s="772" t="s">
        <v>433</v>
      </c>
      <c r="C270" s="958">
        <v>0.14499999999999999</v>
      </c>
      <c r="D270" s="958">
        <v>0.14499999999999999</v>
      </c>
      <c r="E270" s="958">
        <v>0.15</v>
      </c>
      <c r="F270" s="959">
        <v>0.14699999999999999</v>
      </c>
    </row>
    <row r="271" spans="1:6" ht="14.5" thickBot="1">
      <c r="A271" s="778" t="s">
        <v>529</v>
      </c>
      <c r="B271" s="772" t="s">
        <v>440</v>
      </c>
      <c r="C271" s="958">
        <v>0.15</v>
      </c>
      <c r="D271" s="958">
        <v>0.15</v>
      </c>
      <c r="E271" s="958">
        <v>0.15</v>
      </c>
      <c r="F271" s="959">
        <v>0.13800000000000001</v>
      </c>
    </row>
    <row r="272" spans="1:6" ht="14.5" thickBot="1">
      <c r="A272" s="778" t="s">
        <v>529</v>
      </c>
      <c r="B272" s="772" t="s">
        <v>447</v>
      </c>
      <c r="C272" s="971"/>
      <c r="D272" s="971"/>
      <c r="E272" s="971"/>
      <c r="F272" s="959">
        <v>0.14000000000000001</v>
      </c>
    </row>
    <row r="273" spans="1:6" ht="14.5" thickBot="1">
      <c r="A273" s="778" t="s">
        <v>529</v>
      </c>
      <c r="B273" s="772" t="s">
        <v>762</v>
      </c>
      <c r="C273" s="958">
        <v>0.14199999999999999</v>
      </c>
      <c r="D273" s="958">
        <v>0.14299999999999999</v>
      </c>
      <c r="E273" s="958">
        <v>0.15</v>
      </c>
      <c r="F273" s="959">
        <v>0.1</v>
      </c>
    </row>
    <row r="274" spans="1:6" ht="14.5" thickBot="1">
      <c r="A274" s="778" t="s">
        <v>529</v>
      </c>
      <c r="B274" s="772" t="s">
        <v>763</v>
      </c>
      <c r="C274" s="958">
        <v>0.14799999999999999</v>
      </c>
      <c r="D274" s="958">
        <v>0.14799999999999999</v>
      </c>
      <c r="E274" s="958">
        <v>0.15</v>
      </c>
      <c r="F274" s="959">
        <v>6.7000000000000004E-2</v>
      </c>
    </row>
    <row r="275" spans="1:6" ht="14.5" thickBot="1">
      <c r="A275" s="778" t="s">
        <v>529</v>
      </c>
      <c r="B275" s="772" t="s">
        <v>764</v>
      </c>
      <c r="C275" s="958">
        <v>0.15</v>
      </c>
      <c r="D275" s="958">
        <v>0.15</v>
      </c>
      <c r="E275" s="958">
        <v>0.15</v>
      </c>
      <c r="F275" s="959">
        <v>0.15</v>
      </c>
    </row>
    <row r="276" spans="1:6" ht="14.5" thickBot="1">
      <c r="A276" s="778" t="s">
        <v>529</v>
      </c>
      <c r="B276" s="772" t="s">
        <v>765</v>
      </c>
      <c r="C276" s="958">
        <v>0.14499999999999999</v>
      </c>
      <c r="D276" s="958">
        <v>0.14299999999999999</v>
      </c>
      <c r="E276" s="958">
        <v>0.15</v>
      </c>
      <c r="F276" s="959">
        <v>5.8999999999999997E-2</v>
      </c>
    </row>
    <row r="277" spans="1:6" ht="14.5" thickBot="1">
      <c r="A277" s="778" t="s">
        <v>529</v>
      </c>
      <c r="B277" s="772" t="s">
        <v>766</v>
      </c>
      <c r="C277" s="958">
        <v>0.15</v>
      </c>
      <c r="D277" s="958">
        <v>0.15</v>
      </c>
      <c r="E277" s="958">
        <v>0.15</v>
      </c>
      <c r="F277" s="959">
        <v>0.121</v>
      </c>
    </row>
    <row r="278" spans="1:6" ht="14.5" thickBot="1">
      <c r="A278" s="778" t="s">
        <v>529</v>
      </c>
      <c r="B278" s="772" t="s">
        <v>767</v>
      </c>
      <c r="C278" s="958">
        <v>0.15</v>
      </c>
      <c r="D278" s="958">
        <v>0.15</v>
      </c>
      <c r="E278" s="958">
        <v>0.15</v>
      </c>
      <c r="F278" s="959">
        <v>0.13800000000000001</v>
      </c>
    </row>
    <row r="279" spans="1:6" ht="26.5" thickBot="1">
      <c r="A279" s="778" t="s">
        <v>529</v>
      </c>
      <c r="B279" s="772" t="s">
        <v>768</v>
      </c>
      <c r="C279" s="971"/>
      <c r="D279" s="971"/>
      <c r="E279" s="971"/>
      <c r="F279" s="959">
        <v>0.05</v>
      </c>
    </row>
    <row r="280" spans="1:6" ht="26.5" thickBot="1">
      <c r="A280" s="778" t="s">
        <v>529</v>
      </c>
      <c r="B280" s="772" t="s">
        <v>769</v>
      </c>
      <c r="C280" s="971"/>
      <c r="D280" s="971"/>
      <c r="E280" s="971"/>
      <c r="F280" s="959">
        <v>0.05</v>
      </c>
    </row>
    <row r="281" spans="1:6" ht="26.5" thickBot="1">
      <c r="A281" s="778" t="s">
        <v>529</v>
      </c>
      <c r="B281" s="772" t="s">
        <v>770</v>
      </c>
      <c r="C281" s="971"/>
      <c r="D281" s="971"/>
      <c r="E281" s="971"/>
      <c r="F281" s="959">
        <v>0.05</v>
      </c>
    </row>
    <row r="282" spans="1:6" ht="26.5" thickBot="1">
      <c r="A282" s="778" t="s">
        <v>529</v>
      </c>
      <c r="B282" s="772" t="s">
        <v>771</v>
      </c>
      <c r="C282" s="971"/>
      <c r="D282" s="971"/>
      <c r="E282" s="971"/>
      <c r="F282" s="959">
        <v>0.05</v>
      </c>
    </row>
    <row r="283" spans="1:6" ht="26.5" thickBot="1">
      <c r="A283" s="778" t="s">
        <v>529</v>
      </c>
      <c r="B283" s="772" t="s">
        <v>772</v>
      </c>
      <c r="C283" s="971"/>
      <c r="D283" s="971"/>
      <c r="E283" s="971"/>
      <c r="F283" s="959">
        <v>0.05</v>
      </c>
    </row>
    <row r="284" spans="1:6" ht="26.5" thickBot="1">
      <c r="A284" s="778" t="s">
        <v>529</v>
      </c>
      <c r="B284" s="772" t="s">
        <v>773</v>
      </c>
      <c r="C284" s="971"/>
      <c r="D284" s="971"/>
      <c r="E284" s="971"/>
      <c r="F284" s="959">
        <v>0.05</v>
      </c>
    </row>
    <row r="285" spans="1:6" ht="26.5" thickBot="1">
      <c r="A285" s="778" t="s">
        <v>529</v>
      </c>
      <c r="B285" s="772" t="s">
        <v>774</v>
      </c>
      <c r="C285" s="971"/>
      <c r="D285" s="971"/>
      <c r="E285" s="971"/>
      <c r="F285" s="959">
        <v>0.05</v>
      </c>
    </row>
    <row r="286" spans="1:6" ht="26.5" thickBot="1">
      <c r="A286" s="778" t="s">
        <v>529</v>
      </c>
      <c r="B286" s="772" t="s">
        <v>775</v>
      </c>
      <c r="C286" s="971"/>
      <c r="D286" s="971"/>
      <c r="E286" s="971"/>
      <c r="F286" s="959">
        <v>0.05</v>
      </c>
    </row>
    <row r="287" spans="1:6" ht="26.5" thickBot="1">
      <c r="A287" s="778" t="s">
        <v>529</v>
      </c>
      <c r="B287" s="772" t="s">
        <v>776</v>
      </c>
      <c r="C287" s="971"/>
      <c r="D287" s="971"/>
      <c r="E287" s="971"/>
      <c r="F287" s="959">
        <v>0.05</v>
      </c>
    </row>
    <row r="288" spans="1:6" ht="26.5" thickBot="1">
      <c r="A288" s="778" t="s">
        <v>529</v>
      </c>
      <c r="B288" s="772" t="s">
        <v>777</v>
      </c>
      <c r="C288" s="971"/>
      <c r="D288" s="971"/>
      <c r="E288" s="971"/>
      <c r="F288" s="959">
        <v>0.05</v>
      </c>
    </row>
    <row r="289" spans="1:6" ht="26.5" thickBot="1">
      <c r="A289" s="788" t="s">
        <v>529</v>
      </c>
      <c r="B289" s="784" t="s">
        <v>778</v>
      </c>
      <c r="C289" s="968"/>
      <c r="D289" s="968"/>
      <c r="E289" s="968"/>
      <c r="F289" s="961">
        <v>0.05</v>
      </c>
    </row>
    <row r="290" spans="1:6" ht="14.5" thickBot="1">
      <c r="A290" s="778" t="s">
        <v>533</v>
      </c>
      <c r="B290" s="779" t="s">
        <v>779</v>
      </c>
      <c r="C290" s="956">
        <v>0.15</v>
      </c>
      <c r="D290" s="956">
        <v>0.15</v>
      </c>
      <c r="E290" s="956">
        <v>0.15</v>
      </c>
      <c r="F290" s="973"/>
    </row>
    <row r="291" spans="1:6" ht="14.5" thickBot="1">
      <c r="A291" s="778" t="s">
        <v>533</v>
      </c>
      <c r="B291" s="772" t="s">
        <v>195</v>
      </c>
      <c r="C291" s="958">
        <v>0.15</v>
      </c>
      <c r="D291" s="958">
        <v>0.15</v>
      </c>
      <c r="E291" s="958">
        <v>0.15</v>
      </c>
      <c r="F291" s="970"/>
    </row>
    <row r="292" spans="1:6" ht="14.5" thickBot="1">
      <c r="A292" s="778" t="s">
        <v>533</v>
      </c>
      <c r="B292" s="772" t="s">
        <v>780</v>
      </c>
      <c r="C292" s="958">
        <v>0.15</v>
      </c>
      <c r="D292" s="958">
        <v>0.15</v>
      </c>
      <c r="E292" s="958">
        <v>0.15</v>
      </c>
      <c r="F292" s="959">
        <v>0.14699999999999999</v>
      </c>
    </row>
    <row r="293" spans="1:6" ht="14.5" thickBot="1">
      <c r="A293" s="778" t="s">
        <v>533</v>
      </c>
      <c r="B293" s="772" t="s">
        <v>781</v>
      </c>
      <c r="C293" s="971"/>
      <c r="D293" s="971"/>
      <c r="E293" s="971"/>
      <c r="F293" s="959">
        <v>0.1</v>
      </c>
    </row>
    <row r="294" spans="1:6" ht="14.5" thickBot="1">
      <c r="A294" s="778" t="s">
        <v>533</v>
      </c>
      <c r="B294" s="772" t="s">
        <v>782</v>
      </c>
      <c r="C294" s="958">
        <v>0.15</v>
      </c>
      <c r="D294" s="958">
        <v>0.15</v>
      </c>
      <c r="E294" s="958">
        <v>0.15</v>
      </c>
      <c r="F294" s="959">
        <v>0.15</v>
      </c>
    </row>
    <row r="295" spans="1:6" ht="14.5" thickBot="1">
      <c r="A295" s="778" t="s">
        <v>533</v>
      </c>
      <c r="B295" s="772" t="s">
        <v>233</v>
      </c>
      <c r="C295" s="958">
        <v>0.15</v>
      </c>
      <c r="D295" s="958">
        <v>0.15</v>
      </c>
      <c r="E295" s="958">
        <v>0.15</v>
      </c>
      <c r="F295" s="959">
        <v>0.15</v>
      </c>
    </row>
    <row r="296" spans="1:6" ht="14.5" thickBot="1">
      <c r="A296" s="778" t="s">
        <v>533</v>
      </c>
      <c r="B296" s="772" t="s">
        <v>783</v>
      </c>
      <c r="C296" s="958">
        <v>0.15</v>
      </c>
      <c r="D296" s="958">
        <v>0.15</v>
      </c>
      <c r="E296" s="958">
        <v>0.15</v>
      </c>
      <c r="F296" s="959">
        <v>0.15</v>
      </c>
    </row>
    <row r="297" spans="1:6" ht="14.5" thickBot="1">
      <c r="A297" s="778" t="s">
        <v>533</v>
      </c>
      <c r="B297" s="772" t="s">
        <v>784</v>
      </c>
      <c r="C297" s="958">
        <v>0.14799999999999999</v>
      </c>
      <c r="D297" s="958">
        <v>0.14899999999999999</v>
      </c>
      <c r="E297" s="958">
        <v>0.15</v>
      </c>
      <c r="F297" s="959">
        <v>0.13700000000000001</v>
      </c>
    </row>
    <row r="298" spans="1:6" ht="14.5" thickBot="1">
      <c r="A298" s="778" t="s">
        <v>533</v>
      </c>
      <c r="B298" s="772" t="s">
        <v>266</v>
      </c>
      <c r="C298" s="958">
        <v>0.13400000000000001</v>
      </c>
      <c r="D298" s="958">
        <v>0.13400000000000001</v>
      </c>
      <c r="E298" s="958">
        <v>0.14499999999999999</v>
      </c>
      <c r="F298" s="959">
        <v>0.14799999999999999</v>
      </c>
    </row>
    <row r="299" spans="1:6" ht="14.5" thickBot="1">
      <c r="A299" s="778" t="s">
        <v>533</v>
      </c>
      <c r="B299" s="772" t="s">
        <v>278</v>
      </c>
      <c r="C299" s="958">
        <v>0.15</v>
      </c>
      <c r="D299" s="958">
        <v>0.15</v>
      </c>
      <c r="E299" s="958">
        <v>0.15</v>
      </c>
      <c r="F299" s="970"/>
    </row>
    <row r="300" spans="1:6" ht="14.5" thickBot="1">
      <c r="A300" s="778" t="s">
        <v>533</v>
      </c>
      <c r="B300" s="772" t="s">
        <v>785</v>
      </c>
      <c r="C300" s="958">
        <v>0.15</v>
      </c>
      <c r="D300" s="958">
        <v>0.15</v>
      </c>
      <c r="E300" s="958">
        <v>0.15</v>
      </c>
      <c r="F300" s="959">
        <v>0.15</v>
      </c>
    </row>
    <row r="301" spans="1:6" ht="14.5" thickBot="1">
      <c r="A301" s="778" t="s">
        <v>533</v>
      </c>
      <c r="B301" s="772" t="s">
        <v>298</v>
      </c>
      <c r="C301" s="958">
        <v>0.15</v>
      </c>
      <c r="D301" s="958">
        <v>0.15</v>
      </c>
      <c r="E301" s="958">
        <v>0.15</v>
      </c>
      <c r="F301" s="970"/>
    </row>
    <row r="302" spans="1:6" ht="14.5" thickBot="1">
      <c r="A302" s="778" t="s">
        <v>533</v>
      </c>
      <c r="B302" s="772" t="s">
        <v>786</v>
      </c>
      <c r="C302" s="958">
        <v>0.15</v>
      </c>
      <c r="D302" s="958">
        <v>0.15</v>
      </c>
      <c r="E302" s="958">
        <v>0.15</v>
      </c>
      <c r="F302" s="959">
        <v>0.15</v>
      </c>
    </row>
    <row r="303" spans="1:6" ht="14.5" thickBot="1">
      <c r="A303" s="778" t="s">
        <v>533</v>
      </c>
      <c r="B303" s="772" t="s">
        <v>318</v>
      </c>
      <c r="C303" s="958">
        <v>0.15</v>
      </c>
      <c r="D303" s="958">
        <v>0.15</v>
      </c>
      <c r="E303" s="958">
        <v>0.15</v>
      </c>
      <c r="F303" s="959">
        <v>0.15</v>
      </c>
    </row>
    <row r="304" spans="1:6" ht="14.5" thickBot="1">
      <c r="A304" s="778" t="s">
        <v>533</v>
      </c>
      <c r="B304" s="772" t="s">
        <v>329</v>
      </c>
      <c r="C304" s="958">
        <v>0.15</v>
      </c>
      <c r="D304" s="958">
        <v>0.15</v>
      </c>
      <c r="E304" s="958">
        <v>0.15</v>
      </c>
      <c r="F304" s="970"/>
    </row>
    <row r="305" spans="1:6" ht="14.5" thickBot="1">
      <c r="A305" s="778" t="s">
        <v>533</v>
      </c>
      <c r="B305" s="772" t="s">
        <v>787</v>
      </c>
      <c r="C305" s="958">
        <v>0.15</v>
      </c>
      <c r="D305" s="958">
        <v>0.15</v>
      </c>
      <c r="E305" s="958">
        <v>0.15</v>
      </c>
      <c r="F305" s="959">
        <v>0.14000000000000001</v>
      </c>
    </row>
    <row r="306" spans="1:6" ht="14.5" thickBot="1">
      <c r="A306" s="778" t="s">
        <v>533</v>
      </c>
      <c r="B306" s="772" t="s">
        <v>350</v>
      </c>
      <c r="C306" s="958">
        <v>0.15</v>
      </c>
      <c r="D306" s="958">
        <v>0.15</v>
      </c>
      <c r="E306" s="958">
        <v>0.15</v>
      </c>
      <c r="F306" s="970"/>
    </row>
    <row r="307" spans="1:6" ht="14.5" thickBot="1">
      <c r="A307" s="778" t="s">
        <v>533</v>
      </c>
      <c r="B307" s="772" t="s">
        <v>788</v>
      </c>
      <c r="C307" s="958">
        <v>0.15</v>
      </c>
      <c r="D307" s="958">
        <v>0.15</v>
      </c>
      <c r="E307" s="958">
        <v>0.15</v>
      </c>
      <c r="F307" s="959">
        <v>0.14299999999999999</v>
      </c>
    </row>
    <row r="308" spans="1:6" ht="14.5" thickBot="1">
      <c r="A308" s="778" t="s">
        <v>533</v>
      </c>
      <c r="B308" s="772" t="s">
        <v>370</v>
      </c>
      <c r="C308" s="958">
        <v>0.15</v>
      </c>
      <c r="D308" s="958">
        <v>0.15</v>
      </c>
      <c r="E308" s="958">
        <v>0.15</v>
      </c>
      <c r="F308" s="959">
        <v>0.15</v>
      </c>
    </row>
    <row r="309" spans="1:6" ht="14.5" thickBot="1">
      <c r="A309" s="778" t="s">
        <v>533</v>
      </c>
      <c r="B309" s="772" t="s">
        <v>380</v>
      </c>
      <c r="C309" s="958">
        <v>0.15</v>
      </c>
      <c r="D309" s="958">
        <v>0.15</v>
      </c>
      <c r="E309" s="958">
        <v>0.15</v>
      </c>
      <c r="F309" s="970"/>
    </row>
    <row r="310" spans="1:6" ht="14.5" thickBot="1">
      <c r="A310" s="778" t="s">
        <v>533</v>
      </c>
      <c r="B310" s="772" t="s">
        <v>789</v>
      </c>
      <c r="C310" s="958">
        <v>0.15</v>
      </c>
      <c r="D310" s="958">
        <v>0.15</v>
      </c>
      <c r="E310" s="958">
        <v>0.15</v>
      </c>
      <c r="F310" s="959">
        <v>0.13700000000000001</v>
      </c>
    </row>
    <row r="311" spans="1:6" ht="14.5" thickBot="1">
      <c r="A311" s="778" t="s">
        <v>533</v>
      </c>
      <c r="B311" s="772" t="s">
        <v>790</v>
      </c>
      <c r="C311" s="958">
        <v>0.15</v>
      </c>
      <c r="D311" s="958">
        <v>0.15</v>
      </c>
      <c r="E311" s="958">
        <v>0.15</v>
      </c>
      <c r="F311" s="959">
        <v>0.15</v>
      </c>
    </row>
    <row r="312" spans="1:6" ht="14.5" thickBot="1">
      <c r="A312" s="778" t="s">
        <v>533</v>
      </c>
      <c r="B312" s="772" t="s">
        <v>406</v>
      </c>
      <c r="C312" s="958">
        <v>0.15</v>
      </c>
      <c r="D312" s="958">
        <v>0.15</v>
      </c>
      <c r="E312" s="958">
        <v>0.15</v>
      </c>
      <c r="F312" s="959">
        <v>0.1</v>
      </c>
    </row>
    <row r="313" spans="1:6" ht="14.5" thickBot="1">
      <c r="A313" s="778" t="s">
        <v>533</v>
      </c>
      <c r="B313" s="772" t="s">
        <v>791</v>
      </c>
      <c r="C313" s="958">
        <v>0.15</v>
      </c>
      <c r="D313" s="958">
        <v>0.15</v>
      </c>
      <c r="E313" s="958">
        <v>0.15</v>
      </c>
      <c r="F313" s="959">
        <v>0.15</v>
      </c>
    </row>
    <row r="314" spans="1:6" ht="26.5" thickBot="1">
      <c r="A314" s="778" t="s">
        <v>533</v>
      </c>
      <c r="B314" s="772" t="s">
        <v>792</v>
      </c>
      <c r="C314" s="971"/>
      <c r="D314" s="971"/>
      <c r="E314" s="971"/>
      <c r="F314" s="959">
        <v>0.05</v>
      </c>
    </row>
    <row r="315" spans="1:6" ht="26.5" thickBot="1">
      <c r="A315" s="778" t="s">
        <v>533</v>
      </c>
      <c r="B315" s="772" t="s">
        <v>793</v>
      </c>
      <c r="C315" s="971"/>
      <c r="D315" s="971"/>
      <c r="E315" s="971"/>
      <c r="F315" s="959">
        <v>0.05</v>
      </c>
    </row>
    <row r="316" spans="1:6" ht="26.5" thickBot="1">
      <c r="A316" s="788" t="s">
        <v>533</v>
      </c>
      <c r="B316" s="784" t="s">
        <v>794</v>
      </c>
      <c r="C316" s="968"/>
      <c r="D316" s="968"/>
      <c r="E316" s="968"/>
      <c r="F316" s="961">
        <v>0.05</v>
      </c>
    </row>
    <row r="317" spans="1:6" ht="14.5" thickBot="1">
      <c r="A317" s="778" t="s">
        <v>795</v>
      </c>
      <c r="B317" s="779" t="s">
        <v>796</v>
      </c>
      <c r="C317" s="956">
        <v>0.15</v>
      </c>
      <c r="D317" s="956">
        <v>0.15</v>
      </c>
      <c r="E317" s="956">
        <v>0.15</v>
      </c>
      <c r="F317" s="957">
        <v>0.15</v>
      </c>
    </row>
    <row r="318" spans="1:6" ht="14.5" thickBot="1">
      <c r="A318" s="778" t="s">
        <v>795</v>
      </c>
      <c r="B318" s="772" t="s">
        <v>797</v>
      </c>
      <c r="C318" s="958">
        <v>0.107</v>
      </c>
      <c r="D318" s="958">
        <v>0.11</v>
      </c>
      <c r="E318" s="958">
        <v>0.112</v>
      </c>
      <c r="F318" s="970"/>
    </row>
    <row r="319" spans="1:6" ht="14.5" thickBot="1">
      <c r="A319" s="778" t="s">
        <v>795</v>
      </c>
      <c r="B319" s="772" t="s">
        <v>798</v>
      </c>
      <c r="C319" s="958">
        <v>0.15</v>
      </c>
      <c r="D319" s="958">
        <v>0.15</v>
      </c>
      <c r="E319" s="958">
        <v>0.15</v>
      </c>
      <c r="F319" s="959">
        <v>0.15</v>
      </c>
    </row>
    <row r="320" spans="1:6" ht="14.5" thickBot="1">
      <c r="A320" s="778" t="s">
        <v>795</v>
      </c>
      <c r="B320" s="772" t="s">
        <v>222</v>
      </c>
      <c r="C320" s="958">
        <v>0.15</v>
      </c>
      <c r="D320" s="958">
        <v>0.15</v>
      </c>
      <c r="E320" s="958">
        <v>0.15</v>
      </c>
      <c r="F320" s="970"/>
    </row>
    <row r="321" spans="1:6" ht="14.5" thickBot="1">
      <c r="A321" s="778" t="s">
        <v>795</v>
      </c>
      <c r="B321" s="772" t="s">
        <v>799</v>
      </c>
      <c r="C321" s="958">
        <v>0.15</v>
      </c>
      <c r="D321" s="958">
        <v>0.15</v>
      </c>
      <c r="E321" s="958">
        <v>0.15</v>
      </c>
      <c r="F321" s="970"/>
    </row>
    <row r="322" spans="1:6" ht="14.5" thickBot="1">
      <c r="A322" s="778" t="s">
        <v>795</v>
      </c>
      <c r="B322" s="772" t="s">
        <v>800</v>
      </c>
      <c r="C322" s="958">
        <v>0.15</v>
      </c>
      <c r="D322" s="958">
        <v>0.15</v>
      </c>
      <c r="E322" s="958">
        <v>0.15</v>
      </c>
      <c r="F322" s="959">
        <v>0.15</v>
      </c>
    </row>
    <row r="323" spans="1:6" ht="14.5" thickBot="1">
      <c r="A323" s="778" t="s">
        <v>795</v>
      </c>
      <c r="B323" s="772" t="s">
        <v>801</v>
      </c>
      <c r="C323" s="958">
        <v>0.15</v>
      </c>
      <c r="D323" s="958">
        <v>0.15</v>
      </c>
      <c r="E323" s="958">
        <v>0.15</v>
      </c>
      <c r="F323" s="970"/>
    </row>
    <row r="324" spans="1:6" ht="14.5" thickBot="1">
      <c r="A324" s="778" t="s">
        <v>795</v>
      </c>
      <c r="B324" s="772" t="s">
        <v>802</v>
      </c>
      <c r="C324" s="958">
        <v>0.15</v>
      </c>
      <c r="D324" s="958">
        <v>0.15</v>
      </c>
      <c r="E324" s="958">
        <v>0.15</v>
      </c>
      <c r="F324" s="970"/>
    </row>
    <row r="325" spans="1:6" ht="14.5" thickBot="1">
      <c r="A325" s="778" t="s">
        <v>795</v>
      </c>
      <c r="B325" s="772" t="s">
        <v>803</v>
      </c>
      <c r="C325" s="958">
        <v>0.15</v>
      </c>
      <c r="D325" s="958">
        <v>0.15</v>
      </c>
      <c r="E325" s="958">
        <v>0.15</v>
      </c>
      <c r="F325" s="959">
        <v>0.14699999999999999</v>
      </c>
    </row>
    <row r="326" spans="1:6" ht="14.5" thickBot="1">
      <c r="A326" s="778" t="s">
        <v>795</v>
      </c>
      <c r="B326" s="772" t="s">
        <v>289</v>
      </c>
      <c r="C326" s="958">
        <v>0.15</v>
      </c>
      <c r="D326" s="958">
        <v>0.15</v>
      </c>
      <c r="E326" s="958">
        <v>0.15</v>
      </c>
      <c r="F326" s="970"/>
    </row>
    <row r="327" spans="1:6" ht="14.5" thickBot="1">
      <c r="A327" s="778" t="s">
        <v>795</v>
      </c>
      <c r="B327" s="772" t="s">
        <v>804</v>
      </c>
      <c r="C327" s="958">
        <v>0.15</v>
      </c>
      <c r="D327" s="958">
        <v>0.15</v>
      </c>
      <c r="E327" s="958">
        <v>0.15</v>
      </c>
      <c r="F327" s="959">
        <v>0.15</v>
      </c>
    </row>
    <row r="328" spans="1:6" ht="14.5" thickBot="1">
      <c r="A328" s="778" t="s">
        <v>795</v>
      </c>
      <c r="B328" s="772" t="s">
        <v>309</v>
      </c>
      <c r="C328" s="958">
        <v>0.15</v>
      </c>
      <c r="D328" s="958">
        <v>0.15</v>
      </c>
      <c r="E328" s="958">
        <v>0.15</v>
      </c>
      <c r="F328" s="959">
        <v>0.14099999999999999</v>
      </c>
    </row>
    <row r="329" spans="1:6" ht="14.5" thickBot="1">
      <c r="A329" s="778" t="s">
        <v>795</v>
      </c>
      <c r="B329" s="772" t="s">
        <v>319</v>
      </c>
      <c r="C329" s="958">
        <v>0.15</v>
      </c>
      <c r="D329" s="958">
        <v>0.15</v>
      </c>
      <c r="E329" s="958">
        <v>0.15</v>
      </c>
      <c r="F329" s="959">
        <v>0.15</v>
      </c>
    </row>
    <row r="330" spans="1:6" ht="14.5" thickBot="1">
      <c r="A330" s="778" t="s">
        <v>795</v>
      </c>
      <c r="B330" s="772" t="s">
        <v>330</v>
      </c>
      <c r="C330" s="958">
        <v>0.15</v>
      </c>
      <c r="D330" s="958">
        <v>0.15</v>
      </c>
      <c r="E330" s="958">
        <v>0.15</v>
      </c>
      <c r="F330" s="970"/>
    </row>
    <row r="331" spans="1:6" ht="14.5" thickBot="1">
      <c r="A331" s="778" t="s">
        <v>795</v>
      </c>
      <c r="B331" s="772" t="s">
        <v>805</v>
      </c>
      <c r="C331" s="958">
        <v>0.15</v>
      </c>
      <c r="D331" s="958">
        <v>0.15</v>
      </c>
      <c r="E331" s="958">
        <v>0.15</v>
      </c>
      <c r="F331" s="959">
        <v>0.15</v>
      </c>
    </row>
    <row r="332" spans="1:6" ht="14.5" thickBot="1">
      <c r="A332" s="778" t="s">
        <v>795</v>
      </c>
      <c r="B332" s="772" t="s">
        <v>351</v>
      </c>
      <c r="C332" s="958">
        <v>0.15</v>
      </c>
      <c r="D332" s="958">
        <v>0.15</v>
      </c>
      <c r="E332" s="958">
        <v>0.15</v>
      </c>
      <c r="F332" s="959">
        <v>0.15</v>
      </c>
    </row>
    <row r="333" spans="1:6" ht="14.5" thickBot="1">
      <c r="A333" s="778" t="s">
        <v>795</v>
      </c>
      <c r="B333" s="772" t="s">
        <v>806</v>
      </c>
      <c r="C333" s="958">
        <v>0.15</v>
      </c>
      <c r="D333" s="958">
        <v>0.15</v>
      </c>
      <c r="E333" s="958">
        <v>0.15</v>
      </c>
      <c r="F333" s="959">
        <v>0.14099999999999999</v>
      </c>
    </row>
    <row r="334" spans="1:6" ht="14.5" thickBot="1">
      <c r="A334" s="778" t="s">
        <v>795</v>
      </c>
      <c r="B334" s="772" t="s">
        <v>371</v>
      </c>
      <c r="C334" s="958">
        <v>0.15</v>
      </c>
      <c r="D334" s="958">
        <v>0.15</v>
      </c>
      <c r="E334" s="958">
        <v>0.15</v>
      </c>
      <c r="F334" s="959">
        <v>0.15</v>
      </c>
    </row>
    <row r="335" spans="1:6" ht="14.5" thickBot="1">
      <c r="A335" s="778" t="s">
        <v>795</v>
      </c>
      <c r="B335" s="772" t="s">
        <v>381</v>
      </c>
      <c r="C335" s="958">
        <v>0.15</v>
      </c>
      <c r="D335" s="958">
        <v>0.15</v>
      </c>
      <c r="E335" s="958">
        <v>0.15</v>
      </c>
      <c r="F335" s="970"/>
    </row>
    <row r="336" spans="1:6" ht="14.5" thickBot="1">
      <c r="A336" s="778" t="s">
        <v>795</v>
      </c>
      <c r="B336" s="772" t="s">
        <v>807</v>
      </c>
      <c r="C336" s="958">
        <v>0.15</v>
      </c>
      <c r="D336" s="958">
        <v>0.15</v>
      </c>
      <c r="E336" s="958">
        <v>0.15</v>
      </c>
      <c r="F336" s="959">
        <v>0.11799999999999999</v>
      </c>
    </row>
    <row r="337" spans="1:6" ht="14.5" thickBot="1">
      <c r="A337" s="788" t="s">
        <v>795</v>
      </c>
      <c r="B337" s="784" t="s">
        <v>399</v>
      </c>
      <c r="C337" s="968"/>
      <c r="D337" s="968"/>
      <c r="E337" s="968"/>
      <c r="F337" s="961">
        <v>0.14299999999999999</v>
      </c>
    </row>
    <row r="338" spans="1:6" ht="14.5" thickBot="1">
      <c r="A338" s="778" t="s">
        <v>808</v>
      </c>
      <c r="B338" s="779" t="s">
        <v>809</v>
      </c>
      <c r="C338" s="956">
        <v>0.15</v>
      </c>
      <c r="D338" s="956">
        <v>0.15</v>
      </c>
      <c r="E338" s="956">
        <v>0.15</v>
      </c>
      <c r="F338" s="973"/>
    </row>
    <row r="339" spans="1:6" ht="14.5" thickBot="1">
      <c r="A339" s="778" t="s">
        <v>808</v>
      </c>
      <c r="B339" s="772" t="s">
        <v>810</v>
      </c>
      <c r="C339" s="958">
        <v>0.15</v>
      </c>
      <c r="D339" s="958">
        <v>0.15</v>
      </c>
      <c r="E339" s="958">
        <v>0.15</v>
      </c>
      <c r="F339" s="970"/>
    </row>
    <row r="340" spans="1:6" ht="14.5" thickBot="1">
      <c r="A340" s="778" t="s">
        <v>808</v>
      </c>
      <c r="B340" s="772" t="s">
        <v>811</v>
      </c>
      <c r="C340" s="958">
        <v>0.15</v>
      </c>
      <c r="D340" s="958">
        <v>0.15</v>
      </c>
      <c r="E340" s="958">
        <v>0.15</v>
      </c>
      <c r="F340" s="970"/>
    </row>
    <row r="341" spans="1:6" ht="14.5" thickBot="1">
      <c r="A341" s="778" t="s">
        <v>808</v>
      </c>
      <c r="B341" s="772" t="s">
        <v>812</v>
      </c>
      <c r="C341" s="958">
        <v>0.15</v>
      </c>
      <c r="D341" s="958">
        <v>0.15</v>
      </c>
      <c r="E341" s="958">
        <v>0.15</v>
      </c>
      <c r="F341" s="959">
        <v>0.15</v>
      </c>
    </row>
    <row r="342" spans="1:6" ht="14.5" thickBot="1">
      <c r="A342" s="778" t="s">
        <v>808</v>
      </c>
      <c r="B342" s="772" t="s">
        <v>813</v>
      </c>
      <c r="C342" s="958">
        <v>0.15</v>
      </c>
      <c r="D342" s="958">
        <v>0.15</v>
      </c>
      <c r="E342" s="958">
        <v>0.15</v>
      </c>
      <c r="F342" s="959">
        <v>0.15</v>
      </c>
    </row>
    <row r="343" spans="1:6" ht="14.5" thickBot="1">
      <c r="A343" s="778" t="s">
        <v>808</v>
      </c>
      <c r="B343" s="772" t="s">
        <v>814</v>
      </c>
      <c r="C343" s="958">
        <v>0.15</v>
      </c>
      <c r="D343" s="958">
        <v>0.15</v>
      </c>
      <c r="E343" s="958">
        <v>0.15</v>
      </c>
      <c r="F343" s="959">
        <v>0.15</v>
      </c>
    </row>
    <row r="344" spans="1:6" ht="14.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W70"/>
  <sheetViews>
    <sheetView workbookViewId="0">
      <selection activeCell="D36" sqref="D36"/>
    </sheetView>
  </sheetViews>
  <sheetFormatPr defaultRowHeight="14"/>
  <cols>
    <col min="1" max="1" width="4.90625" style="1362" customWidth="1"/>
    <col min="2" max="2" width="13.08984375" style="1368" customWidth="1"/>
    <col min="3" max="3" width="15.6328125" style="1368" customWidth="1"/>
    <col min="4" max="4" width="9.36328125" style="1368" bestFit="1" customWidth="1"/>
    <col min="5" max="5" width="13.453125" style="1368" customWidth="1"/>
    <col min="6" max="6" width="9" style="1368"/>
    <col min="7" max="7" width="9.36328125" style="1368" bestFit="1" customWidth="1"/>
    <col min="8" max="8" width="12.08984375" style="1368" customWidth="1"/>
    <col min="9" max="9" width="9" style="1368"/>
    <col min="10" max="10" width="9.36328125" style="1368" bestFit="1" customWidth="1"/>
    <col min="11" max="11" width="4" style="1362" customWidth="1"/>
    <col min="12" max="12" width="5.08984375" style="1368" customWidth="1"/>
    <col min="13" max="13" width="13.90625" style="1368" customWidth="1"/>
    <col min="14" max="256" width="9" style="1368"/>
    <col min="257" max="257" width="4.90625" style="1359" customWidth="1"/>
    <col min="258" max="258" width="13.08984375" style="1359" customWidth="1"/>
    <col min="259" max="259" width="15.6328125" style="1359" customWidth="1"/>
    <col min="260" max="260" width="9.36328125" style="1359" bestFit="1" customWidth="1"/>
    <col min="261" max="261" width="13.453125" style="1359" customWidth="1"/>
    <col min="262" max="262" width="9" style="1359"/>
    <col min="263" max="263" width="9.36328125" style="1359" bestFit="1" customWidth="1"/>
    <col min="264" max="265" width="9" style="1359"/>
    <col min="266" max="266" width="9.36328125" style="1359" bestFit="1" customWidth="1"/>
    <col min="267" max="267" width="4" style="1359" customWidth="1"/>
    <col min="268" max="268" width="5.08984375" style="1359" customWidth="1"/>
    <col min="269" max="269" width="13.90625" style="1359" customWidth="1"/>
    <col min="270" max="512" width="9" style="1359"/>
    <col min="513" max="513" width="4.90625" style="1359" customWidth="1"/>
    <col min="514" max="514" width="13.08984375" style="1359" customWidth="1"/>
    <col min="515" max="515" width="15.6328125" style="1359" customWidth="1"/>
    <col min="516" max="516" width="9.36328125" style="1359" bestFit="1" customWidth="1"/>
    <col min="517" max="517" width="13.453125" style="1359" customWidth="1"/>
    <col min="518" max="518" width="9" style="1359"/>
    <col min="519" max="519" width="9.36328125" style="1359" bestFit="1" customWidth="1"/>
    <col min="520" max="521" width="9" style="1359"/>
    <col min="522" max="522" width="9.36328125" style="1359" bestFit="1" customWidth="1"/>
    <col min="523" max="523" width="4" style="1359" customWidth="1"/>
    <col min="524" max="524" width="5.08984375" style="1359" customWidth="1"/>
    <col min="525" max="525" width="13.90625" style="1359" customWidth="1"/>
    <col min="526" max="768" width="9" style="1359"/>
    <col min="769" max="769" width="4.90625" style="1359" customWidth="1"/>
    <col min="770" max="770" width="13.08984375" style="1359" customWidth="1"/>
    <col min="771" max="771" width="15.6328125" style="1359" customWidth="1"/>
    <col min="772" max="772" width="9.36328125" style="1359" bestFit="1" customWidth="1"/>
    <col min="773" max="773" width="13.453125" style="1359" customWidth="1"/>
    <col min="774" max="774" width="9" style="1359"/>
    <col min="775" max="775" width="9.36328125" style="1359" bestFit="1" customWidth="1"/>
    <col min="776" max="777" width="9" style="1359"/>
    <col min="778" max="778" width="9.36328125" style="1359" bestFit="1" customWidth="1"/>
    <col min="779" max="779" width="4" style="1359" customWidth="1"/>
    <col min="780" max="780" width="5.08984375" style="1359" customWidth="1"/>
    <col min="781" max="781" width="13.90625" style="1359" customWidth="1"/>
    <col min="782" max="1024" width="9" style="1359"/>
    <col min="1025" max="1025" width="4.90625" style="1359" customWidth="1"/>
    <col min="1026" max="1026" width="13.08984375" style="1359" customWidth="1"/>
    <col min="1027" max="1027" width="15.6328125" style="1359" customWidth="1"/>
    <col min="1028" max="1028" width="9.36328125" style="1359" bestFit="1" customWidth="1"/>
    <col min="1029" max="1029" width="13.453125" style="1359" customWidth="1"/>
    <col min="1030" max="1030" width="9" style="1359"/>
    <col min="1031" max="1031" width="9.36328125" style="1359" bestFit="1" customWidth="1"/>
    <col min="1032" max="1033" width="9" style="1359"/>
    <col min="1034" max="1034" width="9.36328125" style="1359" bestFit="1" customWidth="1"/>
    <col min="1035" max="1035" width="4" style="1359" customWidth="1"/>
    <col min="1036" max="1036" width="5.08984375" style="1359" customWidth="1"/>
    <col min="1037" max="1037" width="13.90625" style="1359" customWidth="1"/>
    <col min="1038" max="1280" width="9" style="1359"/>
    <col min="1281" max="1281" width="4.90625" style="1359" customWidth="1"/>
    <col min="1282" max="1282" width="13.08984375" style="1359" customWidth="1"/>
    <col min="1283" max="1283" width="15.6328125" style="1359" customWidth="1"/>
    <col min="1284" max="1284" width="9.36328125" style="1359" bestFit="1" customWidth="1"/>
    <col min="1285" max="1285" width="13.453125" style="1359" customWidth="1"/>
    <col min="1286" max="1286" width="9" style="1359"/>
    <col min="1287" max="1287" width="9.36328125" style="1359" bestFit="1" customWidth="1"/>
    <col min="1288" max="1289" width="9" style="1359"/>
    <col min="1290" max="1290" width="9.36328125" style="1359" bestFit="1" customWidth="1"/>
    <col min="1291" max="1291" width="4" style="1359" customWidth="1"/>
    <col min="1292" max="1292" width="5.08984375" style="1359" customWidth="1"/>
    <col min="1293" max="1293" width="13.90625" style="1359" customWidth="1"/>
    <col min="1294" max="1536" width="9" style="1359"/>
    <col min="1537" max="1537" width="4.90625" style="1359" customWidth="1"/>
    <col min="1538" max="1538" width="13.08984375" style="1359" customWidth="1"/>
    <col min="1539" max="1539" width="15.6328125" style="1359" customWidth="1"/>
    <col min="1540" max="1540" width="9.36328125" style="1359" bestFit="1" customWidth="1"/>
    <col min="1541" max="1541" width="13.453125" style="1359" customWidth="1"/>
    <col min="1542" max="1542" width="9" style="1359"/>
    <col min="1543" max="1543" width="9.36328125" style="1359" bestFit="1" customWidth="1"/>
    <col min="1544" max="1545" width="9" style="1359"/>
    <col min="1546" max="1546" width="9.36328125" style="1359" bestFit="1" customWidth="1"/>
    <col min="1547" max="1547" width="4" style="1359" customWidth="1"/>
    <col min="1548" max="1548" width="5.08984375" style="1359" customWidth="1"/>
    <col min="1549" max="1549" width="13.90625" style="1359" customWidth="1"/>
    <col min="1550" max="1792" width="9" style="1359"/>
    <col min="1793" max="1793" width="4.90625" style="1359" customWidth="1"/>
    <col min="1794" max="1794" width="13.08984375" style="1359" customWidth="1"/>
    <col min="1795" max="1795" width="15.6328125" style="1359" customWidth="1"/>
    <col min="1796" max="1796" width="9.36328125" style="1359" bestFit="1" customWidth="1"/>
    <col min="1797" max="1797" width="13.453125" style="1359" customWidth="1"/>
    <col min="1798" max="1798" width="9" style="1359"/>
    <col min="1799" max="1799" width="9.36328125" style="1359" bestFit="1" customWidth="1"/>
    <col min="1800" max="1801" width="9" style="1359"/>
    <col min="1802" max="1802" width="9.36328125" style="1359" bestFit="1" customWidth="1"/>
    <col min="1803" max="1803" width="4" style="1359" customWidth="1"/>
    <col min="1804" max="1804" width="5.08984375" style="1359" customWidth="1"/>
    <col min="1805" max="1805" width="13.90625" style="1359" customWidth="1"/>
    <col min="1806" max="2048" width="9" style="1359"/>
    <col min="2049" max="2049" width="4.90625" style="1359" customWidth="1"/>
    <col min="2050" max="2050" width="13.08984375" style="1359" customWidth="1"/>
    <col min="2051" max="2051" width="15.6328125" style="1359" customWidth="1"/>
    <col min="2052" max="2052" width="9.36328125" style="1359" bestFit="1" customWidth="1"/>
    <col min="2053" max="2053" width="13.453125" style="1359" customWidth="1"/>
    <col min="2054" max="2054" width="9" style="1359"/>
    <col min="2055" max="2055" width="9.36328125" style="1359" bestFit="1" customWidth="1"/>
    <col min="2056" max="2057" width="9" style="1359"/>
    <col min="2058" max="2058" width="9.36328125" style="1359" bestFit="1" customWidth="1"/>
    <col min="2059" max="2059" width="4" style="1359" customWidth="1"/>
    <col min="2060" max="2060" width="5.08984375" style="1359" customWidth="1"/>
    <col min="2061" max="2061" width="13.90625" style="1359" customWidth="1"/>
    <col min="2062" max="2304" width="9" style="1359"/>
    <col min="2305" max="2305" width="4.90625" style="1359" customWidth="1"/>
    <col min="2306" max="2306" width="13.08984375" style="1359" customWidth="1"/>
    <col min="2307" max="2307" width="15.6328125" style="1359" customWidth="1"/>
    <col min="2308" max="2308" width="9.36328125" style="1359" bestFit="1" customWidth="1"/>
    <col min="2309" max="2309" width="13.453125" style="1359" customWidth="1"/>
    <col min="2310" max="2310" width="9" style="1359"/>
    <col min="2311" max="2311" width="9.36328125" style="1359" bestFit="1" customWidth="1"/>
    <col min="2312" max="2313" width="9" style="1359"/>
    <col min="2314" max="2314" width="9.36328125" style="1359" bestFit="1" customWidth="1"/>
    <col min="2315" max="2315" width="4" style="1359" customWidth="1"/>
    <col min="2316" max="2316" width="5.08984375" style="1359" customWidth="1"/>
    <col min="2317" max="2317" width="13.90625" style="1359" customWidth="1"/>
    <col min="2318" max="2560" width="9" style="1359"/>
    <col min="2561" max="2561" width="4.90625" style="1359" customWidth="1"/>
    <col min="2562" max="2562" width="13.08984375" style="1359" customWidth="1"/>
    <col min="2563" max="2563" width="15.6328125" style="1359" customWidth="1"/>
    <col min="2564" max="2564" width="9.36328125" style="1359" bestFit="1" customWidth="1"/>
    <col min="2565" max="2565" width="13.453125" style="1359" customWidth="1"/>
    <col min="2566" max="2566" width="9" style="1359"/>
    <col min="2567" max="2567" width="9.36328125" style="1359" bestFit="1" customWidth="1"/>
    <col min="2568" max="2569" width="9" style="1359"/>
    <col min="2570" max="2570" width="9.36328125" style="1359" bestFit="1" customWidth="1"/>
    <col min="2571" max="2571" width="4" style="1359" customWidth="1"/>
    <col min="2572" max="2572" width="5.08984375" style="1359" customWidth="1"/>
    <col min="2573" max="2573" width="13.90625" style="1359" customWidth="1"/>
    <col min="2574" max="2816" width="9" style="1359"/>
    <col min="2817" max="2817" width="4.90625" style="1359" customWidth="1"/>
    <col min="2818" max="2818" width="13.08984375" style="1359" customWidth="1"/>
    <col min="2819" max="2819" width="15.6328125" style="1359" customWidth="1"/>
    <col min="2820" max="2820" width="9.36328125" style="1359" bestFit="1" customWidth="1"/>
    <col min="2821" max="2821" width="13.453125" style="1359" customWidth="1"/>
    <col min="2822" max="2822" width="9" style="1359"/>
    <col min="2823" max="2823" width="9.36328125" style="1359" bestFit="1" customWidth="1"/>
    <col min="2824" max="2825" width="9" style="1359"/>
    <col min="2826" max="2826" width="9.36328125" style="1359" bestFit="1" customWidth="1"/>
    <col min="2827" max="2827" width="4" style="1359" customWidth="1"/>
    <col min="2828" max="2828" width="5.08984375" style="1359" customWidth="1"/>
    <col min="2829" max="2829" width="13.90625" style="1359" customWidth="1"/>
    <col min="2830" max="3072" width="9" style="1359"/>
    <col min="3073" max="3073" width="4.90625" style="1359" customWidth="1"/>
    <col min="3074" max="3074" width="13.08984375" style="1359" customWidth="1"/>
    <col min="3075" max="3075" width="15.6328125" style="1359" customWidth="1"/>
    <col min="3076" max="3076" width="9.36328125" style="1359" bestFit="1" customWidth="1"/>
    <col min="3077" max="3077" width="13.453125" style="1359" customWidth="1"/>
    <col min="3078" max="3078" width="9" style="1359"/>
    <col min="3079" max="3079" width="9.36328125" style="1359" bestFit="1" customWidth="1"/>
    <col min="3080" max="3081" width="9" style="1359"/>
    <col min="3082" max="3082" width="9.36328125" style="1359" bestFit="1" customWidth="1"/>
    <col min="3083" max="3083" width="4" style="1359" customWidth="1"/>
    <col min="3084" max="3084" width="5.08984375" style="1359" customWidth="1"/>
    <col min="3085" max="3085" width="13.90625" style="1359" customWidth="1"/>
    <col min="3086" max="3328" width="9" style="1359"/>
    <col min="3329" max="3329" width="4.90625" style="1359" customWidth="1"/>
    <col min="3330" max="3330" width="13.08984375" style="1359" customWidth="1"/>
    <col min="3331" max="3331" width="15.6328125" style="1359" customWidth="1"/>
    <col min="3332" max="3332" width="9.36328125" style="1359" bestFit="1" customWidth="1"/>
    <col min="3333" max="3333" width="13.453125" style="1359" customWidth="1"/>
    <col min="3334" max="3334" width="9" style="1359"/>
    <col min="3335" max="3335" width="9.36328125" style="1359" bestFit="1" customWidth="1"/>
    <col min="3336" max="3337" width="9" style="1359"/>
    <col min="3338" max="3338" width="9.36328125" style="1359" bestFit="1" customWidth="1"/>
    <col min="3339" max="3339" width="4" style="1359" customWidth="1"/>
    <col min="3340" max="3340" width="5.08984375" style="1359" customWidth="1"/>
    <col min="3341" max="3341" width="13.90625" style="1359" customWidth="1"/>
    <col min="3342" max="3584" width="9" style="1359"/>
    <col min="3585" max="3585" width="4.90625" style="1359" customWidth="1"/>
    <col min="3586" max="3586" width="13.08984375" style="1359" customWidth="1"/>
    <col min="3587" max="3587" width="15.6328125" style="1359" customWidth="1"/>
    <col min="3588" max="3588" width="9.36328125" style="1359" bestFit="1" customWidth="1"/>
    <col min="3589" max="3589" width="13.453125" style="1359" customWidth="1"/>
    <col min="3590" max="3590" width="9" style="1359"/>
    <col min="3591" max="3591" width="9.36328125" style="1359" bestFit="1" customWidth="1"/>
    <col min="3592" max="3593" width="9" style="1359"/>
    <col min="3594" max="3594" width="9.36328125" style="1359" bestFit="1" customWidth="1"/>
    <col min="3595" max="3595" width="4" style="1359" customWidth="1"/>
    <col min="3596" max="3596" width="5.08984375" style="1359" customWidth="1"/>
    <col min="3597" max="3597" width="13.90625" style="1359" customWidth="1"/>
    <col min="3598" max="3840" width="9" style="1359"/>
    <col min="3841" max="3841" width="4.90625" style="1359" customWidth="1"/>
    <col min="3842" max="3842" width="13.08984375" style="1359" customWidth="1"/>
    <col min="3843" max="3843" width="15.6328125" style="1359" customWidth="1"/>
    <col min="3844" max="3844" width="9.36328125" style="1359" bestFit="1" customWidth="1"/>
    <col min="3845" max="3845" width="13.453125" style="1359" customWidth="1"/>
    <col min="3846" max="3846" width="9" style="1359"/>
    <col min="3847" max="3847" width="9.36328125" style="1359" bestFit="1" customWidth="1"/>
    <col min="3848" max="3849" width="9" style="1359"/>
    <col min="3850" max="3850" width="9.36328125" style="1359" bestFit="1" customWidth="1"/>
    <col min="3851" max="3851" width="4" style="1359" customWidth="1"/>
    <col min="3852" max="3852" width="5.08984375" style="1359" customWidth="1"/>
    <col min="3853" max="3853" width="13.90625" style="1359" customWidth="1"/>
    <col min="3854" max="4096" width="9" style="1359"/>
    <col min="4097" max="4097" width="4.90625" style="1359" customWidth="1"/>
    <col min="4098" max="4098" width="13.08984375" style="1359" customWidth="1"/>
    <col min="4099" max="4099" width="15.6328125" style="1359" customWidth="1"/>
    <col min="4100" max="4100" width="9.36328125" style="1359" bestFit="1" customWidth="1"/>
    <col min="4101" max="4101" width="13.453125" style="1359" customWidth="1"/>
    <col min="4102" max="4102" width="9" style="1359"/>
    <col min="4103" max="4103" width="9.36328125" style="1359" bestFit="1" customWidth="1"/>
    <col min="4104" max="4105" width="9" style="1359"/>
    <col min="4106" max="4106" width="9.36328125" style="1359" bestFit="1" customWidth="1"/>
    <col min="4107" max="4107" width="4" style="1359" customWidth="1"/>
    <col min="4108" max="4108" width="5.08984375" style="1359" customWidth="1"/>
    <col min="4109" max="4109" width="13.90625" style="1359" customWidth="1"/>
    <col min="4110" max="4352" width="9" style="1359"/>
    <col min="4353" max="4353" width="4.90625" style="1359" customWidth="1"/>
    <col min="4354" max="4354" width="13.08984375" style="1359" customWidth="1"/>
    <col min="4355" max="4355" width="15.6328125" style="1359" customWidth="1"/>
    <col min="4356" max="4356" width="9.36328125" style="1359" bestFit="1" customWidth="1"/>
    <col min="4357" max="4357" width="13.453125" style="1359" customWidth="1"/>
    <col min="4358" max="4358" width="9" style="1359"/>
    <col min="4359" max="4359" width="9.36328125" style="1359" bestFit="1" customWidth="1"/>
    <col min="4360" max="4361" width="9" style="1359"/>
    <col min="4362" max="4362" width="9.36328125" style="1359" bestFit="1" customWidth="1"/>
    <col min="4363" max="4363" width="4" style="1359" customWidth="1"/>
    <col min="4364" max="4364" width="5.08984375" style="1359" customWidth="1"/>
    <col min="4365" max="4365" width="13.90625" style="1359" customWidth="1"/>
    <col min="4366" max="4608" width="9" style="1359"/>
    <col min="4609" max="4609" width="4.90625" style="1359" customWidth="1"/>
    <col min="4610" max="4610" width="13.08984375" style="1359" customWidth="1"/>
    <col min="4611" max="4611" width="15.6328125" style="1359" customWidth="1"/>
    <col min="4612" max="4612" width="9.36328125" style="1359" bestFit="1" customWidth="1"/>
    <col min="4613" max="4613" width="13.453125" style="1359" customWidth="1"/>
    <col min="4614" max="4614" width="9" style="1359"/>
    <col min="4615" max="4615" width="9.36328125" style="1359" bestFit="1" customWidth="1"/>
    <col min="4616" max="4617" width="9" style="1359"/>
    <col min="4618" max="4618" width="9.36328125" style="1359" bestFit="1" customWidth="1"/>
    <col min="4619" max="4619" width="4" style="1359" customWidth="1"/>
    <col min="4620" max="4620" width="5.08984375" style="1359" customWidth="1"/>
    <col min="4621" max="4621" width="13.90625" style="1359" customWidth="1"/>
    <col min="4622" max="4864" width="9" style="1359"/>
    <col min="4865" max="4865" width="4.90625" style="1359" customWidth="1"/>
    <col min="4866" max="4866" width="13.08984375" style="1359" customWidth="1"/>
    <col min="4867" max="4867" width="15.6328125" style="1359" customWidth="1"/>
    <col min="4868" max="4868" width="9.36328125" style="1359" bestFit="1" customWidth="1"/>
    <col min="4869" max="4869" width="13.453125" style="1359" customWidth="1"/>
    <col min="4870" max="4870" width="9" style="1359"/>
    <col min="4871" max="4871" width="9.36328125" style="1359" bestFit="1" customWidth="1"/>
    <col min="4872" max="4873" width="9" style="1359"/>
    <col min="4874" max="4874" width="9.36328125" style="1359" bestFit="1" customWidth="1"/>
    <col min="4875" max="4875" width="4" style="1359" customWidth="1"/>
    <col min="4876" max="4876" width="5.08984375" style="1359" customWidth="1"/>
    <col min="4877" max="4877" width="13.90625" style="1359" customWidth="1"/>
    <col min="4878" max="5120" width="9" style="1359"/>
    <col min="5121" max="5121" width="4.90625" style="1359" customWidth="1"/>
    <col min="5122" max="5122" width="13.08984375" style="1359" customWidth="1"/>
    <col min="5123" max="5123" width="15.6328125" style="1359" customWidth="1"/>
    <col min="5124" max="5124" width="9.36328125" style="1359" bestFit="1" customWidth="1"/>
    <col min="5125" max="5125" width="13.453125" style="1359" customWidth="1"/>
    <col min="5126" max="5126" width="9" style="1359"/>
    <col min="5127" max="5127" width="9.36328125" style="1359" bestFit="1" customWidth="1"/>
    <col min="5128" max="5129" width="9" style="1359"/>
    <col min="5130" max="5130" width="9.36328125" style="1359" bestFit="1" customWidth="1"/>
    <col min="5131" max="5131" width="4" style="1359" customWidth="1"/>
    <col min="5132" max="5132" width="5.08984375" style="1359" customWidth="1"/>
    <col min="5133" max="5133" width="13.90625" style="1359" customWidth="1"/>
    <col min="5134" max="5376" width="9" style="1359"/>
    <col min="5377" max="5377" width="4.90625" style="1359" customWidth="1"/>
    <col min="5378" max="5378" width="13.08984375" style="1359" customWidth="1"/>
    <col min="5379" max="5379" width="15.6328125" style="1359" customWidth="1"/>
    <col min="5380" max="5380" width="9.36328125" style="1359" bestFit="1" customWidth="1"/>
    <col min="5381" max="5381" width="13.453125" style="1359" customWidth="1"/>
    <col min="5382" max="5382" width="9" style="1359"/>
    <col min="5383" max="5383" width="9.36328125" style="1359" bestFit="1" customWidth="1"/>
    <col min="5384" max="5385" width="9" style="1359"/>
    <col min="5386" max="5386" width="9.36328125" style="1359" bestFit="1" customWidth="1"/>
    <col min="5387" max="5387" width="4" style="1359" customWidth="1"/>
    <col min="5388" max="5388" width="5.08984375" style="1359" customWidth="1"/>
    <col min="5389" max="5389" width="13.90625" style="1359" customWidth="1"/>
    <col min="5390" max="5632" width="9" style="1359"/>
    <col min="5633" max="5633" width="4.90625" style="1359" customWidth="1"/>
    <col min="5634" max="5634" width="13.08984375" style="1359" customWidth="1"/>
    <col min="5635" max="5635" width="15.6328125" style="1359" customWidth="1"/>
    <col min="5636" max="5636" width="9.36328125" style="1359" bestFit="1" customWidth="1"/>
    <col min="5637" max="5637" width="13.453125" style="1359" customWidth="1"/>
    <col min="5638" max="5638" width="9" style="1359"/>
    <col min="5639" max="5639" width="9.36328125" style="1359" bestFit="1" customWidth="1"/>
    <col min="5640" max="5641" width="9" style="1359"/>
    <col min="5642" max="5642" width="9.36328125" style="1359" bestFit="1" customWidth="1"/>
    <col min="5643" max="5643" width="4" style="1359" customWidth="1"/>
    <col min="5644" max="5644" width="5.08984375" style="1359" customWidth="1"/>
    <col min="5645" max="5645" width="13.90625" style="1359" customWidth="1"/>
    <col min="5646" max="5888" width="9" style="1359"/>
    <col min="5889" max="5889" width="4.90625" style="1359" customWidth="1"/>
    <col min="5890" max="5890" width="13.08984375" style="1359" customWidth="1"/>
    <col min="5891" max="5891" width="15.6328125" style="1359" customWidth="1"/>
    <col min="5892" max="5892" width="9.36328125" style="1359" bestFit="1" customWidth="1"/>
    <col min="5893" max="5893" width="13.453125" style="1359" customWidth="1"/>
    <col min="5894" max="5894" width="9" style="1359"/>
    <col min="5895" max="5895" width="9.36328125" style="1359" bestFit="1" customWidth="1"/>
    <col min="5896" max="5897" width="9" style="1359"/>
    <col min="5898" max="5898" width="9.36328125" style="1359" bestFit="1" customWidth="1"/>
    <col min="5899" max="5899" width="4" style="1359" customWidth="1"/>
    <col min="5900" max="5900" width="5.08984375" style="1359" customWidth="1"/>
    <col min="5901" max="5901" width="13.90625" style="1359" customWidth="1"/>
    <col min="5902" max="6144" width="9" style="1359"/>
    <col min="6145" max="6145" width="4.90625" style="1359" customWidth="1"/>
    <col min="6146" max="6146" width="13.08984375" style="1359" customWidth="1"/>
    <col min="6147" max="6147" width="15.6328125" style="1359" customWidth="1"/>
    <col min="6148" max="6148" width="9.36328125" style="1359" bestFit="1" customWidth="1"/>
    <col min="6149" max="6149" width="13.453125" style="1359" customWidth="1"/>
    <col min="6150" max="6150" width="9" style="1359"/>
    <col min="6151" max="6151" width="9.36328125" style="1359" bestFit="1" customWidth="1"/>
    <col min="6152" max="6153" width="9" style="1359"/>
    <col min="6154" max="6154" width="9.36328125" style="1359" bestFit="1" customWidth="1"/>
    <col min="6155" max="6155" width="4" style="1359" customWidth="1"/>
    <col min="6156" max="6156" width="5.08984375" style="1359" customWidth="1"/>
    <col min="6157" max="6157" width="13.90625" style="1359" customWidth="1"/>
    <col min="6158" max="6400" width="9" style="1359"/>
    <col min="6401" max="6401" width="4.90625" style="1359" customWidth="1"/>
    <col min="6402" max="6402" width="13.08984375" style="1359" customWidth="1"/>
    <col min="6403" max="6403" width="15.6328125" style="1359" customWidth="1"/>
    <col min="6404" max="6404" width="9.36328125" style="1359" bestFit="1" customWidth="1"/>
    <col min="6405" max="6405" width="13.453125" style="1359" customWidth="1"/>
    <col min="6406" max="6406" width="9" style="1359"/>
    <col min="6407" max="6407" width="9.36328125" style="1359" bestFit="1" customWidth="1"/>
    <col min="6408" max="6409" width="9" style="1359"/>
    <col min="6410" max="6410" width="9.36328125" style="1359" bestFit="1" customWidth="1"/>
    <col min="6411" max="6411" width="4" style="1359" customWidth="1"/>
    <col min="6412" max="6412" width="5.08984375" style="1359" customWidth="1"/>
    <col min="6413" max="6413" width="13.90625" style="1359" customWidth="1"/>
    <col min="6414" max="6656" width="9" style="1359"/>
    <col min="6657" max="6657" width="4.90625" style="1359" customWidth="1"/>
    <col min="6658" max="6658" width="13.08984375" style="1359" customWidth="1"/>
    <col min="6659" max="6659" width="15.6328125" style="1359" customWidth="1"/>
    <col min="6660" max="6660" width="9.36328125" style="1359" bestFit="1" customWidth="1"/>
    <col min="6661" max="6661" width="13.453125" style="1359" customWidth="1"/>
    <col min="6662" max="6662" width="9" style="1359"/>
    <col min="6663" max="6663" width="9.36328125" style="1359" bestFit="1" customWidth="1"/>
    <col min="6664" max="6665" width="9" style="1359"/>
    <col min="6666" max="6666" width="9.36328125" style="1359" bestFit="1" customWidth="1"/>
    <col min="6667" max="6667" width="4" style="1359" customWidth="1"/>
    <col min="6668" max="6668" width="5.08984375" style="1359" customWidth="1"/>
    <col min="6669" max="6669" width="13.90625" style="1359" customWidth="1"/>
    <col min="6670" max="6912" width="9" style="1359"/>
    <col min="6913" max="6913" width="4.90625" style="1359" customWidth="1"/>
    <col min="6914" max="6914" width="13.08984375" style="1359" customWidth="1"/>
    <col min="6915" max="6915" width="15.6328125" style="1359" customWidth="1"/>
    <col min="6916" max="6916" width="9.36328125" style="1359" bestFit="1" customWidth="1"/>
    <col min="6917" max="6917" width="13.453125" style="1359" customWidth="1"/>
    <col min="6918" max="6918" width="9" style="1359"/>
    <col min="6919" max="6919" width="9.36328125" style="1359" bestFit="1" customWidth="1"/>
    <col min="6920" max="6921" width="9" style="1359"/>
    <col min="6922" max="6922" width="9.36328125" style="1359" bestFit="1" customWidth="1"/>
    <col min="6923" max="6923" width="4" style="1359" customWidth="1"/>
    <col min="6924" max="6924" width="5.08984375" style="1359" customWidth="1"/>
    <col min="6925" max="6925" width="13.90625" style="1359" customWidth="1"/>
    <col min="6926" max="7168" width="9" style="1359"/>
    <col min="7169" max="7169" width="4.90625" style="1359" customWidth="1"/>
    <col min="7170" max="7170" width="13.08984375" style="1359" customWidth="1"/>
    <col min="7171" max="7171" width="15.6328125" style="1359" customWidth="1"/>
    <col min="7172" max="7172" width="9.36328125" style="1359" bestFit="1" customWidth="1"/>
    <col min="7173" max="7173" width="13.453125" style="1359" customWidth="1"/>
    <col min="7174" max="7174" width="9" style="1359"/>
    <col min="7175" max="7175" width="9.36328125" style="1359" bestFit="1" customWidth="1"/>
    <col min="7176" max="7177" width="9" style="1359"/>
    <col min="7178" max="7178" width="9.36328125" style="1359" bestFit="1" customWidth="1"/>
    <col min="7179" max="7179" width="4" style="1359" customWidth="1"/>
    <col min="7180" max="7180" width="5.08984375" style="1359" customWidth="1"/>
    <col min="7181" max="7181" width="13.90625" style="1359" customWidth="1"/>
    <col min="7182" max="7424" width="9" style="1359"/>
    <col min="7425" max="7425" width="4.90625" style="1359" customWidth="1"/>
    <col min="7426" max="7426" width="13.08984375" style="1359" customWidth="1"/>
    <col min="7427" max="7427" width="15.6328125" style="1359" customWidth="1"/>
    <col min="7428" max="7428" width="9.36328125" style="1359" bestFit="1" customWidth="1"/>
    <col min="7429" max="7429" width="13.453125" style="1359" customWidth="1"/>
    <col min="7430" max="7430" width="9" style="1359"/>
    <col min="7431" max="7431" width="9.36328125" style="1359" bestFit="1" customWidth="1"/>
    <col min="7432" max="7433" width="9" style="1359"/>
    <col min="7434" max="7434" width="9.36328125" style="1359" bestFit="1" customWidth="1"/>
    <col min="7435" max="7435" width="4" style="1359" customWidth="1"/>
    <col min="7436" max="7436" width="5.08984375" style="1359" customWidth="1"/>
    <col min="7437" max="7437" width="13.90625" style="1359" customWidth="1"/>
    <col min="7438" max="7680" width="9" style="1359"/>
    <col min="7681" max="7681" width="4.90625" style="1359" customWidth="1"/>
    <col min="7682" max="7682" width="13.08984375" style="1359" customWidth="1"/>
    <col min="7683" max="7683" width="15.6328125" style="1359" customWidth="1"/>
    <col min="7684" max="7684" width="9.36328125" style="1359" bestFit="1" customWidth="1"/>
    <col min="7685" max="7685" width="13.453125" style="1359" customWidth="1"/>
    <col min="7686" max="7686" width="9" style="1359"/>
    <col min="7687" max="7687" width="9.36328125" style="1359" bestFit="1" customWidth="1"/>
    <col min="7688" max="7689" width="9" style="1359"/>
    <col min="7690" max="7690" width="9.36328125" style="1359" bestFit="1" customWidth="1"/>
    <col min="7691" max="7691" width="4" style="1359" customWidth="1"/>
    <col min="7692" max="7692" width="5.08984375" style="1359" customWidth="1"/>
    <col min="7693" max="7693" width="13.90625" style="1359" customWidth="1"/>
    <col min="7694" max="7936" width="9" style="1359"/>
    <col min="7937" max="7937" width="4.90625" style="1359" customWidth="1"/>
    <col min="7938" max="7938" width="13.08984375" style="1359" customWidth="1"/>
    <col min="7939" max="7939" width="15.6328125" style="1359" customWidth="1"/>
    <col min="7940" max="7940" width="9.36328125" style="1359" bestFit="1" customWidth="1"/>
    <col min="7941" max="7941" width="13.453125" style="1359" customWidth="1"/>
    <col min="7942" max="7942" width="9" style="1359"/>
    <col min="7943" max="7943" width="9.36328125" style="1359" bestFit="1" customWidth="1"/>
    <col min="7944" max="7945" width="9" style="1359"/>
    <col min="7946" max="7946" width="9.36328125" style="1359" bestFit="1" customWidth="1"/>
    <col min="7947" max="7947" width="4" style="1359" customWidth="1"/>
    <col min="7948" max="7948" width="5.08984375" style="1359" customWidth="1"/>
    <col min="7949" max="7949" width="13.90625" style="1359" customWidth="1"/>
    <col min="7950" max="8192" width="9" style="1359"/>
    <col min="8193" max="8193" width="4.90625" style="1359" customWidth="1"/>
    <col min="8194" max="8194" width="13.08984375" style="1359" customWidth="1"/>
    <col min="8195" max="8195" width="15.6328125" style="1359" customWidth="1"/>
    <col min="8196" max="8196" width="9.36328125" style="1359" bestFit="1" customWidth="1"/>
    <col min="8197" max="8197" width="13.453125" style="1359" customWidth="1"/>
    <col min="8198" max="8198" width="9" style="1359"/>
    <col min="8199" max="8199" width="9.36328125" style="1359" bestFit="1" customWidth="1"/>
    <col min="8200" max="8201" width="9" style="1359"/>
    <col min="8202" max="8202" width="9.36328125" style="1359" bestFit="1" customWidth="1"/>
    <col min="8203" max="8203" width="4" style="1359" customWidth="1"/>
    <col min="8204" max="8204" width="5.08984375" style="1359" customWidth="1"/>
    <col min="8205" max="8205" width="13.90625" style="1359" customWidth="1"/>
    <col min="8206" max="8448" width="9" style="1359"/>
    <col min="8449" max="8449" width="4.90625" style="1359" customWidth="1"/>
    <col min="8450" max="8450" width="13.08984375" style="1359" customWidth="1"/>
    <col min="8451" max="8451" width="15.6328125" style="1359" customWidth="1"/>
    <col min="8452" max="8452" width="9.36328125" style="1359" bestFit="1" customWidth="1"/>
    <col min="8453" max="8453" width="13.453125" style="1359" customWidth="1"/>
    <col min="8454" max="8454" width="9" style="1359"/>
    <col min="8455" max="8455" width="9.36328125" style="1359" bestFit="1" customWidth="1"/>
    <col min="8456" max="8457" width="9" style="1359"/>
    <col min="8458" max="8458" width="9.36328125" style="1359" bestFit="1" customWidth="1"/>
    <col min="8459" max="8459" width="4" style="1359" customWidth="1"/>
    <col min="8460" max="8460" width="5.08984375" style="1359" customWidth="1"/>
    <col min="8461" max="8461" width="13.90625" style="1359" customWidth="1"/>
    <col min="8462" max="8704" width="9" style="1359"/>
    <col min="8705" max="8705" width="4.90625" style="1359" customWidth="1"/>
    <col min="8706" max="8706" width="13.08984375" style="1359" customWidth="1"/>
    <col min="8707" max="8707" width="15.6328125" style="1359" customWidth="1"/>
    <col min="8708" max="8708" width="9.36328125" style="1359" bestFit="1" customWidth="1"/>
    <col min="8709" max="8709" width="13.453125" style="1359" customWidth="1"/>
    <col min="8710" max="8710" width="9" style="1359"/>
    <col min="8711" max="8711" width="9.36328125" style="1359" bestFit="1" customWidth="1"/>
    <col min="8712" max="8713" width="9" style="1359"/>
    <col min="8714" max="8714" width="9.36328125" style="1359" bestFit="1" customWidth="1"/>
    <col min="8715" max="8715" width="4" style="1359" customWidth="1"/>
    <col min="8716" max="8716" width="5.08984375" style="1359" customWidth="1"/>
    <col min="8717" max="8717" width="13.90625" style="1359" customWidth="1"/>
    <col min="8718" max="8960" width="9" style="1359"/>
    <col min="8961" max="8961" width="4.90625" style="1359" customWidth="1"/>
    <col min="8962" max="8962" width="13.08984375" style="1359" customWidth="1"/>
    <col min="8963" max="8963" width="15.6328125" style="1359" customWidth="1"/>
    <col min="8964" max="8964" width="9.36328125" style="1359" bestFit="1" customWidth="1"/>
    <col min="8965" max="8965" width="13.453125" style="1359" customWidth="1"/>
    <col min="8966" max="8966" width="9" style="1359"/>
    <col min="8967" max="8967" width="9.36328125" style="1359" bestFit="1" customWidth="1"/>
    <col min="8968" max="8969" width="9" style="1359"/>
    <col min="8970" max="8970" width="9.36328125" style="1359" bestFit="1" customWidth="1"/>
    <col min="8971" max="8971" width="4" style="1359" customWidth="1"/>
    <col min="8972" max="8972" width="5.08984375" style="1359" customWidth="1"/>
    <col min="8973" max="8973" width="13.90625" style="1359" customWidth="1"/>
    <col min="8974" max="9216" width="9" style="1359"/>
    <col min="9217" max="9217" width="4.90625" style="1359" customWidth="1"/>
    <col min="9218" max="9218" width="13.08984375" style="1359" customWidth="1"/>
    <col min="9219" max="9219" width="15.6328125" style="1359" customWidth="1"/>
    <col min="9220" max="9220" width="9.36328125" style="1359" bestFit="1" customWidth="1"/>
    <col min="9221" max="9221" width="13.453125" style="1359" customWidth="1"/>
    <col min="9222" max="9222" width="9" style="1359"/>
    <col min="9223" max="9223" width="9.36328125" style="1359" bestFit="1" customWidth="1"/>
    <col min="9224" max="9225" width="9" style="1359"/>
    <col min="9226" max="9226" width="9.36328125" style="1359" bestFit="1" customWidth="1"/>
    <col min="9227" max="9227" width="4" style="1359" customWidth="1"/>
    <col min="9228" max="9228" width="5.08984375" style="1359" customWidth="1"/>
    <col min="9229" max="9229" width="13.90625" style="1359" customWidth="1"/>
    <col min="9230" max="9472" width="9" style="1359"/>
    <col min="9473" max="9473" width="4.90625" style="1359" customWidth="1"/>
    <col min="9474" max="9474" width="13.08984375" style="1359" customWidth="1"/>
    <col min="9475" max="9475" width="15.6328125" style="1359" customWidth="1"/>
    <col min="9476" max="9476" width="9.36328125" style="1359" bestFit="1" customWidth="1"/>
    <col min="9477" max="9477" width="13.453125" style="1359" customWidth="1"/>
    <col min="9478" max="9478" width="9" style="1359"/>
    <col min="9479" max="9479" width="9.36328125" style="1359" bestFit="1" customWidth="1"/>
    <col min="9480" max="9481" width="9" style="1359"/>
    <col min="9482" max="9482" width="9.36328125" style="1359" bestFit="1" customWidth="1"/>
    <col min="9483" max="9483" width="4" style="1359" customWidth="1"/>
    <col min="9484" max="9484" width="5.08984375" style="1359" customWidth="1"/>
    <col min="9485" max="9485" width="13.90625" style="1359" customWidth="1"/>
    <col min="9486" max="9728" width="9" style="1359"/>
    <col min="9729" max="9729" width="4.90625" style="1359" customWidth="1"/>
    <col min="9730" max="9730" width="13.08984375" style="1359" customWidth="1"/>
    <col min="9731" max="9731" width="15.6328125" style="1359" customWidth="1"/>
    <col min="9732" max="9732" width="9.36328125" style="1359" bestFit="1" customWidth="1"/>
    <col min="9733" max="9733" width="13.453125" style="1359" customWidth="1"/>
    <col min="9734" max="9734" width="9" style="1359"/>
    <col min="9735" max="9735" width="9.36328125" style="1359" bestFit="1" customWidth="1"/>
    <col min="9736" max="9737" width="9" style="1359"/>
    <col min="9738" max="9738" width="9.36328125" style="1359" bestFit="1" customWidth="1"/>
    <col min="9739" max="9739" width="4" style="1359" customWidth="1"/>
    <col min="9740" max="9740" width="5.08984375" style="1359" customWidth="1"/>
    <col min="9741" max="9741" width="13.90625" style="1359" customWidth="1"/>
    <col min="9742" max="9984" width="9" style="1359"/>
    <col min="9985" max="9985" width="4.90625" style="1359" customWidth="1"/>
    <col min="9986" max="9986" width="13.08984375" style="1359" customWidth="1"/>
    <col min="9987" max="9987" width="15.6328125" style="1359" customWidth="1"/>
    <col min="9988" max="9988" width="9.36328125" style="1359" bestFit="1" customWidth="1"/>
    <col min="9989" max="9989" width="13.453125" style="1359" customWidth="1"/>
    <col min="9990" max="9990" width="9" style="1359"/>
    <col min="9991" max="9991" width="9.36328125" style="1359" bestFit="1" customWidth="1"/>
    <col min="9992" max="9993" width="9" style="1359"/>
    <col min="9994" max="9994" width="9.36328125" style="1359" bestFit="1" customWidth="1"/>
    <col min="9995" max="9995" width="4" style="1359" customWidth="1"/>
    <col min="9996" max="9996" width="5.08984375" style="1359" customWidth="1"/>
    <col min="9997" max="9997" width="13.90625" style="1359" customWidth="1"/>
    <col min="9998" max="10240" width="9" style="1359"/>
    <col min="10241" max="10241" width="4.90625" style="1359" customWidth="1"/>
    <col min="10242" max="10242" width="13.08984375" style="1359" customWidth="1"/>
    <col min="10243" max="10243" width="15.6328125" style="1359" customWidth="1"/>
    <col min="10244" max="10244" width="9.36328125" style="1359" bestFit="1" customWidth="1"/>
    <col min="10245" max="10245" width="13.453125" style="1359" customWidth="1"/>
    <col min="10246" max="10246" width="9" style="1359"/>
    <col min="10247" max="10247" width="9.36328125" style="1359" bestFit="1" customWidth="1"/>
    <col min="10248" max="10249" width="9" style="1359"/>
    <col min="10250" max="10250" width="9.36328125" style="1359" bestFit="1" customWidth="1"/>
    <col min="10251" max="10251" width="4" style="1359" customWidth="1"/>
    <col min="10252" max="10252" width="5.08984375" style="1359" customWidth="1"/>
    <col min="10253" max="10253" width="13.90625" style="1359" customWidth="1"/>
    <col min="10254" max="10496" width="9" style="1359"/>
    <col min="10497" max="10497" width="4.90625" style="1359" customWidth="1"/>
    <col min="10498" max="10498" width="13.08984375" style="1359" customWidth="1"/>
    <col min="10499" max="10499" width="15.6328125" style="1359" customWidth="1"/>
    <col min="10500" max="10500" width="9.36328125" style="1359" bestFit="1" customWidth="1"/>
    <col min="10501" max="10501" width="13.453125" style="1359" customWidth="1"/>
    <col min="10502" max="10502" width="9" style="1359"/>
    <col min="10503" max="10503" width="9.36328125" style="1359" bestFit="1" customWidth="1"/>
    <col min="10504" max="10505" width="9" style="1359"/>
    <col min="10506" max="10506" width="9.36328125" style="1359" bestFit="1" customWidth="1"/>
    <col min="10507" max="10507" width="4" style="1359" customWidth="1"/>
    <col min="10508" max="10508" width="5.08984375" style="1359" customWidth="1"/>
    <col min="10509" max="10509" width="13.90625" style="1359" customWidth="1"/>
    <col min="10510" max="10752" width="9" style="1359"/>
    <col min="10753" max="10753" width="4.90625" style="1359" customWidth="1"/>
    <col min="10754" max="10754" width="13.08984375" style="1359" customWidth="1"/>
    <col min="10755" max="10755" width="15.6328125" style="1359" customWidth="1"/>
    <col min="10756" max="10756" width="9.36328125" style="1359" bestFit="1" customWidth="1"/>
    <col min="10757" max="10757" width="13.453125" style="1359" customWidth="1"/>
    <col min="10758" max="10758" width="9" style="1359"/>
    <col min="10759" max="10759" width="9.36328125" style="1359" bestFit="1" customWidth="1"/>
    <col min="10760" max="10761" width="9" style="1359"/>
    <col min="10762" max="10762" width="9.36328125" style="1359" bestFit="1" customWidth="1"/>
    <col min="10763" max="10763" width="4" style="1359" customWidth="1"/>
    <col min="10764" max="10764" width="5.08984375" style="1359" customWidth="1"/>
    <col min="10765" max="10765" width="13.90625" style="1359" customWidth="1"/>
    <col min="10766" max="11008" width="9" style="1359"/>
    <col min="11009" max="11009" width="4.90625" style="1359" customWidth="1"/>
    <col min="11010" max="11010" width="13.08984375" style="1359" customWidth="1"/>
    <col min="11011" max="11011" width="15.6328125" style="1359" customWidth="1"/>
    <col min="11012" max="11012" width="9.36328125" style="1359" bestFit="1" customWidth="1"/>
    <col min="11013" max="11013" width="13.453125" style="1359" customWidth="1"/>
    <col min="11014" max="11014" width="9" style="1359"/>
    <col min="11015" max="11015" width="9.36328125" style="1359" bestFit="1" customWidth="1"/>
    <col min="11016" max="11017" width="9" style="1359"/>
    <col min="11018" max="11018" width="9.36328125" style="1359" bestFit="1" customWidth="1"/>
    <col min="11019" max="11019" width="4" style="1359" customWidth="1"/>
    <col min="11020" max="11020" width="5.08984375" style="1359" customWidth="1"/>
    <col min="11021" max="11021" width="13.90625" style="1359" customWidth="1"/>
    <col min="11022" max="11264" width="9" style="1359"/>
    <col min="11265" max="11265" width="4.90625" style="1359" customWidth="1"/>
    <col min="11266" max="11266" width="13.08984375" style="1359" customWidth="1"/>
    <col min="11267" max="11267" width="15.6328125" style="1359" customWidth="1"/>
    <col min="11268" max="11268" width="9.36328125" style="1359" bestFit="1" customWidth="1"/>
    <col min="11269" max="11269" width="13.453125" style="1359" customWidth="1"/>
    <col min="11270" max="11270" width="9" style="1359"/>
    <col min="11271" max="11271" width="9.36328125" style="1359" bestFit="1" customWidth="1"/>
    <col min="11272" max="11273" width="9" style="1359"/>
    <col min="11274" max="11274" width="9.36328125" style="1359" bestFit="1" customWidth="1"/>
    <col min="11275" max="11275" width="4" style="1359" customWidth="1"/>
    <col min="11276" max="11276" width="5.08984375" style="1359" customWidth="1"/>
    <col min="11277" max="11277" width="13.90625" style="1359" customWidth="1"/>
    <col min="11278" max="11520" width="9" style="1359"/>
    <col min="11521" max="11521" width="4.90625" style="1359" customWidth="1"/>
    <col min="11522" max="11522" width="13.08984375" style="1359" customWidth="1"/>
    <col min="11523" max="11523" width="15.6328125" style="1359" customWidth="1"/>
    <col min="11524" max="11524" width="9.36328125" style="1359" bestFit="1" customWidth="1"/>
    <col min="11525" max="11525" width="13.453125" style="1359" customWidth="1"/>
    <col min="11526" max="11526" width="9" style="1359"/>
    <col min="11527" max="11527" width="9.36328125" style="1359" bestFit="1" customWidth="1"/>
    <col min="11528" max="11529" width="9" style="1359"/>
    <col min="11530" max="11530" width="9.36328125" style="1359" bestFit="1" customWidth="1"/>
    <col min="11531" max="11531" width="4" style="1359" customWidth="1"/>
    <col min="11532" max="11532" width="5.08984375" style="1359" customWidth="1"/>
    <col min="11533" max="11533" width="13.90625" style="1359" customWidth="1"/>
    <col min="11534" max="11776" width="9" style="1359"/>
    <col min="11777" max="11777" width="4.90625" style="1359" customWidth="1"/>
    <col min="11778" max="11778" width="13.08984375" style="1359" customWidth="1"/>
    <col min="11779" max="11779" width="15.6328125" style="1359" customWidth="1"/>
    <col min="11780" max="11780" width="9.36328125" style="1359" bestFit="1" customWidth="1"/>
    <col min="11781" max="11781" width="13.453125" style="1359" customWidth="1"/>
    <col min="11782" max="11782" width="9" style="1359"/>
    <col min="11783" max="11783" width="9.36328125" style="1359" bestFit="1" customWidth="1"/>
    <col min="11784" max="11785" width="9" style="1359"/>
    <col min="11786" max="11786" width="9.36328125" style="1359" bestFit="1" customWidth="1"/>
    <col min="11787" max="11787" width="4" style="1359" customWidth="1"/>
    <col min="11788" max="11788" width="5.08984375" style="1359" customWidth="1"/>
    <col min="11789" max="11789" width="13.90625" style="1359" customWidth="1"/>
    <col min="11790" max="12032" width="9" style="1359"/>
    <col min="12033" max="12033" width="4.90625" style="1359" customWidth="1"/>
    <col min="12034" max="12034" width="13.08984375" style="1359" customWidth="1"/>
    <col min="12035" max="12035" width="15.6328125" style="1359" customWidth="1"/>
    <col min="12036" max="12036" width="9.36328125" style="1359" bestFit="1" customWidth="1"/>
    <col min="12037" max="12037" width="13.453125" style="1359" customWidth="1"/>
    <col min="12038" max="12038" width="9" style="1359"/>
    <col min="12039" max="12039" width="9.36328125" style="1359" bestFit="1" customWidth="1"/>
    <col min="12040" max="12041" width="9" style="1359"/>
    <col min="12042" max="12042" width="9.36328125" style="1359" bestFit="1" customWidth="1"/>
    <col min="12043" max="12043" width="4" style="1359" customWidth="1"/>
    <col min="12044" max="12044" width="5.08984375" style="1359" customWidth="1"/>
    <col min="12045" max="12045" width="13.90625" style="1359" customWidth="1"/>
    <col min="12046" max="12288" width="9" style="1359"/>
    <col min="12289" max="12289" width="4.90625" style="1359" customWidth="1"/>
    <col min="12290" max="12290" width="13.08984375" style="1359" customWidth="1"/>
    <col min="12291" max="12291" width="15.6328125" style="1359" customWidth="1"/>
    <col min="12292" max="12292" width="9.36328125" style="1359" bestFit="1" customWidth="1"/>
    <col min="12293" max="12293" width="13.453125" style="1359" customWidth="1"/>
    <col min="12294" max="12294" width="9" style="1359"/>
    <col min="12295" max="12295" width="9.36328125" style="1359" bestFit="1" customWidth="1"/>
    <col min="12296" max="12297" width="9" style="1359"/>
    <col min="12298" max="12298" width="9.36328125" style="1359" bestFit="1" customWidth="1"/>
    <col min="12299" max="12299" width="4" style="1359" customWidth="1"/>
    <col min="12300" max="12300" width="5.08984375" style="1359" customWidth="1"/>
    <col min="12301" max="12301" width="13.90625" style="1359" customWidth="1"/>
    <col min="12302" max="12544" width="9" style="1359"/>
    <col min="12545" max="12545" width="4.90625" style="1359" customWidth="1"/>
    <col min="12546" max="12546" width="13.08984375" style="1359" customWidth="1"/>
    <col min="12547" max="12547" width="15.6328125" style="1359" customWidth="1"/>
    <col min="12548" max="12548" width="9.36328125" style="1359" bestFit="1" customWidth="1"/>
    <col min="12549" max="12549" width="13.453125" style="1359" customWidth="1"/>
    <col min="12550" max="12550" width="9" style="1359"/>
    <col min="12551" max="12551" width="9.36328125" style="1359" bestFit="1" customWidth="1"/>
    <col min="12552" max="12553" width="9" style="1359"/>
    <col min="12554" max="12554" width="9.36328125" style="1359" bestFit="1" customWidth="1"/>
    <col min="12555" max="12555" width="4" style="1359" customWidth="1"/>
    <col min="12556" max="12556" width="5.08984375" style="1359" customWidth="1"/>
    <col min="12557" max="12557" width="13.90625" style="1359" customWidth="1"/>
    <col min="12558" max="12800" width="9" style="1359"/>
    <col min="12801" max="12801" width="4.90625" style="1359" customWidth="1"/>
    <col min="12802" max="12802" width="13.08984375" style="1359" customWidth="1"/>
    <col min="12803" max="12803" width="15.6328125" style="1359" customWidth="1"/>
    <col min="12804" max="12804" width="9.36328125" style="1359" bestFit="1" customWidth="1"/>
    <col min="12805" max="12805" width="13.453125" style="1359" customWidth="1"/>
    <col min="12806" max="12806" width="9" style="1359"/>
    <col min="12807" max="12807" width="9.36328125" style="1359" bestFit="1" customWidth="1"/>
    <col min="12808" max="12809" width="9" style="1359"/>
    <col min="12810" max="12810" width="9.36328125" style="1359" bestFit="1" customWidth="1"/>
    <col min="12811" max="12811" width="4" style="1359" customWidth="1"/>
    <col min="12812" max="12812" width="5.08984375" style="1359" customWidth="1"/>
    <col min="12813" max="12813" width="13.90625" style="1359" customWidth="1"/>
    <col min="12814" max="13056" width="9" style="1359"/>
    <col min="13057" max="13057" width="4.90625" style="1359" customWidth="1"/>
    <col min="13058" max="13058" width="13.08984375" style="1359" customWidth="1"/>
    <col min="13059" max="13059" width="15.6328125" style="1359" customWidth="1"/>
    <col min="13060" max="13060" width="9.36328125" style="1359" bestFit="1" customWidth="1"/>
    <col min="13061" max="13061" width="13.453125" style="1359" customWidth="1"/>
    <col min="13062" max="13062" width="9" style="1359"/>
    <col min="13063" max="13063" width="9.36328125" style="1359" bestFit="1" customWidth="1"/>
    <col min="13064" max="13065" width="9" style="1359"/>
    <col min="13066" max="13066" width="9.36328125" style="1359" bestFit="1" customWidth="1"/>
    <col min="13067" max="13067" width="4" style="1359" customWidth="1"/>
    <col min="13068" max="13068" width="5.08984375" style="1359" customWidth="1"/>
    <col min="13069" max="13069" width="13.90625" style="1359" customWidth="1"/>
    <col min="13070" max="13312" width="9" style="1359"/>
    <col min="13313" max="13313" width="4.90625" style="1359" customWidth="1"/>
    <col min="13314" max="13314" width="13.08984375" style="1359" customWidth="1"/>
    <col min="13315" max="13315" width="15.6328125" style="1359" customWidth="1"/>
    <col min="13316" max="13316" width="9.36328125" style="1359" bestFit="1" customWidth="1"/>
    <col min="13317" max="13317" width="13.453125" style="1359" customWidth="1"/>
    <col min="13318" max="13318" width="9" style="1359"/>
    <col min="13319" max="13319" width="9.36328125" style="1359" bestFit="1" customWidth="1"/>
    <col min="13320" max="13321" width="9" style="1359"/>
    <col min="13322" max="13322" width="9.36328125" style="1359" bestFit="1" customWidth="1"/>
    <col min="13323" max="13323" width="4" style="1359" customWidth="1"/>
    <col min="13324" max="13324" width="5.08984375" style="1359" customWidth="1"/>
    <col min="13325" max="13325" width="13.90625" style="1359" customWidth="1"/>
    <col min="13326" max="13568" width="9" style="1359"/>
    <col min="13569" max="13569" width="4.90625" style="1359" customWidth="1"/>
    <col min="13570" max="13570" width="13.08984375" style="1359" customWidth="1"/>
    <col min="13571" max="13571" width="15.6328125" style="1359" customWidth="1"/>
    <col min="13572" max="13572" width="9.36328125" style="1359" bestFit="1" customWidth="1"/>
    <col min="13573" max="13573" width="13.453125" style="1359" customWidth="1"/>
    <col min="13574" max="13574" width="9" style="1359"/>
    <col min="13575" max="13575" width="9.36328125" style="1359" bestFit="1" customWidth="1"/>
    <col min="13576" max="13577" width="9" style="1359"/>
    <col min="13578" max="13578" width="9.36328125" style="1359" bestFit="1" customWidth="1"/>
    <col min="13579" max="13579" width="4" style="1359" customWidth="1"/>
    <col min="13580" max="13580" width="5.08984375" style="1359" customWidth="1"/>
    <col min="13581" max="13581" width="13.90625" style="1359" customWidth="1"/>
    <col min="13582" max="13824" width="9" style="1359"/>
    <col min="13825" max="13825" width="4.90625" style="1359" customWidth="1"/>
    <col min="13826" max="13826" width="13.08984375" style="1359" customWidth="1"/>
    <col min="13827" max="13827" width="15.6328125" style="1359" customWidth="1"/>
    <col min="13828" max="13828" width="9.36328125" style="1359" bestFit="1" customWidth="1"/>
    <col min="13829" max="13829" width="13.453125" style="1359" customWidth="1"/>
    <col min="13830" max="13830" width="9" style="1359"/>
    <col min="13831" max="13831" width="9.36328125" style="1359" bestFit="1" customWidth="1"/>
    <col min="13832" max="13833" width="9" style="1359"/>
    <col min="13834" max="13834" width="9.36328125" style="1359" bestFit="1" customWidth="1"/>
    <col min="13835" max="13835" width="4" style="1359" customWidth="1"/>
    <col min="13836" max="13836" width="5.08984375" style="1359" customWidth="1"/>
    <col min="13837" max="13837" width="13.90625" style="1359" customWidth="1"/>
    <col min="13838" max="14080" width="9" style="1359"/>
    <col min="14081" max="14081" width="4.90625" style="1359" customWidth="1"/>
    <col min="14082" max="14082" width="13.08984375" style="1359" customWidth="1"/>
    <col min="14083" max="14083" width="15.6328125" style="1359" customWidth="1"/>
    <col min="14084" max="14084" width="9.36328125" style="1359" bestFit="1" customWidth="1"/>
    <col min="14085" max="14085" width="13.453125" style="1359" customWidth="1"/>
    <col min="14086" max="14086" width="9" style="1359"/>
    <col min="14087" max="14087" width="9.36328125" style="1359" bestFit="1" customWidth="1"/>
    <col min="14088" max="14089" width="9" style="1359"/>
    <col min="14090" max="14090" width="9.36328125" style="1359" bestFit="1" customWidth="1"/>
    <col min="14091" max="14091" width="4" style="1359" customWidth="1"/>
    <col min="14092" max="14092" width="5.08984375" style="1359" customWidth="1"/>
    <col min="14093" max="14093" width="13.90625" style="1359" customWidth="1"/>
    <col min="14094" max="14336" width="9" style="1359"/>
    <col min="14337" max="14337" width="4.90625" style="1359" customWidth="1"/>
    <col min="14338" max="14338" width="13.08984375" style="1359" customWidth="1"/>
    <col min="14339" max="14339" width="15.6328125" style="1359" customWidth="1"/>
    <col min="14340" max="14340" width="9.36328125" style="1359" bestFit="1" customWidth="1"/>
    <col min="14341" max="14341" width="13.453125" style="1359" customWidth="1"/>
    <col min="14342" max="14342" width="9" style="1359"/>
    <col min="14343" max="14343" width="9.36328125" style="1359" bestFit="1" customWidth="1"/>
    <col min="14344" max="14345" width="9" style="1359"/>
    <col min="14346" max="14346" width="9.36328125" style="1359" bestFit="1" customWidth="1"/>
    <col min="14347" max="14347" width="4" style="1359" customWidth="1"/>
    <col min="14348" max="14348" width="5.08984375" style="1359" customWidth="1"/>
    <col min="14349" max="14349" width="13.90625" style="1359" customWidth="1"/>
    <col min="14350" max="14592" width="9" style="1359"/>
    <col min="14593" max="14593" width="4.90625" style="1359" customWidth="1"/>
    <col min="14594" max="14594" width="13.08984375" style="1359" customWidth="1"/>
    <col min="14595" max="14595" width="15.6328125" style="1359" customWidth="1"/>
    <col min="14596" max="14596" width="9.36328125" style="1359" bestFit="1" customWidth="1"/>
    <col min="14597" max="14597" width="13.453125" style="1359" customWidth="1"/>
    <col min="14598" max="14598" width="9" style="1359"/>
    <col min="14599" max="14599" width="9.36328125" style="1359" bestFit="1" customWidth="1"/>
    <col min="14600" max="14601" width="9" style="1359"/>
    <col min="14602" max="14602" width="9.36328125" style="1359" bestFit="1" customWidth="1"/>
    <col min="14603" max="14603" width="4" style="1359" customWidth="1"/>
    <col min="14604" max="14604" width="5.08984375" style="1359" customWidth="1"/>
    <col min="14605" max="14605" width="13.90625" style="1359" customWidth="1"/>
    <col min="14606" max="14848" width="9" style="1359"/>
    <col min="14849" max="14849" width="4.90625" style="1359" customWidth="1"/>
    <col min="14850" max="14850" width="13.08984375" style="1359" customWidth="1"/>
    <col min="14851" max="14851" width="15.6328125" style="1359" customWidth="1"/>
    <col min="14852" max="14852" width="9.36328125" style="1359" bestFit="1" customWidth="1"/>
    <col min="14853" max="14853" width="13.453125" style="1359" customWidth="1"/>
    <col min="14854" max="14854" width="9" style="1359"/>
    <col min="14855" max="14855" width="9.36328125" style="1359" bestFit="1" customWidth="1"/>
    <col min="14856" max="14857" width="9" style="1359"/>
    <col min="14858" max="14858" width="9.36328125" style="1359" bestFit="1" customWidth="1"/>
    <col min="14859" max="14859" width="4" style="1359" customWidth="1"/>
    <col min="14860" max="14860" width="5.08984375" style="1359" customWidth="1"/>
    <col min="14861" max="14861" width="13.90625" style="1359" customWidth="1"/>
    <col min="14862" max="15104" width="9" style="1359"/>
    <col min="15105" max="15105" width="4.90625" style="1359" customWidth="1"/>
    <col min="15106" max="15106" width="13.08984375" style="1359" customWidth="1"/>
    <col min="15107" max="15107" width="15.6328125" style="1359" customWidth="1"/>
    <col min="15108" max="15108" width="9.36328125" style="1359" bestFit="1" customWidth="1"/>
    <col min="15109" max="15109" width="13.453125" style="1359" customWidth="1"/>
    <col min="15110" max="15110" width="9" style="1359"/>
    <col min="15111" max="15111" width="9.36328125" style="1359" bestFit="1" customWidth="1"/>
    <col min="15112" max="15113" width="9" style="1359"/>
    <col min="15114" max="15114" width="9.36328125" style="1359" bestFit="1" customWidth="1"/>
    <col min="15115" max="15115" width="4" style="1359" customWidth="1"/>
    <col min="15116" max="15116" width="5.08984375" style="1359" customWidth="1"/>
    <col min="15117" max="15117" width="13.90625" style="1359" customWidth="1"/>
    <col min="15118" max="15360" width="9" style="1359"/>
    <col min="15361" max="15361" width="4.90625" style="1359" customWidth="1"/>
    <col min="15362" max="15362" width="13.08984375" style="1359" customWidth="1"/>
    <col min="15363" max="15363" width="15.6328125" style="1359" customWidth="1"/>
    <col min="15364" max="15364" width="9.36328125" style="1359" bestFit="1" customWidth="1"/>
    <col min="15365" max="15365" width="13.453125" style="1359" customWidth="1"/>
    <col min="15366" max="15366" width="9" style="1359"/>
    <col min="15367" max="15367" width="9.36328125" style="1359" bestFit="1" customWidth="1"/>
    <col min="15368" max="15369" width="9" style="1359"/>
    <col min="15370" max="15370" width="9.36328125" style="1359" bestFit="1" customWidth="1"/>
    <col min="15371" max="15371" width="4" style="1359" customWidth="1"/>
    <col min="15372" max="15372" width="5.08984375" style="1359" customWidth="1"/>
    <col min="15373" max="15373" width="13.90625" style="1359" customWidth="1"/>
    <col min="15374" max="15616" width="9" style="1359"/>
    <col min="15617" max="15617" width="4.90625" style="1359" customWidth="1"/>
    <col min="15618" max="15618" width="13.08984375" style="1359" customWidth="1"/>
    <col min="15619" max="15619" width="15.6328125" style="1359" customWidth="1"/>
    <col min="15620" max="15620" width="9.36328125" style="1359" bestFit="1" customWidth="1"/>
    <col min="15621" max="15621" width="13.453125" style="1359" customWidth="1"/>
    <col min="15622" max="15622" width="9" style="1359"/>
    <col min="15623" max="15623" width="9.36328125" style="1359" bestFit="1" customWidth="1"/>
    <col min="15624" max="15625" width="9" style="1359"/>
    <col min="15626" max="15626" width="9.36328125" style="1359" bestFit="1" customWidth="1"/>
    <col min="15627" max="15627" width="4" style="1359" customWidth="1"/>
    <col min="15628" max="15628" width="5.08984375" style="1359" customWidth="1"/>
    <col min="15629" max="15629" width="13.90625" style="1359" customWidth="1"/>
    <col min="15630" max="15872" width="9" style="1359"/>
    <col min="15873" max="15873" width="4.90625" style="1359" customWidth="1"/>
    <col min="15874" max="15874" width="13.08984375" style="1359" customWidth="1"/>
    <col min="15875" max="15875" width="15.6328125" style="1359" customWidth="1"/>
    <col min="15876" max="15876" width="9.36328125" style="1359" bestFit="1" customWidth="1"/>
    <col min="15877" max="15877" width="13.453125" style="1359" customWidth="1"/>
    <col min="15878" max="15878" width="9" style="1359"/>
    <col min="15879" max="15879" width="9.36328125" style="1359" bestFit="1" customWidth="1"/>
    <col min="15880" max="15881" width="9" style="1359"/>
    <col min="15882" max="15882" width="9.36328125" style="1359" bestFit="1" customWidth="1"/>
    <col min="15883" max="15883" width="4" style="1359" customWidth="1"/>
    <col min="15884" max="15884" width="5.08984375" style="1359" customWidth="1"/>
    <col min="15885" max="15885" width="13.90625" style="1359" customWidth="1"/>
    <col min="15886" max="16128" width="9" style="1359"/>
    <col min="16129" max="16129" width="4.90625" style="1359" customWidth="1"/>
    <col min="16130" max="16130" width="13.08984375" style="1359" customWidth="1"/>
    <col min="16131" max="16131" width="15.6328125" style="1359" customWidth="1"/>
    <col min="16132" max="16132" width="9.36328125" style="1359" bestFit="1" customWidth="1"/>
    <col min="16133" max="16133" width="13.453125" style="1359" customWidth="1"/>
    <col min="16134" max="16134" width="9" style="1359"/>
    <col min="16135" max="16135" width="9.36328125" style="1359" bestFit="1" customWidth="1"/>
    <col min="16136" max="16137" width="9" style="1359"/>
    <col min="16138" max="16138" width="9.36328125" style="1359" bestFit="1" customWidth="1"/>
    <col min="16139" max="16139" width="4" style="1359" customWidth="1"/>
    <col min="16140" max="16140" width="5.08984375" style="1359" customWidth="1"/>
    <col min="16141" max="16141" width="13.90625" style="1359" customWidth="1"/>
    <col min="16142" max="16384" width="9" style="1359"/>
  </cols>
  <sheetData>
    <row r="1" spans="1:257" s="1421" customFormat="1" ht="14.5" thickBot="1">
      <c r="A1" s="1415"/>
      <c r="B1" s="1422" t="s">
        <v>1027</v>
      </c>
      <c r="C1" s="1416">
        <f>项目基本情况!D3</f>
        <v>44691</v>
      </c>
      <c r="D1" s="1422" t="s">
        <v>1028</v>
      </c>
      <c r="E1" s="1417">
        <f>'数据-取费表'!B22</f>
        <v>3</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1">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3">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30">
      <c r="A13" s="1404"/>
      <c r="B13" s="1405" t="s">
        <v>1057</v>
      </c>
      <c r="C13" s="2997">
        <v>44581</v>
      </c>
      <c r="D13" s="2998">
        <v>3.7</v>
      </c>
      <c r="E13" s="2998">
        <f>D13</f>
        <v>3.7</v>
      </c>
      <c r="F13" s="2998">
        <f>D13</f>
        <v>3.7</v>
      </c>
      <c r="G13" s="2998">
        <f>D13</f>
        <v>3.7</v>
      </c>
      <c r="H13" s="2998">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5">
      <c r="A14" s="1404"/>
      <c r="B14" s="2993"/>
      <c r="C14" s="2994">
        <v>44550</v>
      </c>
      <c r="D14" s="2993">
        <v>3.8</v>
      </c>
      <c r="E14" s="2993">
        <f>D14</f>
        <v>3.8</v>
      </c>
      <c r="F14" s="2993">
        <f>D14</f>
        <v>3.8</v>
      </c>
      <c r="G14" s="2993">
        <f>D14</f>
        <v>3.8</v>
      </c>
      <c r="H14" s="2993">
        <v>4.6500000000000004</v>
      </c>
      <c r="I14" s="2993"/>
      <c r="J14" s="2998"/>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5">
      <c r="A15" s="1404"/>
      <c r="B15" s="2993"/>
      <c r="C15" s="2994">
        <v>43941</v>
      </c>
      <c r="D15" s="2993">
        <v>3.85</v>
      </c>
      <c r="E15" s="2993">
        <v>3.85</v>
      </c>
      <c r="F15" s="2993">
        <v>3.85</v>
      </c>
      <c r="G15" s="2993">
        <v>3.85</v>
      </c>
      <c r="H15" s="2993">
        <v>4.6500000000000004</v>
      </c>
      <c r="I15" s="2993"/>
      <c r="J15" s="2993"/>
      <c r="L15" s="1410"/>
      <c r="M15" s="1411">
        <v>42183</v>
      </c>
      <c r="N15" s="1410">
        <v>0.35</v>
      </c>
      <c r="O15" s="1410">
        <v>1.6</v>
      </c>
      <c r="P15" s="1410">
        <v>1.8</v>
      </c>
      <c r="Q15" s="1410">
        <v>2</v>
      </c>
      <c r="R15" s="1410">
        <v>2.6</v>
      </c>
      <c r="S15" s="1410">
        <v>3.25</v>
      </c>
      <c r="T15" s="1410"/>
      <c r="U15" s="1410"/>
      <c r="V15" s="1410"/>
      <c r="W15" s="1410"/>
      <c r="X15" s="1410"/>
      <c r="Y15" s="1410"/>
      <c r="Z15" s="1410"/>
    </row>
    <row r="16" spans="1:257" ht="15">
      <c r="A16" s="1404"/>
      <c r="B16" s="2993"/>
      <c r="C16" s="2994">
        <v>43881</v>
      </c>
      <c r="D16" s="2993">
        <v>4.05</v>
      </c>
      <c r="E16" s="2993">
        <v>4.05</v>
      </c>
      <c r="F16" s="2993">
        <v>4.05</v>
      </c>
      <c r="G16" s="2993">
        <v>4.05</v>
      </c>
      <c r="H16" s="2993">
        <v>4.75</v>
      </c>
      <c r="I16" s="2993"/>
      <c r="J16" s="2993"/>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5">
      <c r="A17" s="1404"/>
      <c r="B17" s="2993"/>
      <c r="C17" s="2994">
        <v>43789</v>
      </c>
      <c r="D17" s="2993">
        <v>4.1500000000000004</v>
      </c>
      <c r="E17" s="2993">
        <v>4.1500000000000004</v>
      </c>
      <c r="F17" s="2993">
        <v>4.1500000000000004</v>
      </c>
      <c r="G17" s="2993">
        <v>4.1500000000000004</v>
      </c>
      <c r="H17" s="2993">
        <v>4.8</v>
      </c>
      <c r="I17" s="2993"/>
      <c r="J17" s="2993"/>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6.5">
      <c r="A18" s="1404"/>
      <c r="B18" s="2993"/>
      <c r="C18" s="2994">
        <v>43728</v>
      </c>
      <c r="D18" s="2993">
        <v>4.2</v>
      </c>
      <c r="E18" s="2993">
        <v>4.2</v>
      </c>
      <c r="F18" s="2993">
        <v>4.2</v>
      </c>
      <c r="G18" s="2993">
        <v>4.2</v>
      </c>
      <c r="H18" s="2993">
        <v>4.8499999999999996</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5">
      <c r="A19" s="1404"/>
      <c r="B19" s="2992" t="s">
        <v>2811</v>
      </c>
      <c r="C19" s="2995">
        <v>43697</v>
      </c>
      <c r="D19" s="2996">
        <v>4.25</v>
      </c>
      <c r="E19" s="2996">
        <v>4.25</v>
      </c>
      <c r="F19" s="2996">
        <v>4.25</v>
      </c>
      <c r="G19" s="2996">
        <v>4.25</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5">
      <c r="A20" s="2999"/>
      <c r="B20" s="3000"/>
      <c r="C20" s="3001">
        <v>42301</v>
      </c>
      <c r="D20" s="3002">
        <v>4.3499999999999996</v>
      </c>
      <c r="E20" s="3002">
        <v>4.3499999999999996</v>
      </c>
      <c r="F20" s="3002">
        <v>4.75</v>
      </c>
      <c r="G20" s="3002">
        <v>4.75</v>
      </c>
      <c r="H20" s="3002">
        <v>4.9000000000000004</v>
      </c>
      <c r="I20" s="3002"/>
      <c r="J20" s="3002"/>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2" customWidth="1"/>
    <col min="2" max="3" width="22.36328125" style="1612" customWidth="1"/>
    <col min="4" max="4" width="23" style="1612" customWidth="1"/>
    <col min="5" max="16384" width="9" style="1612"/>
  </cols>
  <sheetData>
    <row r="1" spans="1:4" ht="18">
      <c r="A1" s="3357" t="s">
        <v>1382</v>
      </c>
      <c r="B1" s="3357"/>
      <c r="C1" s="3357"/>
      <c r="D1" s="3357"/>
    </row>
    <row r="2" spans="1:4" ht="18">
      <c r="A2" s="3358" t="s">
        <v>1366</v>
      </c>
      <c r="B2" s="3358"/>
      <c r="C2" s="3358"/>
      <c r="D2" s="3358"/>
    </row>
    <row r="3" spans="1:4" ht="17.5">
      <c r="A3" s="1644" t="s">
        <v>1367</v>
      </c>
      <c r="B3" s="1644" t="s">
        <v>1368</v>
      </c>
      <c r="C3" s="1644" t="s">
        <v>1369</v>
      </c>
      <c r="D3" s="1644" t="s">
        <v>1370</v>
      </c>
    </row>
    <row r="4" spans="1:4" ht="56.25" customHeight="1">
      <c r="A4" s="1645" t="str">
        <f>项目基本情况!B4</f>
        <v>吴薇</v>
      </c>
      <c r="B4" s="1646">
        <f ca="1">项目基本情况!C4</f>
        <v>1419970001</v>
      </c>
      <c r="C4" s="1647"/>
      <c r="D4" s="1648" t="s">
        <v>1371</v>
      </c>
    </row>
    <row r="5" spans="1:4" ht="56.25" customHeight="1">
      <c r="A5" s="1645">
        <f>项目基本情况!D4</f>
        <v>0</v>
      </c>
      <c r="B5" s="1646">
        <f>项目基本情况!E4</f>
        <v>0</v>
      </c>
      <c r="C5" s="1649"/>
      <c r="D5" s="1648" t="s">
        <v>1371</v>
      </c>
    </row>
    <row r="6" spans="1:4" ht="18">
      <c r="A6" s="3358" t="s">
        <v>1372</v>
      </c>
      <c r="B6" s="3358"/>
      <c r="C6" s="3358"/>
      <c r="D6" s="3358"/>
    </row>
    <row r="7" spans="1:4" ht="17.5">
      <c r="A7" s="1644" t="s">
        <v>1367</v>
      </c>
      <c r="B7" s="1646" t="s">
        <v>1373</v>
      </c>
      <c r="C7" s="1644" t="s">
        <v>1369</v>
      </c>
      <c r="D7" s="1644" t="s">
        <v>1370</v>
      </c>
    </row>
    <row r="8" spans="1:4" ht="56.25" customHeight="1">
      <c r="A8" s="1650" t="s">
        <v>656</v>
      </c>
      <c r="B8" s="1650" t="s">
        <v>1</v>
      </c>
      <c r="C8" s="1647"/>
      <c r="D8" s="1648" t="s">
        <v>1371</v>
      </c>
    </row>
    <row r="9" spans="1:4">
      <c r="A9" s="684"/>
      <c r="B9" s="684"/>
      <c r="C9" s="684"/>
      <c r="D9" s="684"/>
    </row>
    <row r="10" spans="1:4" ht="18">
      <c r="A10" s="1651" t="s">
        <v>1374</v>
      </c>
      <c r="B10" s="684"/>
      <c r="C10" s="684"/>
      <c r="D10" s="684"/>
    </row>
    <row r="11" spans="1:4" ht="30" customHeight="1">
      <c r="A11" s="3359" t="s">
        <v>1375</v>
      </c>
      <c r="B11" s="3351"/>
      <c r="C11" s="3351"/>
      <c r="D11" s="3351"/>
    </row>
    <row r="12" spans="1:4" ht="15.5">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6"/>
      <c r="C12" s="3356"/>
      <c r="D12" s="3356"/>
    </row>
    <row r="13" spans="1:4" ht="30" customHeight="1">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6"/>
      <c r="C13" s="3356"/>
      <c r="D13" s="3356"/>
    </row>
    <row r="14" spans="1:4" ht="15.75" customHeight="1">
      <c r="A14" s="3351" t="str">
        <f>IF(项目基本情况!B8="抵押","4.本次评估估价师所知悉的法定优先受偿款情况说明如下：","——")</f>
        <v>4.本次评估估价师所知悉的法定优先受偿款情况说明如下：</v>
      </c>
      <c r="B14" s="3356"/>
      <c r="C14" s="3356"/>
      <c r="D14" s="3356"/>
    </row>
    <row r="15" spans="1:4" ht="42" customHeight="1">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spans="1:4" ht="30" customHeight="1">
      <c r="A16" s="3353" t="s">
        <v>1376</v>
      </c>
      <c r="B16" s="3353"/>
      <c r="C16" s="3353"/>
      <c r="D16" s="3353"/>
    </row>
    <row r="17" spans="1:4" ht="144" customHeight="1">
      <c r="A17" s="3353" t="s">
        <v>1377</v>
      </c>
      <c r="B17" s="3353"/>
      <c r="C17" s="3353"/>
      <c r="D17" s="3353"/>
    </row>
    <row r="18" spans="1:4" ht="15.75" customHeight="1">
      <c r="A18" s="3351" t="str">
        <f>IF(项目基本情况!B8="抵押",结果表!K120,"——")</f>
        <v>故，本次评估不存在估价师知悉的法定优先受偿款</v>
      </c>
      <c r="B18" s="3351"/>
      <c r="C18" s="3351"/>
      <c r="D18" s="3351"/>
    </row>
    <row r="19" spans="1:4" ht="46.5" customHeight="1">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57.75" customHeight="1">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spans="1:4" ht="57.75" customHeight="1">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spans="1:4" ht="18.75" customHeight="1">
      <c r="A22" s="3355" t="s">
        <v>1378</v>
      </c>
      <c r="B22" s="3355"/>
      <c r="C22" s="3355"/>
      <c r="D22" s="3355"/>
    </row>
    <row r="23" spans="1:4">
      <c r="A23" s="1652"/>
      <c r="B23" s="1624"/>
      <c r="C23" s="1624"/>
      <c r="D23" s="1624"/>
    </row>
    <row r="24" spans="1:4">
      <c r="A24" s="1652"/>
      <c r="B24" s="1624"/>
      <c r="C24" s="1624"/>
      <c r="D24" s="1624"/>
    </row>
    <row r="25" spans="1:4" ht="17.5">
      <c r="A25" s="1653" t="s">
        <v>1379</v>
      </c>
    </row>
    <row r="26" spans="1:4" ht="17.5">
      <c r="A26" s="1622"/>
    </row>
    <row r="27" spans="1:4" ht="17.5">
      <c r="A27" s="1622" t="s">
        <v>1380</v>
      </c>
    </row>
    <row r="30" spans="1:4" ht="17.5">
      <c r="D30" s="1653" t="s">
        <v>1381</v>
      </c>
    </row>
    <row r="31" spans="1:4" ht="13.5" customHeight="1">
      <c r="C31" s="3352">
        <v>42551</v>
      </c>
      <c r="D31" s="33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7"/>
  <sheetViews>
    <sheetView workbookViewId="0">
      <selection activeCell="K25" sqref="K25"/>
    </sheetView>
  </sheetViews>
  <sheetFormatPr defaultRowHeight="14"/>
  <sheetData>
    <row r="1" spans="1:13" ht="27">
      <c r="A1" s="1468" t="s">
        <v>1093</v>
      </c>
      <c r="E1" s="1462" t="s">
        <v>1097</v>
      </c>
      <c r="F1" s="1463" t="s">
        <v>1101</v>
      </c>
    </row>
    <row r="2" spans="1:13" ht="20">
      <c r="A2" s="1469" t="s">
        <v>1094</v>
      </c>
    </row>
    <row r="3" spans="1:13" ht="16.5">
      <c r="A3" s="1470" t="s">
        <v>1095</v>
      </c>
    </row>
    <row r="4" spans="1:13">
      <c r="A4" s="1460" t="s">
        <v>1096</v>
      </c>
      <c r="B4" s="1465" t="s">
        <v>1098</v>
      </c>
      <c r="C4" s="1466"/>
      <c r="D4" s="1467"/>
      <c r="E4" s="1465" t="s">
        <v>27</v>
      </c>
      <c r="F4" s="1466"/>
      <c r="G4" s="1467"/>
      <c r="H4" s="1465" t="s">
        <v>1099</v>
      </c>
      <c r="I4" s="1466"/>
      <c r="J4" s="1467"/>
      <c r="K4" s="1465" t="s">
        <v>6</v>
      </c>
      <c r="L4" s="1466"/>
      <c r="M4" s="1467"/>
    </row>
    <row r="5" spans="1:13">
      <c r="A5" s="1461" t="s">
        <v>1100</v>
      </c>
      <c r="B5" s="1460" t="s">
        <v>1102</v>
      </c>
      <c r="C5" s="1460" t="s">
        <v>1103</v>
      </c>
      <c r="D5" s="1460" t="s">
        <v>1104</v>
      </c>
      <c r="E5" s="1460" t="s">
        <v>1102</v>
      </c>
      <c r="F5" s="1460" t="s">
        <v>1103</v>
      </c>
      <c r="G5" s="1460" t="s">
        <v>1104</v>
      </c>
      <c r="H5" s="1460" t="s">
        <v>1102</v>
      </c>
      <c r="I5" s="1460" t="s">
        <v>1103</v>
      </c>
      <c r="J5" s="1460" t="s">
        <v>1104</v>
      </c>
      <c r="K5" s="1460" t="s">
        <v>1102</v>
      </c>
      <c r="L5" s="1460" t="s">
        <v>1103</v>
      </c>
      <c r="M5" s="1460" t="s">
        <v>1104</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10" customWidth="1"/>
    <col min="3" max="10" width="12.453125" style="1610" customWidth="1"/>
    <col min="11" max="16384" width="9" style="1610"/>
  </cols>
  <sheetData>
    <row r="1" spans="1:10" ht="17.5">
      <c r="A1" s="1643" t="s">
        <v>657</v>
      </c>
      <c r="B1" s="1654"/>
      <c r="C1" s="1654"/>
      <c r="D1" s="1654"/>
      <c r="E1" s="1654"/>
      <c r="F1" s="1654"/>
      <c r="G1" s="1654"/>
      <c r="H1" s="1654"/>
      <c r="I1" s="1654"/>
      <c r="J1" s="1654"/>
    </row>
    <row r="2" spans="1:10" ht="1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60" customWidth="1"/>
    <col min="2" max="16384" width="14.453125" style="1642"/>
  </cols>
  <sheetData>
    <row r="1" spans="1:7" s="1657" customFormat="1" ht="17.5">
      <c r="A1" s="1656" t="s">
        <v>1383</v>
      </c>
    </row>
    <row r="3" spans="1:7">
      <c r="A3" s="1658" t="s">
        <v>82</v>
      </c>
      <c r="B3" s="1642" t="s">
        <v>1384</v>
      </c>
      <c r="G3" s="1659"/>
    </row>
    <row r="4" spans="1:7">
      <c r="G4" s="1659"/>
    </row>
    <row r="5" spans="1:7">
      <c r="A5" s="1661" t="s">
        <v>73</v>
      </c>
      <c r="B5" s="1642" t="s">
        <v>1385</v>
      </c>
      <c r="G5" s="1659"/>
    </row>
    <row r="6" spans="1:7">
      <c r="G6" s="1659"/>
    </row>
    <row r="7" spans="1:7">
      <c r="A7" s="1662" t="s">
        <v>135</v>
      </c>
      <c r="B7" s="1642" t="s">
        <v>1386</v>
      </c>
      <c r="G7" s="1659"/>
    </row>
    <row r="8" spans="1:7">
      <c r="G8" s="1659"/>
    </row>
    <row r="9" spans="1:7">
      <c r="A9" s="1663" t="s">
        <v>74</v>
      </c>
      <c r="B9" s="1642" t="s">
        <v>1387</v>
      </c>
    </row>
    <row r="11" spans="1:7">
      <c r="A11" s="1664" t="s">
        <v>75</v>
      </c>
      <c r="B11" s="1665" t="s">
        <v>72</v>
      </c>
    </row>
    <row r="13" spans="1:7">
      <c r="A13" s="1666" t="s">
        <v>1388</v>
      </c>
    </row>
    <row r="15" spans="1:7" ht="14">
      <c r="A15" s="3365" t="s">
        <v>1389</v>
      </c>
      <c r="B15" s="3360" t="s">
        <v>136</v>
      </c>
      <c r="C15" s="3361"/>
    </row>
    <row r="16" spans="1:7" ht="14">
      <c r="A16" s="3366"/>
      <c r="B16" s="3360" t="s">
        <v>69</v>
      </c>
      <c r="C16" s="3361"/>
    </row>
    <row r="17" spans="1:3" ht="14">
      <c r="A17" s="3366"/>
      <c r="B17" s="3363" t="s">
        <v>1390</v>
      </c>
      <c r="C17" s="1667" t="s">
        <v>1389</v>
      </c>
    </row>
    <row r="18" spans="1:3" ht="14">
      <c r="A18" s="3366"/>
      <c r="B18" s="3363"/>
      <c r="C18" s="1667" t="s">
        <v>1391</v>
      </c>
    </row>
    <row r="19" spans="1:3" ht="14">
      <c r="A19" s="3366"/>
      <c r="B19" s="3363"/>
      <c r="C19" s="1667" t="s">
        <v>1392</v>
      </c>
    </row>
    <row r="20" spans="1:3" ht="14">
      <c r="A20" s="3367"/>
      <c r="B20" s="3362" t="s">
        <v>1393</v>
      </c>
      <c r="C20" s="3361"/>
    </row>
    <row r="21" spans="1:3" ht="14">
      <c r="A21" s="1668" t="s">
        <v>1394</v>
      </c>
      <c r="B21" s="1669"/>
      <c r="C21" s="1670"/>
    </row>
    <row r="22" spans="1:3" ht="14">
      <c r="A22" s="3364" t="s">
        <v>1395</v>
      </c>
      <c r="B22" s="3362" t="s">
        <v>1396</v>
      </c>
      <c r="C22" s="3361"/>
    </row>
    <row r="23" spans="1:3" ht="14">
      <c r="A23" s="3364"/>
      <c r="B23" s="3362" t="s">
        <v>1397</v>
      </c>
      <c r="C23" s="3361"/>
    </row>
    <row r="24" spans="1:3" ht="14">
      <c r="A24" s="3364"/>
      <c r="B24" s="3362" t="s">
        <v>1398</v>
      </c>
      <c r="C24" s="3361"/>
    </row>
    <row r="25" spans="1:3" ht="14">
      <c r="A25" s="3364"/>
      <c r="B25" s="3363" t="s">
        <v>1399</v>
      </c>
      <c r="C25" s="1667" t="s">
        <v>1400</v>
      </c>
    </row>
    <row r="26" spans="1:3" ht="14">
      <c r="A26" s="3364"/>
      <c r="B26" s="3363"/>
      <c r="C26" s="1667" t="s">
        <v>1401</v>
      </c>
    </row>
    <row r="27" spans="1:3" ht="14">
      <c r="A27" s="3364"/>
      <c r="B27" s="3363"/>
      <c r="C27" s="1667" t="s">
        <v>1402</v>
      </c>
    </row>
    <row r="28" spans="1:3" ht="14">
      <c r="A28" s="3364"/>
      <c r="B28" s="3363"/>
      <c r="C28" s="1667" t="s">
        <v>1403</v>
      </c>
    </row>
    <row r="29" spans="1:3" ht="14">
      <c r="A29" s="3364"/>
      <c r="B29" s="3363"/>
      <c r="C29" s="1667" t="s">
        <v>1404</v>
      </c>
    </row>
    <row r="30" spans="1:3" ht="14">
      <c r="A30" s="3364"/>
      <c r="B30" s="3363"/>
      <c r="C30" s="1667" t="s">
        <v>1405</v>
      </c>
    </row>
    <row r="31" spans="1:3" ht="14">
      <c r="A31" s="3364"/>
      <c r="B31" s="3363"/>
      <c r="C31" s="1667" t="s">
        <v>1406</v>
      </c>
    </row>
    <row r="32" spans="1:3" ht="14">
      <c r="A32" s="3364"/>
      <c r="B32" s="3363"/>
      <c r="C32" s="1667" t="s">
        <v>1407</v>
      </c>
    </row>
    <row r="33" spans="1:3" ht="14">
      <c r="A33" s="3364"/>
      <c r="B33" s="3363"/>
      <c r="C33" s="1667" t="s">
        <v>1408</v>
      </c>
    </row>
    <row r="34" spans="1:3">
      <c r="A34" s="1671" t="s">
        <v>76</v>
      </c>
    </row>
    <row r="37" spans="1:3">
      <c r="A37" s="1671" t="s">
        <v>1409</v>
      </c>
    </row>
    <row r="38" spans="1:3" ht="14">
      <c r="A38" s="1672" t="s">
        <v>77</v>
      </c>
    </row>
    <row r="39" spans="1:3" ht="14">
      <c r="A39" s="1672" t="s">
        <v>78</v>
      </c>
    </row>
    <row r="40" spans="1:3" ht="14">
      <c r="A40" s="1672" t="s">
        <v>79</v>
      </c>
    </row>
    <row r="41" spans="1:3" ht="14">
      <c r="A41" s="1673" t="s">
        <v>80</v>
      </c>
    </row>
    <row r="42" spans="1:3" ht="14">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09" customWidth="1"/>
    <col min="2" max="2" width="38.6328125" style="2509" customWidth="1"/>
    <col min="3" max="3" width="26" style="2509" customWidth="1"/>
    <col min="4" max="4" width="35" style="2509" hidden="1" customWidth="1"/>
    <col min="5" max="5" width="30.08984375" style="2509" customWidth="1"/>
    <col min="6" max="6" width="35.453125" style="2509" customWidth="1"/>
    <col min="7" max="7" width="31" style="2509" customWidth="1"/>
    <col min="8" max="8" width="37.453125" style="2509" hidden="1" customWidth="1"/>
    <col min="9" max="16384" width="22.6328125" style="2509"/>
  </cols>
  <sheetData>
    <row r="1" spans="1:8" ht="24" customHeight="1">
      <c r="A1" s="2508"/>
      <c r="B1" s="2508"/>
      <c r="C1" s="2508"/>
      <c r="D1" s="2508"/>
      <c r="E1" s="2508"/>
      <c r="F1" s="2508"/>
      <c r="G1" s="2508"/>
      <c r="H1" s="2508"/>
    </row>
    <row r="2" spans="1:8" ht="24" customHeight="1">
      <c r="A2" s="2510" t="s">
        <v>2636</v>
      </c>
      <c r="B2" s="2511">
        <f ca="1">TODAY()</f>
        <v>44694</v>
      </c>
      <c r="C2" s="2512" t="s">
        <v>2637</v>
      </c>
      <c r="D2" s="2512"/>
      <c r="E2" s="2512"/>
      <c r="F2" s="2508"/>
      <c r="G2" s="2508"/>
      <c r="H2" s="2508"/>
    </row>
    <row r="3" spans="1:8" ht="24" customHeight="1">
      <c r="A3" s="2513" t="s">
        <v>2638</v>
      </c>
      <c r="B3" s="2514" t="s">
        <v>2639</v>
      </c>
      <c r="C3" s="2514" t="s">
        <v>2640</v>
      </c>
      <c r="D3" s="2515" t="s">
        <v>2641</v>
      </c>
      <c r="E3" s="2516" t="s">
        <v>2642</v>
      </c>
      <c r="F3" s="1424" t="s">
        <v>2643</v>
      </c>
      <c r="G3" s="2514" t="s">
        <v>2640</v>
      </c>
      <c r="H3" s="2515" t="s">
        <v>2644</v>
      </c>
    </row>
    <row r="4" spans="1:8" ht="24" customHeight="1">
      <c r="A4" s="1424" t="s">
        <v>2645</v>
      </c>
      <c r="B4" s="1424">
        <f ca="1">IF(C4&lt;B2,"已过期",1119970066)</f>
        <v>1119970066</v>
      </c>
      <c r="C4" s="2517">
        <v>44876</v>
      </c>
      <c r="D4" s="2518" t="str">
        <f ca="1">A4&amp;"（注册号："&amp;B4&amp;"）"</f>
        <v>梁津（注册号：1119970066）</v>
      </c>
      <c r="E4" s="2519" t="s">
        <v>2645</v>
      </c>
      <c r="F4" s="1424">
        <f ca="1">IF(G4&lt;B2,"已过期",96010014)</f>
        <v>96010014</v>
      </c>
      <c r="G4" s="2520">
        <v>47118</v>
      </c>
      <c r="H4" s="2521" t="str">
        <f ca="1">E4&amp;"（注册号："&amp;F4&amp;"）"</f>
        <v>梁津（注册号：96010014）</v>
      </c>
    </row>
    <row r="5" spans="1:8" ht="24" customHeight="1">
      <c r="A5" s="1424" t="s">
        <v>2646</v>
      </c>
      <c r="B5" s="1424">
        <f ca="1">IF(C5&lt;B2,"已过期",1119970111)</f>
        <v>1119970111</v>
      </c>
      <c r="C5" s="2517">
        <v>44876</v>
      </c>
      <c r="D5" s="2518" t="str">
        <f t="shared" ref="D5:D15" ca="1" si="0">A5&amp;"（注册号："&amp;B5&amp;"）"</f>
        <v>叶凌（注册号：1119970111）</v>
      </c>
      <c r="E5" s="2519" t="s">
        <v>2646</v>
      </c>
      <c r="F5" s="1424">
        <f ca="1">IF(G5&lt;B2,"已过期",94010078)</f>
        <v>94010078</v>
      </c>
      <c r="G5" s="2520">
        <v>46387</v>
      </c>
      <c r="H5" s="2521" t="str">
        <f t="shared" ref="H5:H16" ca="1" si="1">E5&amp;"（注册号："&amp;F5&amp;"）"</f>
        <v>叶凌（注册号：94010078）</v>
      </c>
    </row>
    <row r="6" spans="1:8" ht="24" customHeight="1">
      <c r="A6" s="1424" t="s">
        <v>2647</v>
      </c>
      <c r="B6" s="1424">
        <f ca="1">IF(C6&lt;B2,"已过期",1120050019)</f>
        <v>1120050019</v>
      </c>
      <c r="C6" s="2517">
        <v>45410</v>
      </c>
      <c r="D6" s="2518" t="str">
        <f t="shared" ca="1" si="0"/>
        <v>王鹏（注册号：1120050019）</v>
      </c>
      <c r="E6" s="2519" t="s">
        <v>2647</v>
      </c>
      <c r="F6" s="1424">
        <f ca="1">IF(G6&lt;B2,"已过期",2002110030)</f>
        <v>2002110030</v>
      </c>
      <c r="G6" s="2520">
        <v>46387</v>
      </c>
      <c r="H6" s="2521" t="str">
        <f t="shared" ca="1" si="1"/>
        <v>王鹏（注册号：2002110030）</v>
      </c>
    </row>
    <row r="7" spans="1:8" ht="24" customHeight="1">
      <c r="A7" s="1424" t="s">
        <v>2648</v>
      </c>
      <c r="B7" s="1424">
        <f ca="1">IF(C7&lt;B2,"已过期",1120000080)</f>
        <v>1120000080</v>
      </c>
      <c r="C7" s="2517">
        <v>44876</v>
      </c>
      <c r="D7" s="2518" t="str">
        <f t="shared" ca="1" si="0"/>
        <v>欧红伟（注册号：1120000080）</v>
      </c>
      <c r="E7" s="2519" t="s">
        <v>2648</v>
      </c>
      <c r="F7" s="1424">
        <f ca="1">IF(G7&lt;B2,"已过期",2000110082)</f>
        <v>2000110082</v>
      </c>
      <c r="G7" s="2520">
        <v>46387</v>
      </c>
      <c r="H7" s="2521" t="str">
        <f t="shared" ca="1" si="1"/>
        <v>欧红伟（注册号：2000110082）</v>
      </c>
    </row>
    <row r="8" spans="1:8" ht="24" customHeight="1">
      <c r="A8" s="1424" t="s">
        <v>2649</v>
      </c>
      <c r="B8" s="1424">
        <f ca="1">IF(C8&lt;B2,"已过期",1419970001)</f>
        <v>1419970001</v>
      </c>
      <c r="C8" s="2517">
        <v>44899</v>
      </c>
      <c r="D8" s="2518" t="str">
        <f t="shared" ca="1" si="0"/>
        <v>吴薇（注册号：1419970001）</v>
      </c>
      <c r="E8" s="2519" t="s">
        <v>2649</v>
      </c>
      <c r="F8" s="1424">
        <f ca="1">IF(G8&lt;B2,"已过期",2002110125)</f>
        <v>2002110125</v>
      </c>
      <c r="G8" s="2520">
        <v>47118</v>
      </c>
      <c r="H8" s="2521" t="str">
        <f t="shared" ca="1" si="1"/>
        <v>吴薇（注册号：2002110125）</v>
      </c>
    </row>
    <row r="9" spans="1:8" ht="24" customHeight="1">
      <c r="A9" s="1424" t="s">
        <v>2650</v>
      </c>
      <c r="B9" s="1424">
        <f ca="1">IF(C9&lt;B2,"已过期",1120060040)</f>
        <v>1120060040</v>
      </c>
      <c r="C9" s="2522">
        <v>45592</v>
      </c>
      <c r="D9" s="2518" t="str">
        <f t="shared" ca="1" si="0"/>
        <v>陈颖（注册号：1120060040）</v>
      </c>
      <c r="E9" s="2519" t="s">
        <v>2650</v>
      </c>
      <c r="F9" s="1424">
        <f ca="1">IF(G9&lt;B2,"已过期",2004110096)</f>
        <v>2004110096</v>
      </c>
      <c r="G9" s="2520">
        <v>47118</v>
      </c>
      <c r="H9" s="2521" t="str">
        <f t="shared" ca="1" si="1"/>
        <v>陈颖（注册号：2004110096）</v>
      </c>
    </row>
    <row r="10" spans="1:8" ht="24" customHeight="1">
      <c r="A10" s="1424" t="s">
        <v>2651</v>
      </c>
      <c r="B10" s="1424" t="str">
        <f ca="1">IF(C10&lt;B2,"已过期",1120100036)</f>
        <v>已过期</v>
      </c>
      <c r="C10" s="2522">
        <v>44675</v>
      </c>
      <c r="D10" s="2518" t="str">
        <f t="shared" ca="1" si="0"/>
        <v>崔锴（注册号：已过期）</v>
      </c>
      <c r="E10" s="2519" t="s">
        <v>2651</v>
      </c>
      <c r="F10" s="1424">
        <f ca="1">IF(G10&lt;B2,"已过期",2010110070)</f>
        <v>2010110070</v>
      </c>
      <c r="G10" s="2520">
        <v>47907</v>
      </c>
      <c r="H10" s="2521" t="str">
        <f t="shared" ca="1" si="1"/>
        <v>崔锴（注册号：2010110070）</v>
      </c>
    </row>
    <row r="11" spans="1:8" ht="24" customHeight="1">
      <c r="A11" s="1424" t="s">
        <v>2652</v>
      </c>
      <c r="B11" s="1424">
        <f ca="1">IF(C11&lt;B2,"已过期",1120070131)</f>
        <v>1120070131</v>
      </c>
      <c r="C11" s="2517">
        <v>44849</v>
      </c>
      <c r="D11" s="2518" t="str">
        <f t="shared" ca="1" si="0"/>
        <v>郑燚（注册号：1120070131）</v>
      </c>
      <c r="E11" s="2519" t="s">
        <v>2652</v>
      </c>
      <c r="F11" s="1424">
        <f ca="1">IF(G11&lt;B2,"已过期",2014110011)</f>
        <v>2014110011</v>
      </c>
      <c r="G11" s="2520">
        <v>49302</v>
      </c>
      <c r="H11" s="2521" t="str">
        <f t="shared" ca="1" si="1"/>
        <v>郑燚（注册号：2014110011）</v>
      </c>
    </row>
    <row r="12" spans="1:8" ht="24" customHeight="1">
      <c r="A12" s="1424" t="s">
        <v>2653</v>
      </c>
      <c r="B12" s="1424">
        <f ca="1">IF(C12&lt;B2,"已过期",1120040230)</f>
        <v>1120040230</v>
      </c>
      <c r="C12" s="2522">
        <v>44864</v>
      </c>
      <c r="D12" s="2518" t="str">
        <f t="shared" ca="1" si="0"/>
        <v>苏海（注册号：1120040230）</v>
      </c>
      <c r="E12" s="2519" t="s">
        <v>2653</v>
      </c>
      <c r="F12" s="1424">
        <f ca="1">IF(G12&lt;B2,"已过期",98030020)</f>
        <v>98030020</v>
      </c>
      <c r="G12" s="2520">
        <v>47118</v>
      </c>
      <c r="H12" s="2521" t="str">
        <f t="shared" ca="1" si="1"/>
        <v>苏海（注册号：98030020）</v>
      </c>
    </row>
    <row r="13" spans="1:8" ht="24" customHeight="1">
      <c r="A13" s="1424" t="s">
        <v>2654</v>
      </c>
      <c r="B13" s="1424" t="str">
        <f ca="1">IF(C13&lt;B2,"已过期",1120020033)</f>
        <v>已过期</v>
      </c>
      <c r="C13" s="2517">
        <v>44339</v>
      </c>
      <c r="D13" s="2518" t="str">
        <f t="shared" ca="1" si="0"/>
        <v>刘敬东（注册号：已过期）</v>
      </c>
      <c r="E13" s="2519" t="s">
        <v>2654</v>
      </c>
      <c r="F13" s="1424">
        <f ca="1">IF(G13&lt;B2,"已过期",2000110137)</f>
        <v>2000110137</v>
      </c>
      <c r="G13" s="2520">
        <v>46387</v>
      </c>
      <c r="H13" s="2521" t="str">
        <f t="shared" ca="1" si="1"/>
        <v>刘敬东（注册号：2000110137）</v>
      </c>
    </row>
    <row r="14" spans="1:8" ht="24" customHeight="1">
      <c r="A14" s="1424" t="s">
        <v>2655</v>
      </c>
      <c r="B14" s="1424">
        <f ca="1">IF(C14&lt;B2,"已过期",1119980106)</f>
        <v>1119980106</v>
      </c>
      <c r="C14" s="2522">
        <v>44969</v>
      </c>
      <c r="D14" s="2518" t="str">
        <f t="shared" ca="1" si="0"/>
        <v>刘俊财（注册号：1119980106）</v>
      </c>
      <c r="E14" s="2519" t="s">
        <v>2655</v>
      </c>
      <c r="F14" s="1424">
        <f ca="1">IF(G14&lt;B2,"已过期",96010063)</f>
        <v>96010063</v>
      </c>
      <c r="G14" s="2520">
        <v>47483</v>
      </c>
      <c r="H14" s="2521" t="str">
        <f t="shared" ca="1" si="1"/>
        <v>刘俊财（注册号：96010063）</v>
      </c>
    </row>
    <row r="15" spans="1:8" ht="24" customHeight="1">
      <c r="A15" s="1424" t="s">
        <v>2939</v>
      </c>
      <c r="B15" s="1424">
        <v>1120210056</v>
      </c>
      <c r="C15" s="2522">
        <v>45410</v>
      </c>
      <c r="D15" s="2518" t="str">
        <f t="shared" si="0"/>
        <v>宁小鳗（注册号：1120210056）</v>
      </c>
      <c r="E15" s="2519" t="s">
        <v>2656</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68" t="s">
        <v>2657</v>
      </c>
      <c r="B17" s="3368"/>
      <c r="C17" s="3368"/>
      <c r="D17" s="3368"/>
      <c r="E17" s="3368"/>
      <c r="F17" s="3368"/>
      <c r="G17" s="3368"/>
      <c r="H17" s="3368"/>
    </row>
    <row r="18" spans="1:8" ht="24" customHeight="1">
      <c r="A18" s="3369" t="s">
        <v>2658</v>
      </c>
      <c r="B18" s="3369"/>
      <c r="C18" s="3369"/>
      <c r="D18" s="2515"/>
      <c r="E18" s="3370" t="s">
        <v>2659</v>
      </c>
      <c r="F18" s="3369"/>
      <c r="G18" s="3369"/>
    </row>
    <row r="19" spans="1:8" s="2526" customFormat="1" ht="24" customHeight="1">
      <c r="A19" s="2525" t="s">
        <v>2660</v>
      </c>
      <c r="B19" s="2514" t="s">
        <v>2661</v>
      </c>
      <c r="C19" s="2514" t="s">
        <v>2640</v>
      </c>
      <c r="D19" s="2515"/>
      <c r="E19" s="2519" t="s">
        <v>2660</v>
      </c>
      <c r="F19" s="2514" t="s">
        <v>2661</v>
      </c>
      <c r="G19" s="2514" t="s">
        <v>2640</v>
      </c>
    </row>
    <row r="20" spans="1:8" s="2526" customFormat="1" ht="24" customHeight="1">
      <c r="A20" s="2527" t="s">
        <v>2662</v>
      </c>
      <c r="B20" s="2527" t="s">
        <v>2663</v>
      </c>
      <c r="C20" s="2520">
        <v>44820</v>
      </c>
      <c r="D20" s="2528"/>
      <c r="E20" s="2529" t="s">
        <v>2664</v>
      </c>
      <c r="F20" s="2532" t="s">
        <v>2940</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85" priority="53">
      <formula>AND($C4-TODAY()&lt;30,TODAY()&lt;$C4)</formula>
    </cfRule>
  </conditionalFormatting>
  <conditionalFormatting sqref="C20:D20">
    <cfRule type="expression" dxfId="284" priority="52">
      <formula>AND($C20-TODAY()&lt;30,TODAY()&lt;$C20)</formula>
    </cfRule>
  </conditionalFormatting>
  <conditionalFormatting sqref="C20:D20 G4 C4:D5 C13:D13">
    <cfRule type="cellIs" dxfId="283" priority="54" stopIfTrue="1" operator="lessThan">
      <formula>$B$2</formula>
    </cfRule>
  </conditionalFormatting>
  <conditionalFormatting sqref="G5 G7 G9">
    <cfRule type="cellIs" dxfId="282" priority="51" stopIfTrue="1" operator="lessThan">
      <formula>$B$2</formula>
    </cfRule>
  </conditionalFormatting>
  <conditionalFormatting sqref="C6:D6 D14 D16">
    <cfRule type="expression" dxfId="281" priority="49">
      <formula>AND($C6-TODAY()&lt;30,TODAY()&lt;$C6)</formula>
    </cfRule>
  </conditionalFormatting>
  <conditionalFormatting sqref="G6 G8 G10 C6:D6 D7:D12 D14 D16">
    <cfRule type="cellIs" dxfId="280" priority="50" stopIfTrue="1" operator="lessThan">
      <formula>$B$2</formula>
    </cfRule>
  </conditionalFormatting>
  <conditionalFormatting sqref="D12">
    <cfRule type="expression" dxfId="279" priority="47">
      <formula>AND($C12-TODAY()&lt;30,TODAY()&lt;$C12)</formula>
    </cfRule>
  </conditionalFormatting>
  <conditionalFormatting sqref="D12">
    <cfRule type="cellIs" dxfId="278" priority="48" stopIfTrue="1" operator="lessThan">
      <formula>$B$2</formula>
    </cfRule>
  </conditionalFormatting>
  <conditionalFormatting sqref="C13:D13">
    <cfRule type="expression" dxfId="277" priority="45">
      <formula>AND($C13-TODAY()&lt;30,TODAY()&lt;$C13)</formula>
    </cfRule>
  </conditionalFormatting>
  <conditionalFormatting sqref="C13:D13">
    <cfRule type="cellIs" dxfId="276" priority="46" stopIfTrue="1" operator="lessThan">
      <formula>$B$2</formula>
    </cfRule>
  </conditionalFormatting>
  <conditionalFormatting sqref="D14">
    <cfRule type="expression" dxfId="275" priority="43">
      <formula>AND($C14-TODAY()&lt;30,TODAY()&lt;$C14)</formula>
    </cfRule>
  </conditionalFormatting>
  <conditionalFormatting sqref="D14">
    <cfRule type="cellIs" dxfId="274" priority="44" stopIfTrue="1" operator="lessThan">
      <formula>$B$2</formula>
    </cfRule>
  </conditionalFormatting>
  <conditionalFormatting sqref="G13">
    <cfRule type="cellIs" dxfId="273" priority="42" stopIfTrue="1" operator="lessThan">
      <formula>$B$2</formula>
    </cfRule>
  </conditionalFormatting>
  <conditionalFormatting sqref="B4:B11 F4:F11 B13 F13:F14">
    <cfRule type="cellIs" dxfId="272" priority="41" stopIfTrue="1" operator="equal">
      <formula>"已过期"</formula>
    </cfRule>
  </conditionalFormatting>
  <conditionalFormatting sqref="C7">
    <cfRule type="cellIs" dxfId="271" priority="38" stopIfTrue="1" operator="lessThan">
      <formula>$B$2</formula>
    </cfRule>
  </conditionalFormatting>
  <conditionalFormatting sqref="C7">
    <cfRule type="expression" dxfId="270" priority="37">
      <formula>AND($C7-TODAY()&lt;30,TODAY()&lt;$C7)</formula>
    </cfRule>
  </conditionalFormatting>
  <conditionalFormatting sqref="C8">
    <cfRule type="expression" dxfId="269" priority="35">
      <formula>AND($C8-TODAY()&lt;30,TODAY()&lt;$C8)</formula>
    </cfRule>
  </conditionalFormatting>
  <conditionalFormatting sqref="C8">
    <cfRule type="cellIs" dxfId="268" priority="36" stopIfTrue="1" operator="lessThan">
      <formula>$B$2</formula>
    </cfRule>
  </conditionalFormatting>
  <conditionalFormatting sqref="C11">
    <cfRule type="expression" dxfId="267" priority="33">
      <formula>AND($C11-TODAY()&lt;30,TODAY()&lt;$C11)</formula>
    </cfRule>
  </conditionalFormatting>
  <conditionalFormatting sqref="C11">
    <cfRule type="cellIs" dxfId="266" priority="34" stopIfTrue="1" operator="lessThan">
      <formula>$B$2</formula>
    </cfRule>
  </conditionalFormatting>
  <conditionalFormatting sqref="A16:C16">
    <cfRule type="cellIs" dxfId="265" priority="32" stopIfTrue="1" operator="equal">
      <formula>"已过期"</formula>
    </cfRule>
  </conditionalFormatting>
  <conditionalFormatting sqref="E16:G16">
    <cfRule type="cellIs" dxfId="264" priority="31" stopIfTrue="1" operator="equal">
      <formula>"已过期"</formula>
    </cfRule>
  </conditionalFormatting>
  <conditionalFormatting sqref="G11">
    <cfRule type="cellIs" dxfId="263" priority="30" stopIfTrue="1" operator="lessThan">
      <formula>$B$2</formula>
    </cfRule>
  </conditionalFormatting>
  <conditionalFormatting sqref="F12">
    <cfRule type="cellIs" dxfId="262" priority="29" stopIfTrue="1" operator="equal">
      <formula>"已过期"</formula>
    </cfRule>
  </conditionalFormatting>
  <conditionalFormatting sqref="G12">
    <cfRule type="cellIs" dxfId="261" priority="28" stopIfTrue="1" operator="lessThan">
      <formula>$B$2</formula>
    </cfRule>
  </conditionalFormatting>
  <conditionalFormatting sqref="C12">
    <cfRule type="cellIs" dxfId="260" priority="27" stopIfTrue="1" operator="lessThan">
      <formula>$B$2</formula>
    </cfRule>
  </conditionalFormatting>
  <conditionalFormatting sqref="C12">
    <cfRule type="expression" dxfId="259" priority="25">
      <formula>AND($C12-TODAY()&lt;30,TODAY()&lt;$C12)</formula>
    </cfRule>
  </conditionalFormatting>
  <conditionalFormatting sqref="C12">
    <cfRule type="cellIs" dxfId="258" priority="26" stopIfTrue="1" operator="lessThan">
      <formula>$B$2</formula>
    </cfRule>
  </conditionalFormatting>
  <conditionalFormatting sqref="B12">
    <cfRule type="cellIs" dxfId="257" priority="24" stopIfTrue="1" operator="equal">
      <formula>"已过期"</formula>
    </cfRule>
  </conditionalFormatting>
  <conditionalFormatting sqref="C9:C10">
    <cfRule type="expression" dxfId="256" priority="22">
      <formula>AND($C9-TODAY()&lt;30,TODAY()&lt;$C9)</formula>
    </cfRule>
  </conditionalFormatting>
  <conditionalFormatting sqref="C9:C10">
    <cfRule type="cellIs" dxfId="255" priority="23" stopIfTrue="1" operator="lessThan">
      <formula>$B$2</formula>
    </cfRule>
  </conditionalFormatting>
  <conditionalFormatting sqref="G21">
    <cfRule type="expression" dxfId="254" priority="20" stopIfTrue="1">
      <formula>AND(#REF!-TODAY()&lt;30,TODAY()&lt;#REF!)</formula>
    </cfRule>
  </conditionalFormatting>
  <conditionalFormatting sqref="G21">
    <cfRule type="cellIs" dxfId="253" priority="21" stopIfTrue="1" operator="lessThan">
      <formula>$B$2</formula>
    </cfRule>
  </conditionalFormatting>
  <conditionalFormatting sqref="C14">
    <cfRule type="expression" dxfId="252" priority="18">
      <formula>AND($C14-TODAY()&lt;30,TODAY()&lt;$C14)</formula>
    </cfRule>
  </conditionalFormatting>
  <conditionalFormatting sqref="C14">
    <cfRule type="cellIs" dxfId="251" priority="19" stopIfTrue="1" operator="lessThan">
      <formula>$B$2</formula>
    </cfRule>
  </conditionalFormatting>
  <conditionalFormatting sqref="C14">
    <cfRule type="expression" dxfId="250" priority="16">
      <formula>AND($C14-TODAY()&lt;30,TODAY()&lt;$C14)</formula>
    </cfRule>
  </conditionalFormatting>
  <conditionalFormatting sqref="C14">
    <cfRule type="cellIs" dxfId="249" priority="17" stopIfTrue="1" operator="lessThan">
      <formula>$B$2</formula>
    </cfRule>
  </conditionalFormatting>
  <conditionalFormatting sqref="B14">
    <cfRule type="cellIs" dxfId="248" priority="15" stopIfTrue="1" operator="equal">
      <formula>"已过期"</formula>
    </cfRule>
  </conditionalFormatting>
  <conditionalFormatting sqref="G14">
    <cfRule type="cellIs" dxfId="247" priority="14" stopIfTrue="1" operator="lessThan">
      <formula>$B$2</formula>
    </cfRule>
  </conditionalFormatting>
  <conditionalFormatting sqref="D15">
    <cfRule type="expression" dxfId="246" priority="12">
      <formula>AND($C15-TODAY()&lt;30,TODAY()&lt;$C15)</formula>
    </cfRule>
  </conditionalFormatting>
  <conditionalFormatting sqref="D15">
    <cfRule type="cellIs" dxfId="245" priority="13" stopIfTrue="1" operator="lessThan">
      <formula>$B$2</formula>
    </cfRule>
  </conditionalFormatting>
  <conditionalFormatting sqref="D15">
    <cfRule type="expression" dxfId="244" priority="10">
      <formula>AND($C15-TODAY()&lt;30,TODAY()&lt;$C15)</formula>
    </cfRule>
  </conditionalFormatting>
  <conditionalFormatting sqref="D15">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C15">
    <cfRule type="expression" dxfId="241" priority="7">
      <formula>AND($C15-TODAY()&lt;30,TODAY()&lt;$C15)</formula>
    </cfRule>
  </conditionalFormatting>
  <conditionalFormatting sqref="C15">
    <cfRule type="cellIs" dxfId="240" priority="8" stopIfTrue="1" operator="lessThan">
      <formula>$B$2</formula>
    </cfRule>
  </conditionalFormatting>
  <conditionalFormatting sqref="C15">
    <cfRule type="expression" dxfId="239" priority="5">
      <formula>AND($C15-TODAY()&lt;30,TODAY()&lt;$C15)</formula>
    </cfRule>
  </conditionalFormatting>
  <conditionalFormatting sqref="C15">
    <cfRule type="cellIs" dxfId="238" priority="6" stopIfTrue="1" operator="lessThan">
      <formula>$B$2</formula>
    </cfRule>
  </conditionalFormatting>
  <conditionalFormatting sqref="B15">
    <cfRule type="cellIs" dxfId="237" priority="4" stopIfTrue="1" operator="equal">
      <formula>"已过期"</formula>
    </cfRule>
  </conditionalFormatting>
  <conditionalFormatting sqref="G15">
    <cfRule type="cellIs" dxfId="236" priority="3" stopIfTrue="1" operator="lessThan">
      <formula>$B$2</formula>
    </cfRule>
  </conditionalFormatting>
  <conditionalFormatting sqref="G20">
    <cfRule type="expression" dxfId="235" priority="1" stopIfTrue="1">
      <formula>AND(#REF!-TODAY()&lt;30,TODAY()&lt;#REF!)</formula>
    </cfRule>
  </conditionalFormatting>
  <conditionalFormatting sqref="G20">
    <cfRule type="cellIs" dxfId="23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165</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成本法(除办公) (3)</vt:lpstr>
      <vt:lpstr>成本法(除办公) (2)</vt:lpstr>
      <vt:lpstr>定义</vt:lpstr>
      <vt:lpstr>项目基本情况</vt:lpstr>
      <vt:lpstr>数据-基础表</vt:lpstr>
      <vt:lpstr>抵押物清单（分楼）</vt:lpstr>
      <vt:lpstr>面积明细</vt:lpstr>
      <vt:lpstr>分层面积</vt:lpstr>
      <vt:lpstr>数据-汇总表</vt:lpstr>
      <vt:lpstr>数据-取费表</vt:lpstr>
      <vt:lpstr>估价对象房地状况</vt:lpstr>
      <vt:lpstr>系统读取表</vt:lpstr>
      <vt:lpstr>结果表</vt:lpstr>
      <vt:lpstr>成本法(商业)</vt:lpstr>
      <vt:lpstr>成本法 (元)</vt:lpstr>
      <vt:lpstr>假设开发法</vt:lpstr>
      <vt:lpstr>结果表(办公)</vt:lpstr>
      <vt:lpstr>比较法-办公</vt:lpstr>
      <vt:lpstr>收益法</vt:lpstr>
      <vt:lpstr>Sheet1</vt:lpstr>
      <vt:lpstr>结果表(商业)</vt:lpstr>
      <vt:lpstr>成本法 (商业)</vt:lpstr>
      <vt:lpstr>收益法 (元)</vt:lpstr>
      <vt:lpstr>收益法(商业)</vt:lpstr>
      <vt:lpstr>收益法-酒店模型</vt:lpstr>
      <vt:lpstr>结果表(车库)</vt:lpstr>
      <vt:lpstr>收益法(车库)</vt:lpstr>
      <vt:lpstr>成本法 (车库)</vt:lpstr>
      <vt:lpstr>结果表(仓储)</vt:lpstr>
      <vt:lpstr>收益法(仓储)</vt:lpstr>
      <vt:lpstr>成本法 (仓储)</vt:lpstr>
      <vt:lpstr>收益法（汇总）</vt:lpstr>
      <vt:lpstr>成本法</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(仓储)'!Print_Area</vt:lpstr>
      <vt:lpstr>'成本法 (车库)'!Print_Area</vt:lpstr>
      <vt:lpstr>'成本法 (商业)'!Print_Area</vt:lpstr>
      <vt:lpstr>'成本法 (元)'!Print_Area</vt:lpstr>
      <vt:lpstr>'成本法(除办公) (2)'!Print_Area</vt:lpstr>
      <vt:lpstr>'成本法(除办公) (3)'!Print_Area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'结果表(办公)'!Print_Area</vt:lpstr>
      <vt:lpstr>'结果表(仓储)'!Print_Area</vt:lpstr>
      <vt:lpstr>'结果表(车库)'!Print_Area</vt:lpstr>
      <vt:lpstr>'结果表(商业)'!Print_Area</vt:lpstr>
      <vt:lpstr>收益法!Print_Area</vt:lpstr>
      <vt:lpstr>'收益法 (元)'!Print_Area</vt:lpstr>
      <vt:lpstr>'收益法(仓储)'!Print_Area</vt:lpstr>
      <vt:lpstr>'收益法(车库)'!Print_Area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2022-05-13T00:40:28Z</dcterms:modified>
</cp:coreProperties>
</file>